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codeName="ThisWorkbook" hidePivotFieldList="1" defaultThemeVersion="124226"/>
  <mc:AlternateContent xmlns:mc="http://schemas.openxmlformats.org/markup-compatibility/2006">
    <mc:Choice Requires="x15">
      <x15ac:absPath xmlns:x15ac="http://schemas.microsoft.com/office/spreadsheetml/2010/11/ac" url="/Users/elke-carolineaschenauer/Desktop/"/>
    </mc:Choice>
  </mc:AlternateContent>
  <xr:revisionPtr revIDLastSave="0" documentId="13_ncr:1_{A1E9D409-5F00-0947-9798-FCD2C57EB4DE}" xr6:coauthVersionLast="47" xr6:coauthVersionMax="47" xr10:uidLastSave="{00000000-0000-0000-0000-000000000000}"/>
  <bookViews>
    <workbookView xWindow="0" yWindow="600" windowWidth="39040" windowHeight="28200" tabRatio="728" activeTab="3" xr2:uid="{00000000-000D-0000-FFFF-FFFF00000000}"/>
  </bookViews>
  <sheets>
    <sheet name="CB_DATA_" sheetId="5" state="veryHidden" r:id="rId1"/>
    <sheet name="Definitions" sheetId="140" r:id="rId2"/>
    <sheet name="Proposed Risk Form" sheetId="145" r:id="rId3"/>
    <sheet name="Risks" sheetId="146" r:id="rId4"/>
    <sheet name="Risk Count" sheetId="128" r:id="rId5"/>
    <sheet name="CD-1 Retired Risks" sheetId="129" state="hidden" r:id="rId6"/>
    <sheet name="Risk Matrices" sheetId="127" r:id="rId7"/>
    <sheet name="Presentation Template" sheetId="33" r:id="rId8"/>
    <sheet name="Magnet Procurements" sheetId="132" r:id="rId9"/>
    <sheet name="BOE 6_11" sheetId="135" r:id="rId10"/>
    <sheet name="Risk BOE 6_01" sheetId="137" r:id="rId11"/>
    <sheet name=" ICR-001" sheetId="142" r:id="rId12"/>
    <sheet name="DOE Monthly" sheetId="148" r:id="rId13"/>
    <sheet name="ICR-002" sheetId="139" r:id="rId14"/>
    <sheet name="over $250K P6 Data" sheetId="138" r:id="rId15"/>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1" hidden="1">' ICR-001'!$A$1:$L$639</definedName>
    <definedName name="_xlnm._FilterDatabase" localSheetId="5" hidden="1">'CD-1 Retired Risks'!$A$1:$X$8</definedName>
    <definedName name="_xlnm._FilterDatabase" localSheetId="13" hidden="1">'ICR-002'!$E$3:$F$625</definedName>
    <definedName name="_xlnm._FilterDatabase" localSheetId="14" hidden="1">'over $250K P6 Data'!$A$1:$J$582</definedName>
    <definedName name="_xlnm._FilterDatabase" localSheetId="3" hidden="1">Risks!$B$3:$BX$281</definedName>
    <definedName name="CBWorkbookPriority" localSheetId="0" hidden="1">-1515513185</definedName>
    <definedName name="CBx_1130a702fbbf4fcaba0ab0c394300d0b" localSheetId="0" hidden="1">"'Monte Carlo '!$A$1"</definedName>
    <definedName name="CBx_3d693a7db4634f2f9886886e392a8c35" localSheetId="0" hidden="1">"'CB_DATA_'!$A$1"</definedName>
    <definedName name="CBx_8847569866124156a74444ba6a3af199" localSheetId="0" hidden="1">"'Monte Carlo Worksheet'!$A$1"</definedName>
    <definedName name="CBx_cf58778fbccd4594a8e4b7ea7f5193c2" localSheetId="0" hidden="1">"'CF Monte Carlo'!$A$1"</definedName>
    <definedName name="CBx_Sheet_Guid" localSheetId="0" hidden="1">"'3d693a7d-b463-4f2f-9886-886e392a8c35"</definedName>
    <definedName name="CBx_StorageType" localSheetId="0" hidden="1">1</definedName>
    <definedName name="junk">#REF!</definedName>
    <definedName name="Pal_Workbook_GUID" hidden="1">"JATYZACKVSBQFWDWRS8L4QC7"</definedName>
    <definedName name="primrisks">#REF!</definedName>
    <definedName name="_xlnm.Print_Area" localSheetId="10">'Risk BOE 6_01'!$A$2:$G$89</definedName>
    <definedName name="_xlnm.Print_Titles" localSheetId="10">'Risk BOE 6_01'!$1:$1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"$BC$67"</definedName>
    <definedName name="RiskSelectedNameCell1" hidden="1">"$A$44"</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ope" localSheetId="10">#REF!</definedName>
    <definedName name="Scope">#REF!</definedName>
    <definedName name="stuff" localSheetId="10">#REF!</definedName>
    <definedName name="stuff">#REF!</definedName>
  </definedNames>
  <calcPr calcId="191028"/>
  <pivotCaches>
    <pivotCache cacheId="1" r:id="rId16"/>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146" l="1"/>
  <c r="H25" i="146"/>
  <c r="BJ128" i="146"/>
  <c r="Y169" i="146"/>
  <c r="Y127" i="146"/>
  <c r="Y83" i="146"/>
  <c r="Y67" i="146"/>
  <c r="Y40" i="146"/>
  <c r="Y39" i="146"/>
  <c r="V269" i="146"/>
  <c r="B271" i="146" l="1"/>
  <c r="BC271" i="146" s="1"/>
  <c r="AW271" i="146"/>
  <c r="AR271" i="146"/>
  <c r="AV271" i="146" s="1"/>
  <c r="AQ271" i="146"/>
  <c r="AU271" i="146" s="1"/>
  <c r="AP271" i="146"/>
  <c r="AT271" i="146" s="1"/>
  <c r="AA271" i="146"/>
  <c r="AB271" i="146" s="1"/>
  <c r="V271" i="146"/>
  <c r="S271" i="146"/>
  <c r="Q271" i="146" a="1"/>
  <c r="Q271" i="146" s="1"/>
  <c r="U271" i="146" s="1"/>
  <c r="O271" i="146" a="1"/>
  <c r="O271" i="146" s="1"/>
  <c r="T271" i="146" s="1" a="1"/>
  <c r="T271" i="146" s="1"/>
  <c r="H271" i="146"/>
  <c r="W271" i="146" l="1"/>
  <c r="X271" i="146" s="1"/>
  <c r="Y271" i="146" s="1"/>
  <c r="AX271" i="146"/>
  <c r="AY271" i="146" s="1"/>
  <c r="AZ271" i="146" s="1"/>
  <c r="BT78" i="146" l="1"/>
  <c r="BR78" i="146"/>
  <c r="BQ78" i="146"/>
  <c r="BP78" i="146"/>
  <c r="BT77" i="146"/>
  <c r="BR77" i="146"/>
  <c r="BQ77" i="146"/>
  <c r="BP77" i="146"/>
  <c r="BT76" i="146"/>
  <c r="BR76" i="146"/>
  <c r="BQ76" i="146"/>
  <c r="BP76" i="146"/>
  <c r="BT75" i="146"/>
  <c r="BR75" i="146"/>
  <c r="BQ75" i="146"/>
  <c r="BP75" i="146"/>
  <c r="BT74" i="146"/>
  <c r="BR74" i="146"/>
  <c r="BQ74" i="146"/>
  <c r="BP74" i="146"/>
  <c r="BT73" i="146"/>
  <c r="BR73" i="146"/>
  <c r="BQ73" i="146"/>
  <c r="BP73" i="146"/>
  <c r="BT72" i="146"/>
  <c r="BR72" i="146"/>
  <c r="BQ72" i="146"/>
  <c r="BP72" i="146"/>
  <c r="BJ73" i="146"/>
  <c r="BS73" i="146" s="1"/>
  <c r="AW73" i="146"/>
  <c r="AU73" i="146"/>
  <c r="AR73" i="146"/>
  <c r="AV73" i="146" s="1"/>
  <c r="AQ73" i="146"/>
  <c r="AP73" i="146"/>
  <c r="AT73" i="146" s="1"/>
  <c r="AA79" i="146"/>
  <c r="AB79" i="146" s="1"/>
  <c r="AA78" i="146"/>
  <c r="AB78" i="146" s="1"/>
  <c r="AA77" i="146"/>
  <c r="AB77" i="146" s="1"/>
  <c r="AA76" i="146"/>
  <c r="AB76" i="146" s="1"/>
  <c r="AA75" i="146"/>
  <c r="AB75" i="146" s="1"/>
  <c r="AA74" i="146"/>
  <c r="AB74" i="146" s="1"/>
  <c r="AA73" i="146"/>
  <c r="AB73" i="146" s="1"/>
  <c r="AA72" i="146"/>
  <c r="AB72" i="146" s="1"/>
  <c r="V73" i="146"/>
  <c r="S73" i="146"/>
  <c r="Q73" i="146" a="1"/>
  <c r="Q73" i="146" s="1"/>
  <c r="U73" i="146" s="1"/>
  <c r="O73" i="146" a="1"/>
  <c r="O73" i="146" s="1"/>
  <c r="T73" i="146" s="1" a="1"/>
  <c r="T73" i="146" s="1"/>
  <c r="B73" i="146"/>
  <c r="BC73" i="146" s="1"/>
  <c r="H73" i="146"/>
  <c r="BJ77" i="146"/>
  <c r="BS77" i="146" s="1"/>
  <c r="BJ76" i="146"/>
  <c r="BS76" i="146" s="1"/>
  <c r="BJ75" i="146"/>
  <c r="BS75" i="146" s="1"/>
  <c r="W73" i="146" l="1"/>
  <c r="X73" i="146" s="1"/>
  <c r="Y73" i="146" s="1"/>
  <c r="AX73" i="146"/>
  <c r="AY73" i="146" s="1"/>
  <c r="AZ73" i="146" s="1"/>
  <c r="BP230" i="146"/>
  <c r="BP229" i="146"/>
  <c r="BP228" i="146"/>
  <c r="BP226" i="146"/>
  <c r="BP225" i="146"/>
  <c r="BP224" i="146"/>
  <c r="H58" i="146" l="1"/>
  <c r="H57" i="146"/>
  <c r="B58" i="146"/>
  <c r="B57" i="146"/>
  <c r="AB24" i="146" l="1"/>
  <c r="AB23" i="146"/>
  <c r="AW15" i="146"/>
  <c r="AR15" i="146"/>
  <c r="AV15" i="146" s="1"/>
  <c r="AQ15" i="146"/>
  <c r="AU15" i="146" s="1"/>
  <c r="AP15" i="146"/>
  <c r="AT15" i="146" s="1"/>
  <c r="B233" i="146"/>
  <c r="BC233" i="146" s="1"/>
  <c r="B232" i="146"/>
  <c r="BC232" i="146" s="1"/>
  <c r="AW233" i="146"/>
  <c r="AW232" i="146"/>
  <c r="AR233" i="146"/>
  <c r="AV233" i="146" s="1"/>
  <c r="AQ233" i="146"/>
  <c r="AU233" i="146" s="1"/>
  <c r="AP233" i="146"/>
  <c r="AT233" i="146" s="1"/>
  <c r="AR232" i="146"/>
  <c r="AV232" i="146" s="1"/>
  <c r="AQ232" i="146"/>
  <c r="AU232" i="146" s="1"/>
  <c r="AP232" i="146"/>
  <c r="AT232" i="146" s="1"/>
  <c r="BR233" i="146"/>
  <c r="BT233" i="146"/>
  <c r="BR232" i="146"/>
  <c r="BT232" i="146"/>
  <c r="BJ233" i="146"/>
  <c r="BS233" i="146" s="1"/>
  <c r="BP233" i="146"/>
  <c r="BQ233" i="146"/>
  <c r="BJ232" i="146"/>
  <c r="BS232" i="146" s="1"/>
  <c r="BP232" i="146"/>
  <c r="BQ232" i="146"/>
  <c r="AA233" i="146"/>
  <c r="AB233" i="146" s="1"/>
  <c r="AA232" i="146"/>
  <c r="AB232" i="146" s="1"/>
  <c r="S233" i="146"/>
  <c r="S232" i="146"/>
  <c r="V233" i="146"/>
  <c r="V232" i="146"/>
  <c r="Q233" i="146" a="1"/>
  <c r="Q233" i="146" s="1"/>
  <c r="U233" i="146" s="1"/>
  <c r="Q232" i="146" a="1"/>
  <c r="Q232" i="146" s="1"/>
  <c r="U232" i="146" s="1"/>
  <c r="O233" i="146" a="1"/>
  <c r="O233" i="146" s="1"/>
  <c r="T233" i="146" s="1" a="1"/>
  <c r="T233" i="146" s="1"/>
  <c r="O232" i="146" a="1"/>
  <c r="O232" i="146" s="1"/>
  <c r="T232" i="146" s="1" a="1"/>
  <c r="T232" i="146" s="1"/>
  <c r="H233" i="146"/>
  <c r="H232" i="146"/>
  <c r="AW23" i="146"/>
  <c r="AR24" i="146"/>
  <c r="AV24" i="146" s="1"/>
  <c r="AW24" i="146"/>
  <c r="AR23" i="146"/>
  <c r="AV23" i="146" s="1"/>
  <c r="AQ23" i="146"/>
  <c r="AU23" i="146" s="1"/>
  <c r="AP23" i="146"/>
  <c r="AT23" i="146" s="1"/>
  <c r="AQ24" i="146"/>
  <c r="AU24" i="146" s="1"/>
  <c r="AP24" i="146"/>
  <c r="AT24" i="146" s="1"/>
  <c r="AX232" i="146" l="1"/>
  <c r="AY232" i="146" s="1"/>
  <c r="AZ232" i="146" s="1"/>
  <c r="W232" i="146"/>
  <c r="X232" i="146" s="1"/>
  <c r="Y232" i="146" s="1"/>
  <c r="AX233" i="146"/>
  <c r="AY233" i="146" s="1"/>
  <c r="AZ233" i="146" s="1"/>
  <c r="AX15" i="146"/>
  <c r="AY15" i="146" s="1"/>
  <c r="W233" i="146"/>
  <c r="X233" i="146" s="1"/>
  <c r="Y233" i="146" s="1"/>
  <c r="AX24" i="146"/>
  <c r="AY24" i="146" s="1"/>
  <c r="AX23" i="146"/>
  <c r="AY23" i="146" s="1"/>
  <c r="Q77" i="146" a="1"/>
  <c r="Q77" i="146" s="1"/>
  <c r="U77" i="146" s="1"/>
  <c r="O77" i="146" a="1"/>
  <c r="O77" i="146" s="1"/>
  <c r="T77" i="146" s="1" a="1"/>
  <c r="T77" i="146" s="1"/>
  <c r="V77" i="146"/>
  <c r="V76" i="146"/>
  <c r="S77" i="146"/>
  <c r="S76" i="146"/>
  <c r="Q76" i="146" a="1"/>
  <c r="Q76" i="146" s="1"/>
  <c r="U76" i="146" s="1"/>
  <c r="O76" i="146" a="1"/>
  <c r="O76" i="146" s="1"/>
  <c r="T76" i="146" s="1" a="1"/>
  <c r="T76" i="146" s="1"/>
  <c r="B77" i="146"/>
  <c r="BC77" i="146" s="1"/>
  <c r="B76" i="146"/>
  <c r="BC76" i="146" s="1"/>
  <c r="B75" i="146"/>
  <c r="BC75" i="146" s="1"/>
  <c r="G16" i="33"/>
  <c r="W76" i="146" l="1"/>
  <c r="X76" i="146" s="1"/>
  <c r="Y76" i="146" s="1"/>
  <c r="W77" i="146"/>
  <c r="X77" i="146" s="1"/>
  <c r="Y77" i="146" s="1"/>
  <c r="S75" i="146" l="1"/>
  <c r="V75" i="146"/>
  <c r="Q75" i="146" a="1"/>
  <c r="Q75" i="146" s="1"/>
  <c r="U75" i="146" s="1"/>
  <c r="O75" i="146" a="1"/>
  <c r="O75" i="146" s="1"/>
  <c r="T75" i="146" s="1" a="1"/>
  <c r="T75" i="146" s="1"/>
  <c r="AW77" i="146"/>
  <c r="AU77" i="146"/>
  <c r="AR77" i="146"/>
  <c r="AV77" i="146" s="1"/>
  <c r="AQ77" i="146"/>
  <c r="AP77" i="146"/>
  <c r="AT77" i="146" s="1"/>
  <c r="H77" i="146"/>
  <c r="AR76" i="146"/>
  <c r="AV76" i="146" s="1"/>
  <c r="AQ76" i="146"/>
  <c r="AP76" i="146"/>
  <c r="AT76" i="146" s="1"/>
  <c r="AW76" i="146"/>
  <c r="AU76" i="146"/>
  <c r="AW75" i="146"/>
  <c r="AU75" i="146"/>
  <c r="AR75" i="146"/>
  <c r="AV75" i="146" s="1"/>
  <c r="AQ75" i="146"/>
  <c r="AP75" i="146"/>
  <c r="AT75" i="146" s="1"/>
  <c r="H76" i="146"/>
  <c r="H75" i="146"/>
  <c r="AW52" i="146"/>
  <c r="AW266" i="146"/>
  <c r="AW264" i="146"/>
  <c r="AW262" i="146"/>
  <c r="AW255" i="146"/>
  <c r="AW254" i="146"/>
  <c r="AW253" i="146"/>
  <c r="AW252" i="146"/>
  <c r="AW243" i="146"/>
  <c r="AW242" i="146"/>
  <c r="AW240" i="146"/>
  <c r="AW239" i="146"/>
  <c r="AW158" i="146"/>
  <c r="AW137" i="146"/>
  <c r="Y251" i="146"/>
  <c r="BT200" i="146"/>
  <c r="BR200" i="146"/>
  <c r="BQ200" i="146"/>
  <c r="BP200" i="146"/>
  <c r="BJ200" i="146"/>
  <c r="AW200" i="146"/>
  <c r="AR200" i="146"/>
  <c r="AV200" i="146" s="1"/>
  <c r="AQ200" i="146"/>
  <c r="AU200" i="146" s="1"/>
  <c r="AP200" i="146"/>
  <c r="AT200" i="146" s="1"/>
  <c r="AA200" i="146"/>
  <c r="AB200" i="146" s="1"/>
  <c r="V200" i="146"/>
  <c r="S200" i="146"/>
  <c r="Q200" i="146" a="1"/>
  <c r="Q200" i="146" s="1"/>
  <c r="U200" i="146" s="1"/>
  <c r="O200" i="146" a="1"/>
  <c r="O200" i="146" s="1"/>
  <c r="T200" i="146" s="1" a="1"/>
  <c r="T200" i="146" s="1"/>
  <c r="H200" i="146"/>
  <c r="BW230" i="146"/>
  <c r="BW229" i="146"/>
  <c r="BT230" i="146"/>
  <c r="BR230" i="146"/>
  <c r="BQ230" i="146"/>
  <c r="BT229" i="146"/>
  <c r="BR229" i="146"/>
  <c r="BQ229" i="146"/>
  <c r="BJ230" i="146"/>
  <c r="BS230" i="146" s="1"/>
  <c r="AW230" i="146"/>
  <c r="AR230" i="146"/>
  <c r="AV230" i="146" s="1"/>
  <c r="AQ230" i="146"/>
  <c r="AU230" i="146" s="1"/>
  <c r="AW229" i="146"/>
  <c r="AR229" i="146"/>
  <c r="AV229" i="146" s="1"/>
  <c r="AQ229" i="146"/>
  <c r="AU229" i="146" s="1"/>
  <c r="AP229" i="146"/>
  <c r="AT229" i="146" s="1"/>
  <c r="BJ229" i="146"/>
  <c r="BS229" i="146" s="1"/>
  <c r="AP230" i="146"/>
  <c r="AT230" i="146" s="1"/>
  <c r="AA230" i="146"/>
  <c r="AB230" i="146" s="1"/>
  <c r="AA229" i="146"/>
  <c r="AB229" i="146" s="1"/>
  <c r="V230" i="146"/>
  <c r="S230" i="146"/>
  <c r="V229" i="146"/>
  <c r="S229" i="146"/>
  <c r="Q230" i="146" a="1"/>
  <c r="Q230" i="146" s="1"/>
  <c r="U230" i="146" s="1"/>
  <c r="Q229" i="146" a="1"/>
  <c r="Q229" i="146" s="1"/>
  <c r="U229" i="146" s="1"/>
  <c r="O230" i="146" a="1"/>
  <c r="O230" i="146" s="1"/>
  <c r="T230" i="146" s="1" a="1"/>
  <c r="T230" i="146" s="1"/>
  <c r="O229" i="146" a="1"/>
  <c r="O229" i="146" s="1"/>
  <c r="T229" i="146" s="1" a="1"/>
  <c r="T229" i="146" s="1"/>
  <c r="B230" i="146"/>
  <c r="BC230" i="146" s="1"/>
  <c r="B229" i="146"/>
  <c r="BC229" i="146" s="1"/>
  <c r="H230" i="146"/>
  <c r="H229" i="146"/>
  <c r="W230" i="146" l="1"/>
  <c r="X230" i="146" s="1"/>
  <c r="Y230" i="146" s="1"/>
  <c r="W75" i="146"/>
  <c r="X75" i="146" s="1"/>
  <c r="Y75" i="146" s="1"/>
  <c r="AX77" i="146"/>
  <c r="AY77" i="146" s="1"/>
  <c r="AZ77" i="146" s="1"/>
  <c r="AX75" i="146"/>
  <c r="AY75" i="146" s="1"/>
  <c r="AZ75" i="146" s="1"/>
  <c r="AX76" i="146"/>
  <c r="AY76" i="146" s="1"/>
  <c r="AZ76" i="146" s="1"/>
  <c r="W200" i="146"/>
  <c r="X200" i="146" s="1"/>
  <c r="Y200" i="146" s="1"/>
  <c r="AX200" i="146"/>
  <c r="AY200" i="146" s="1"/>
  <c r="AZ200" i="146" s="1"/>
  <c r="BC200" i="146"/>
  <c r="AX230" i="146"/>
  <c r="AY230" i="146" s="1"/>
  <c r="AZ230" i="146" s="1"/>
  <c r="W229" i="146"/>
  <c r="X229" i="146" s="1"/>
  <c r="Y229" i="146" s="1"/>
  <c r="AX229" i="146"/>
  <c r="AY229" i="146" s="1"/>
  <c r="AZ229" i="146" s="1"/>
  <c r="AW78" i="146" l="1"/>
  <c r="AW74" i="146"/>
  <c r="AW72" i="146"/>
  <c r="AU72" i="146"/>
  <c r="AR78" i="146"/>
  <c r="AV78" i="146" s="1"/>
  <c r="AQ78" i="146"/>
  <c r="AU78" i="146" s="1"/>
  <c r="AP78" i="146"/>
  <c r="AT78" i="146" s="1"/>
  <c r="AR74" i="146"/>
  <c r="AV74" i="146" s="1"/>
  <c r="AQ74" i="146"/>
  <c r="AU74" i="146" s="1"/>
  <c r="AP74" i="146"/>
  <c r="AT74" i="146" s="1"/>
  <c r="AR72" i="146"/>
  <c r="AV72" i="146" s="1"/>
  <c r="AQ72" i="146"/>
  <c r="AP72" i="146"/>
  <c r="AT72" i="146" s="1"/>
  <c r="V78" i="146"/>
  <c r="S78" i="146"/>
  <c r="V74" i="146"/>
  <c r="S74" i="146"/>
  <c r="V72" i="146"/>
  <c r="S72" i="146"/>
  <c r="Q78" i="146" a="1"/>
  <c r="Q78" i="146" s="1"/>
  <c r="U78" i="146" s="1"/>
  <c r="Q74" i="146" a="1"/>
  <c r="Q74" i="146" s="1"/>
  <c r="U74" i="146" s="1"/>
  <c r="Q72" i="146" a="1"/>
  <c r="Q72" i="146" s="1"/>
  <c r="U72" i="146" s="1"/>
  <c r="O78" i="146" a="1"/>
  <c r="O78" i="146" s="1"/>
  <c r="T78" i="146" s="1" a="1"/>
  <c r="T78" i="146" s="1"/>
  <c r="O74" i="146" a="1"/>
  <c r="O74" i="146" s="1"/>
  <c r="T74" i="146" s="1" a="1"/>
  <c r="T74" i="146" s="1"/>
  <c r="O72" i="146" a="1"/>
  <c r="O72" i="146" s="1"/>
  <c r="T72" i="146" s="1" a="1"/>
  <c r="T72" i="146" s="1"/>
  <c r="BJ71" i="146"/>
  <c r="BJ72" i="146"/>
  <c r="BS72" i="146" s="1"/>
  <c r="BJ74" i="146"/>
  <c r="BS74" i="146" s="1"/>
  <c r="BJ78" i="146"/>
  <c r="BS78" i="146" s="1"/>
  <c r="BJ224" i="146"/>
  <c r="BJ225" i="146"/>
  <c r="BJ226" i="146"/>
  <c r="AX78" i="146" l="1"/>
  <c r="AY78" i="146" s="1"/>
  <c r="AX74" i="146"/>
  <c r="AY74" i="146" s="1"/>
  <c r="AX72" i="146"/>
  <c r="AY72" i="146" s="1"/>
  <c r="W78" i="146"/>
  <c r="X78" i="146" s="1"/>
  <c r="Y78" i="146" s="1"/>
  <c r="W74" i="146"/>
  <c r="X74" i="146" s="1"/>
  <c r="Y74" i="146" s="1"/>
  <c r="W72" i="146"/>
  <c r="X72" i="146" s="1"/>
  <c r="Y72" i="146" s="1"/>
  <c r="B78" i="146" l="1"/>
  <c r="B74" i="146"/>
  <c r="BC74" i="146" s="1"/>
  <c r="H78" i="146"/>
  <c r="H74" i="146"/>
  <c r="BT128" i="146"/>
  <c r="BS128" i="146"/>
  <c r="BR128" i="146"/>
  <c r="BQ128" i="146"/>
  <c r="BP128" i="146"/>
  <c r="AW128" i="146"/>
  <c r="AR128" i="146"/>
  <c r="AV128" i="146" s="1"/>
  <c r="AR126" i="146"/>
  <c r="AQ128" i="146"/>
  <c r="AU128" i="146" s="1"/>
  <c r="AP128" i="146"/>
  <c r="AT128" i="146" s="1"/>
  <c r="B128" i="146"/>
  <c r="BC128" i="146" s="1"/>
  <c r="AA128" i="146"/>
  <c r="AB128" i="146" s="1"/>
  <c r="V128" i="146"/>
  <c r="S128" i="146"/>
  <c r="Q128" i="146" a="1"/>
  <c r="Q128" i="146" s="1"/>
  <c r="U128" i="146" s="1"/>
  <c r="O128" i="146" a="1"/>
  <c r="O128" i="146" s="1"/>
  <c r="T128" i="146" s="1" a="1"/>
  <c r="T128" i="146" s="1"/>
  <c r="H128" i="146"/>
  <c r="AZ74" i="146" l="1"/>
  <c r="BC78" i="146"/>
  <c r="AZ78" i="146"/>
  <c r="W128" i="146"/>
  <c r="X128" i="146" s="1"/>
  <c r="Y128" i="146" s="1"/>
  <c r="AX128" i="146"/>
  <c r="AY128" i="146" s="1"/>
  <c r="AZ128" i="146" s="1"/>
  <c r="AA65" i="146"/>
  <c r="AB65" i="146" s="1"/>
  <c r="BT71" i="146"/>
  <c r="BS71" i="146"/>
  <c r="BR71" i="146"/>
  <c r="BQ71" i="146"/>
  <c r="BP71" i="146"/>
  <c r="AW71" i="146"/>
  <c r="AU71" i="146"/>
  <c r="AR71" i="146"/>
  <c r="AV71" i="146" s="1"/>
  <c r="AQ71" i="146"/>
  <c r="AP71" i="146"/>
  <c r="AT71" i="146" s="1"/>
  <c r="AA71" i="146"/>
  <c r="AB71" i="146" s="1"/>
  <c r="V71" i="146"/>
  <c r="S71" i="146"/>
  <c r="Q71" i="146" a="1"/>
  <c r="Q71" i="146" s="1"/>
  <c r="U71" i="146" s="1"/>
  <c r="O71" i="146" a="1"/>
  <c r="O71" i="146" s="1"/>
  <c r="T71" i="146" s="1" a="1"/>
  <c r="T71" i="146" s="1"/>
  <c r="H72" i="146"/>
  <c r="B72" i="146"/>
  <c r="H71" i="146"/>
  <c r="B71" i="146"/>
  <c r="Y79" i="146"/>
  <c r="Y92" i="146"/>
  <c r="Y93" i="146"/>
  <c r="Y94" i="146"/>
  <c r="Y100" i="146"/>
  <c r="BW231" i="146"/>
  <c r="BW228" i="146"/>
  <c r="BW227" i="146"/>
  <c r="AW231" i="146"/>
  <c r="S231" i="146"/>
  <c r="V231" i="146"/>
  <c r="Q231" i="146" a="1"/>
  <c r="Q231" i="146" s="1"/>
  <c r="U231" i="146" s="1"/>
  <c r="O231" i="146" a="1"/>
  <c r="O231" i="146" s="1"/>
  <c r="T231" i="146" s="1" a="1"/>
  <c r="T231" i="146" s="1"/>
  <c r="AW228" i="146"/>
  <c r="AR231" i="146"/>
  <c r="AV231" i="146" s="1"/>
  <c r="AQ231" i="146"/>
  <c r="AU231" i="146" s="1"/>
  <c r="AP231" i="146"/>
  <c r="AT231" i="146" s="1"/>
  <c r="AR228" i="146"/>
  <c r="AV228" i="146" s="1"/>
  <c r="AQ228" i="146"/>
  <c r="AU228" i="146" s="1"/>
  <c r="AP228" i="146"/>
  <c r="AT228" i="146" s="1"/>
  <c r="S228" i="146"/>
  <c r="V228" i="146"/>
  <c r="Q228" i="146" a="1"/>
  <c r="Q228" i="146" s="1"/>
  <c r="U228" i="146" s="1"/>
  <c r="O228" i="146" a="1"/>
  <c r="O228" i="146" s="1"/>
  <c r="T228" i="146" s="1" a="1"/>
  <c r="T228" i="146" s="1"/>
  <c r="BJ231" i="146"/>
  <c r="BS231" i="146" s="1"/>
  <c r="BJ228" i="146"/>
  <c r="BS228" i="146" s="1"/>
  <c r="BT231" i="146"/>
  <c r="BR231" i="146"/>
  <c r="BQ231" i="146"/>
  <c r="BP231" i="146"/>
  <c r="BT228" i="146"/>
  <c r="BR228" i="146"/>
  <c r="BQ228" i="146"/>
  <c r="AW227" i="146"/>
  <c r="AW226" i="146"/>
  <c r="AR227" i="146"/>
  <c r="AV227" i="146" s="1"/>
  <c r="AQ227" i="146"/>
  <c r="AU227" i="146" s="1"/>
  <c r="AP227" i="146"/>
  <c r="AT227" i="146" s="1"/>
  <c r="BR227" i="146"/>
  <c r="BT227" i="146"/>
  <c r="BJ227" i="146"/>
  <c r="BS227" i="146" s="1"/>
  <c r="BP227" i="146"/>
  <c r="BQ227" i="146"/>
  <c r="AA231" i="146"/>
  <c r="AB231" i="146" s="1"/>
  <c r="AA228" i="146"/>
  <c r="AB228" i="146" s="1"/>
  <c r="AA227" i="146"/>
  <c r="AB227" i="146" s="1"/>
  <c r="S227" i="146"/>
  <c r="V227" i="146"/>
  <c r="Q227" i="146" a="1"/>
  <c r="Q227" i="146" s="1"/>
  <c r="U227" i="146" s="1"/>
  <c r="O227" i="146" a="1"/>
  <c r="O227" i="146" s="1"/>
  <c r="T227" i="146" s="1" a="1"/>
  <c r="T227" i="146" s="1"/>
  <c r="H231" i="146"/>
  <c r="H228" i="146"/>
  <c r="H227" i="146"/>
  <c r="B231" i="146"/>
  <c r="BC231" i="146" s="1"/>
  <c r="B228" i="146"/>
  <c r="BC228" i="146" s="1"/>
  <c r="B227" i="146"/>
  <c r="BC227" i="146" s="1"/>
  <c r="BW226" i="146"/>
  <c r="BW225" i="146"/>
  <c r="BW224" i="146"/>
  <c r="BR226" i="146"/>
  <c r="BR225" i="146"/>
  <c r="BR224" i="146"/>
  <c r="BT226" i="146"/>
  <c r="BT225" i="146"/>
  <c r="BT224" i="146"/>
  <c r="AW225" i="146"/>
  <c r="AW224" i="146"/>
  <c r="AR226" i="146"/>
  <c r="AV226" i="146" s="1"/>
  <c r="AQ226" i="146"/>
  <c r="AU226" i="146" s="1"/>
  <c r="AP226" i="146"/>
  <c r="AT226" i="146" s="1"/>
  <c r="AR225" i="146"/>
  <c r="AV225" i="146" s="1"/>
  <c r="AQ225" i="146"/>
  <c r="AU225" i="146" s="1"/>
  <c r="AP225" i="146"/>
  <c r="AT225" i="146" s="1"/>
  <c r="AR224" i="146"/>
  <c r="AV224" i="146" s="1"/>
  <c r="AQ224" i="146"/>
  <c r="AU224" i="146" s="1"/>
  <c r="AP224" i="146"/>
  <c r="AT224" i="146" s="1"/>
  <c r="BS226" i="146"/>
  <c r="BQ226" i="146"/>
  <c r="BS225" i="146"/>
  <c r="BQ225" i="146"/>
  <c r="BS224" i="146"/>
  <c r="BQ224" i="146"/>
  <c r="AA226" i="146"/>
  <c r="AB226" i="146" s="1"/>
  <c r="AA225" i="146"/>
  <c r="AB225" i="146" s="1"/>
  <c r="AA224" i="146"/>
  <c r="AB224" i="146" s="1"/>
  <c r="AA223" i="146"/>
  <c r="AB223" i="146" s="1"/>
  <c r="AA222" i="146"/>
  <c r="AB222" i="146" s="1"/>
  <c r="V226" i="146"/>
  <c r="V225" i="146"/>
  <c r="S226" i="146"/>
  <c r="S225" i="146"/>
  <c r="S224" i="146"/>
  <c r="V224" i="146"/>
  <c r="Q226" i="146" a="1"/>
  <c r="Q226" i="146" s="1"/>
  <c r="U226" i="146" s="1"/>
  <c r="Q225" i="146" a="1"/>
  <c r="Q225" i="146" s="1"/>
  <c r="U225" i="146" s="1"/>
  <c r="Q224" i="146" a="1"/>
  <c r="Q224" i="146" s="1"/>
  <c r="U224" i="146" s="1"/>
  <c r="O226" i="146" a="1"/>
  <c r="O226" i="146" s="1"/>
  <c r="T226" i="146" s="1" a="1"/>
  <c r="T226" i="146" s="1"/>
  <c r="O225" i="146" a="1"/>
  <c r="O225" i="146" s="1"/>
  <c r="T225" i="146" s="1" a="1"/>
  <c r="T225" i="146" s="1"/>
  <c r="O224" i="146" a="1"/>
  <c r="O224" i="146" s="1"/>
  <c r="T224" i="146" s="1" a="1"/>
  <c r="T224" i="146" s="1"/>
  <c r="B226" i="146"/>
  <c r="BC226" i="146" s="1"/>
  <c r="B225" i="146"/>
  <c r="BC225" i="146" s="1"/>
  <c r="B224" i="146"/>
  <c r="BC224" i="146" s="1"/>
  <c r="H226" i="146"/>
  <c r="H225" i="146"/>
  <c r="H224" i="146"/>
  <c r="AW248" i="146"/>
  <c r="AW247" i="146"/>
  <c r="AW246" i="146"/>
  <c r="Q105" i="146" a="1"/>
  <c r="Q105" i="146" s="1"/>
  <c r="BT190" i="146"/>
  <c r="BR190" i="146"/>
  <c r="BQ190" i="146"/>
  <c r="BP190" i="146"/>
  <c r="AR190" i="146"/>
  <c r="AV190" i="146" s="1"/>
  <c r="AQ190" i="146"/>
  <c r="AU190" i="146" s="1"/>
  <c r="AP190" i="146"/>
  <c r="AT190" i="146" s="1"/>
  <c r="AW190" i="146"/>
  <c r="BC71" i="146" l="1"/>
  <c r="BC72" i="146"/>
  <c r="AZ72" i="146"/>
  <c r="W71" i="146"/>
  <c r="X71" i="146" s="1"/>
  <c r="Y71" i="146" s="1"/>
  <c r="AX71" i="146"/>
  <c r="AY71" i="146" s="1"/>
  <c r="AZ71" i="146" s="1"/>
  <c r="W228" i="146"/>
  <c r="X228" i="146" s="1"/>
  <c r="Y228" i="146" s="1"/>
  <c r="AX226" i="146"/>
  <c r="AY226" i="146" s="1"/>
  <c r="AZ226" i="146" s="1"/>
  <c r="W231" i="146"/>
  <c r="X231" i="146" s="1"/>
  <c r="Y231" i="146" s="1"/>
  <c r="AX227" i="146"/>
  <c r="AY227" i="146" s="1"/>
  <c r="AZ227" i="146" s="1"/>
  <c r="AX228" i="146"/>
  <c r="AY228" i="146" s="1"/>
  <c r="AZ228" i="146" s="1"/>
  <c r="AX231" i="146"/>
  <c r="AY231" i="146" s="1"/>
  <c r="AZ231" i="146" s="1"/>
  <c r="W227" i="146"/>
  <c r="X227" i="146" s="1"/>
  <c r="Y227" i="146" s="1"/>
  <c r="W226" i="146"/>
  <c r="X226" i="146" s="1"/>
  <c r="Y226" i="146" s="1"/>
  <c r="AX224" i="146"/>
  <c r="AY224" i="146" s="1"/>
  <c r="AZ224" i="146" s="1"/>
  <c r="AX225" i="146"/>
  <c r="AY225" i="146" s="1"/>
  <c r="AZ225" i="146" s="1"/>
  <c r="W224" i="146"/>
  <c r="X224" i="146" s="1"/>
  <c r="Y224" i="146" s="1"/>
  <c r="W225" i="146"/>
  <c r="X225" i="146" s="1"/>
  <c r="Y225" i="146" s="1"/>
  <c r="AX190" i="146"/>
  <c r="AY190" i="146" s="1"/>
  <c r="H190" i="146"/>
  <c r="BW101" i="146"/>
  <c r="BT101" i="146"/>
  <c r="BR101" i="146"/>
  <c r="BQ101" i="146"/>
  <c r="BP101" i="146"/>
  <c r="BJ101" i="146"/>
  <c r="BS101" i="146" s="1"/>
  <c r="AW101" i="146"/>
  <c r="AR101" i="146"/>
  <c r="AV101" i="146" s="1"/>
  <c r="AQ101" i="146"/>
  <c r="AU101" i="146" s="1"/>
  <c r="AP101" i="146"/>
  <c r="AT101" i="146" s="1"/>
  <c r="AA101" i="146"/>
  <c r="AB101" i="146" s="1"/>
  <c r="AA91" i="146"/>
  <c r="AB91" i="146" s="1"/>
  <c r="V101" i="146"/>
  <c r="S101" i="146"/>
  <c r="Q101" i="146" a="1"/>
  <c r="Q101" i="146" s="1"/>
  <c r="U101" i="146" s="1"/>
  <c r="O101" i="146" a="1"/>
  <c r="O101" i="146" s="1"/>
  <c r="T101" i="146" s="1" a="1"/>
  <c r="T101" i="146" s="1"/>
  <c r="H101" i="146"/>
  <c r="B101" i="146"/>
  <c r="BC101" i="146" s="1"/>
  <c r="AW244" i="146"/>
  <c r="AW201" i="146"/>
  <c r="AW269" i="146"/>
  <c r="AW263" i="146"/>
  <c r="AW258" i="146"/>
  <c r="AW250" i="146"/>
  <c r="AW249" i="146"/>
  <c r="AW245" i="146"/>
  <c r="BT143" i="146"/>
  <c r="BR143" i="146"/>
  <c r="BQ143" i="146"/>
  <c r="BP143" i="146"/>
  <c r="BJ143" i="146"/>
  <c r="BS143" i="146" s="1"/>
  <c r="AW143" i="146"/>
  <c r="AR143" i="146"/>
  <c r="AV143" i="146" s="1"/>
  <c r="AQ143" i="146"/>
  <c r="AU143" i="146" s="1"/>
  <c r="AP143" i="146"/>
  <c r="AT143" i="146" s="1"/>
  <c r="AA143" i="146"/>
  <c r="AB143" i="146" s="1"/>
  <c r="V143" i="146"/>
  <c r="S143" i="146"/>
  <c r="Q143" i="146"/>
  <c r="U143" i="146" s="1"/>
  <c r="O143" i="146" a="1"/>
  <c r="O143" i="146" s="1"/>
  <c r="T143" i="146" s="1" a="1"/>
  <c r="T143" i="146" s="1"/>
  <c r="V49" i="146"/>
  <c r="V60" i="146"/>
  <c r="AA54" i="146"/>
  <c r="AB54" i="146" s="1"/>
  <c r="AA51" i="146"/>
  <c r="AB51" i="146" s="1"/>
  <c r="AA50" i="146"/>
  <c r="AB50" i="146" s="1"/>
  <c r="B143" i="146"/>
  <c r="BC143" i="146" s="1"/>
  <c r="H143" i="146"/>
  <c r="BW279" i="146"/>
  <c r="BW278" i="146"/>
  <c r="BW277" i="146"/>
  <c r="BW276" i="146"/>
  <c r="BW270" i="146"/>
  <c r="BW269" i="146"/>
  <c r="BW268" i="146"/>
  <c r="BW267" i="146"/>
  <c r="BW266" i="146"/>
  <c r="BW265" i="146"/>
  <c r="BW264" i="146"/>
  <c r="BW263" i="146"/>
  <c r="BW262" i="146"/>
  <c r="BW261" i="146"/>
  <c r="BW260" i="146"/>
  <c r="BW259" i="146"/>
  <c r="BW258" i="146"/>
  <c r="BW257" i="146"/>
  <c r="BW256" i="146"/>
  <c r="BW255" i="146"/>
  <c r="BW254" i="146"/>
  <c r="BW253" i="146"/>
  <c r="BW252" i="146"/>
  <c r="BW251" i="146"/>
  <c r="BW250" i="146"/>
  <c r="BW249" i="146"/>
  <c r="BW248" i="146"/>
  <c r="BW247" i="146"/>
  <c r="BW246" i="146"/>
  <c r="BW245" i="146"/>
  <c r="BW244" i="146"/>
  <c r="BW243" i="146"/>
  <c r="BW242" i="146"/>
  <c r="BW241" i="146"/>
  <c r="BW240" i="146"/>
  <c r="BW239" i="146"/>
  <c r="BW238" i="146"/>
  <c r="BW223" i="146"/>
  <c r="BW222" i="146"/>
  <c r="BW221" i="146"/>
  <c r="BW220" i="146"/>
  <c r="BW219" i="146"/>
  <c r="BW218" i="146"/>
  <c r="BW217" i="146"/>
  <c r="BW216" i="146"/>
  <c r="BW215" i="146"/>
  <c r="BW213" i="146"/>
  <c r="BW212" i="146"/>
  <c r="BW210" i="146"/>
  <c r="BW208" i="146"/>
  <c r="BW207" i="146"/>
  <c r="BW205" i="146"/>
  <c r="BW204" i="146"/>
  <c r="BW203" i="146"/>
  <c r="BW202" i="146"/>
  <c r="BW201" i="146"/>
  <c r="BW199" i="146"/>
  <c r="BW198" i="146"/>
  <c r="BW196" i="146"/>
  <c r="BW195" i="146"/>
  <c r="BW194" i="146"/>
  <c r="BW193" i="146"/>
  <c r="BW192" i="146"/>
  <c r="BW191" i="146"/>
  <c r="BW171" i="146"/>
  <c r="BW170" i="146"/>
  <c r="BW169" i="146"/>
  <c r="BW168" i="146"/>
  <c r="BW167" i="146"/>
  <c r="BW166" i="146"/>
  <c r="BW165" i="146"/>
  <c r="BW164" i="146"/>
  <c r="BW163" i="146"/>
  <c r="BW162" i="146"/>
  <c r="BW161" i="146"/>
  <c r="BW160" i="146"/>
  <c r="BW159" i="146"/>
  <c r="BW158" i="146"/>
  <c r="BW157" i="146"/>
  <c r="BW156" i="146"/>
  <c r="BW155" i="146"/>
  <c r="BW154" i="146"/>
  <c r="BW153" i="146"/>
  <c r="BW142" i="146"/>
  <c r="BW141" i="146"/>
  <c r="BW140" i="146"/>
  <c r="BW139" i="146"/>
  <c r="BW138" i="146"/>
  <c r="BW137" i="146"/>
  <c r="BW127" i="146"/>
  <c r="BW126" i="146"/>
  <c r="BW124" i="146"/>
  <c r="BW123" i="146"/>
  <c r="BW122" i="146"/>
  <c r="BW121" i="146"/>
  <c r="BW120" i="146"/>
  <c r="BW119" i="146"/>
  <c r="BW118" i="146"/>
  <c r="BW117" i="146"/>
  <c r="BW115" i="146"/>
  <c r="BW114" i="146"/>
  <c r="BW113" i="146"/>
  <c r="BW112" i="146"/>
  <c r="BW111" i="146"/>
  <c r="BW110" i="146"/>
  <c r="BW109" i="146"/>
  <c r="BW108" i="146"/>
  <c r="BW100" i="146"/>
  <c r="BW99" i="146"/>
  <c r="BW98" i="146"/>
  <c r="BW96" i="146"/>
  <c r="BW95" i="146"/>
  <c r="BW94" i="146"/>
  <c r="BW93" i="146"/>
  <c r="BW92" i="146"/>
  <c r="BW91" i="146"/>
  <c r="BW90" i="146"/>
  <c r="BW89" i="146"/>
  <c r="BW88" i="146"/>
  <c r="BW87" i="146"/>
  <c r="BW86" i="146"/>
  <c r="BW85" i="146"/>
  <c r="BW84" i="146"/>
  <c r="BW83" i="146"/>
  <c r="BW82" i="146"/>
  <c r="BW81" i="146"/>
  <c r="BW80" i="146"/>
  <c r="BW79" i="146"/>
  <c r="BW70" i="146"/>
  <c r="BW69" i="146"/>
  <c r="BW67" i="146"/>
  <c r="BW66" i="146"/>
  <c r="BW65" i="146"/>
  <c r="BW63" i="146"/>
  <c r="BW62" i="146"/>
  <c r="BW60" i="146"/>
  <c r="BW54" i="146"/>
  <c r="BW52" i="146"/>
  <c r="BW51" i="146"/>
  <c r="BW50" i="146"/>
  <c r="BW49" i="146"/>
  <c r="BW40" i="146"/>
  <c r="BW39" i="146"/>
  <c r="BW24" i="146"/>
  <c r="BW23" i="146"/>
  <c r="BW22" i="146"/>
  <c r="BW21" i="146"/>
  <c r="BW20" i="146"/>
  <c r="BW19" i="146"/>
  <c r="BW18" i="146"/>
  <c r="BW17" i="146"/>
  <c r="BW16" i="146"/>
  <c r="BW15" i="146"/>
  <c r="BW14" i="146"/>
  <c r="BW13" i="146"/>
  <c r="BW12" i="146"/>
  <c r="BW11" i="146"/>
  <c r="BW10" i="146"/>
  <c r="BW9" i="146"/>
  <c r="BW8" i="146"/>
  <c r="BW7" i="146"/>
  <c r="BW6" i="146"/>
  <c r="BT262" i="146"/>
  <c r="BR262" i="146"/>
  <c r="BQ262" i="146"/>
  <c r="BP262" i="146"/>
  <c r="BJ262" i="146"/>
  <c r="BS262" i="146" s="1"/>
  <c r="AR262" i="146"/>
  <c r="AV262" i="146" s="1"/>
  <c r="AQ262" i="146"/>
  <c r="AU262" i="146" s="1"/>
  <c r="AP262" i="146"/>
  <c r="AT262" i="146" s="1"/>
  <c r="AA262" i="146"/>
  <c r="AB262" i="146" s="1"/>
  <c r="V262" i="146"/>
  <c r="S262" i="146"/>
  <c r="Q262" i="146" a="1"/>
  <c r="Q262" i="146" s="1"/>
  <c r="U262" i="146" s="1"/>
  <c r="O262" i="146" a="1"/>
  <c r="O262" i="146" s="1"/>
  <c r="T262" i="146" s="1" a="1"/>
  <c r="T262" i="146" s="1"/>
  <c r="H262" i="146"/>
  <c r="B262" i="146"/>
  <c r="BC262" i="146" s="1"/>
  <c r="BT238" i="146"/>
  <c r="BR238" i="146"/>
  <c r="BQ238" i="146"/>
  <c r="BP238" i="146"/>
  <c r="BJ238" i="146"/>
  <c r="BS238" i="146" s="1"/>
  <c r="AW238" i="146"/>
  <c r="AU238" i="146"/>
  <c r="AR238" i="146"/>
  <c r="AV238" i="146" s="1"/>
  <c r="AQ238" i="146"/>
  <c r="AP238" i="146"/>
  <c r="AT238" i="146" s="1"/>
  <c r="AA238" i="146"/>
  <c r="AB238" i="146" s="1"/>
  <c r="V238" i="146"/>
  <c r="S238" i="146"/>
  <c r="Q238" i="146" a="1"/>
  <c r="Q238" i="146" s="1"/>
  <c r="U238" i="146" s="1"/>
  <c r="O238" i="146" a="1"/>
  <c r="O238" i="146" s="1"/>
  <c r="T238" i="146" s="1" a="1"/>
  <c r="T238" i="146" s="1"/>
  <c r="H238" i="146"/>
  <c r="B238" i="146"/>
  <c r="BC238" i="146" s="1"/>
  <c r="BT255" i="146"/>
  <c r="BR255" i="146"/>
  <c r="BQ255" i="146"/>
  <c r="BP255" i="146"/>
  <c r="BJ255" i="146"/>
  <c r="BS255" i="146" s="1"/>
  <c r="AR255" i="146"/>
  <c r="AV255" i="146" s="1"/>
  <c r="AQ255" i="146"/>
  <c r="AU255" i="146" s="1"/>
  <c r="AP255" i="146"/>
  <c r="AT255" i="146" s="1"/>
  <c r="AA255" i="146"/>
  <c r="AB255" i="146" s="1"/>
  <c r="V255" i="146"/>
  <c r="S255" i="146"/>
  <c r="Q255" i="146" a="1"/>
  <c r="Q255" i="146" s="1"/>
  <c r="U255" i="146" s="1"/>
  <c r="O255" i="146" a="1"/>
  <c r="O255" i="146" s="1"/>
  <c r="T255" i="146" s="1" a="1"/>
  <c r="T255" i="146" s="1"/>
  <c r="H255" i="146"/>
  <c r="B255" i="146"/>
  <c r="BC255" i="146" s="1"/>
  <c r="BT254" i="146"/>
  <c r="BR254" i="146"/>
  <c r="BQ254" i="146"/>
  <c r="BP254" i="146"/>
  <c r="BJ254" i="146"/>
  <c r="BS254" i="146" s="1"/>
  <c r="AR254" i="146"/>
  <c r="AV254" i="146" s="1"/>
  <c r="AQ254" i="146"/>
  <c r="AU254" i="146" s="1"/>
  <c r="AP254" i="146"/>
  <c r="AT254" i="146" s="1"/>
  <c r="AA254" i="146"/>
  <c r="AB254" i="146" s="1"/>
  <c r="V254" i="146"/>
  <c r="S254" i="146"/>
  <c r="Q254" i="146" a="1"/>
  <c r="Q254" i="146" s="1"/>
  <c r="U254" i="146" s="1"/>
  <c r="O254" i="146" a="1"/>
  <c r="O254" i="146" s="1"/>
  <c r="T254" i="146" s="1" a="1"/>
  <c r="T254" i="146" s="1"/>
  <c r="H254" i="146"/>
  <c r="B254" i="146"/>
  <c r="BC254" i="146" s="1"/>
  <c r="BT272" i="146"/>
  <c r="BR272" i="146"/>
  <c r="BQ272" i="146"/>
  <c r="BP272" i="146"/>
  <c r="BJ272" i="146"/>
  <c r="BS272" i="146" s="1"/>
  <c r="AW272" i="146"/>
  <c r="AR272" i="146"/>
  <c r="AV272" i="146" s="1"/>
  <c r="AQ272" i="146"/>
  <c r="AU272" i="146" s="1"/>
  <c r="AP272" i="146"/>
  <c r="AT272" i="146" s="1"/>
  <c r="AA272" i="146"/>
  <c r="AB272" i="146" s="1"/>
  <c r="V272" i="146"/>
  <c r="U272" i="146"/>
  <c r="S272" i="146"/>
  <c r="O272" i="146" a="1"/>
  <c r="O272" i="146" s="1"/>
  <c r="T272" i="146" s="1" a="1"/>
  <c r="T272" i="146" s="1"/>
  <c r="B272" i="146"/>
  <c r="AZ272" i="146" s="1"/>
  <c r="BQ270" i="146"/>
  <c r="BP270" i="146"/>
  <c r="BJ270" i="146"/>
  <c r="BS270" i="146" s="1"/>
  <c r="AW270" i="146"/>
  <c r="AU270" i="146"/>
  <c r="AR270" i="146"/>
  <c r="AV270" i="146" s="1"/>
  <c r="AQ270" i="146"/>
  <c r="AP270" i="146"/>
  <c r="AT270" i="146" s="1"/>
  <c r="AA270" i="146"/>
  <c r="AB270" i="146" s="1"/>
  <c r="V270" i="146"/>
  <c r="S270" i="146"/>
  <c r="Q270" i="146" a="1"/>
  <c r="Q270" i="146" s="1"/>
  <c r="U270" i="146" s="1"/>
  <c r="O270" i="146" a="1"/>
  <c r="O270" i="146" s="1"/>
  <c r="T270" i="146" s="1" a="1"/>
  <c r="T270" i="146" s="1"/>
  <c r="H270" i="146"/>
  <c r="B270" i="146"/>
  <c r="BC270" i="146" s="1"/>
  <c r="BT269" i="146"/>
  <c r="BR269" i="146"/>
  <c r="BQ269" i="146"/>
  <c r="BP269" i="146"/>
  <c r="BJ269" i="146"/>
  <c r="BS269" i="146" s="1"/>
  <c r="AR269" i="146"/>
  <c r="AV269" i="146" s="1"/>
  <c r="AQ269" i="146"/>
  <c r="AU269" i="146" s="1"/>
  <c r="AP269" i="146"/>
  <c r="AT269" i="146" s="1"/>
  <c r="S269" i="146"/>
  <c r="Q269" i="146" a="1"/>
  <c r="Q269" i="146" s="1"/>
  <c r="U269" i="146" s="1"/>
  <c r="O269" i="146" a="1"/>
  <c r="O269" i="146" s="1"/>
  <c r="T269" i="146" s="1" a="1"/>
  <c r="T269" i="146" s="1"/>
  <c r="H269" i="146"/>
  <c r="B269" i="146"/>
  <c r="BT268" i="146"/>
  <c r="BR268" i="146"/>
  <c r="BQ268" i="146"/>
  <c r="BP268" i="146"/>
  <c r="BJ268" i="146"/>
  <c r="BS268" i="146" s="1"/>
  <c r="AW268" i="146"/>
  <c r="AR268" i="146"/>
  <c r="AV268" i="146" s="1"/>
  <c r="AQ268" i="146"/>
  <c r="AU268" i="146" s="1"/>
  <c r="AP268" i="146"/>
  <c r="AT268" i="146" s="1"/>
  <c r="V268" i="146"/>
  <c r="S268" i="146"/>
  <c r="Q268" i="146" a="1"/>
  <c r="Q268" i="146" s="1"/>
  <c r="O268" i="146" a="1"/>
  <c r="O268" i="146" s="1"/>
  <c r="T268" i="146" s="1" a="1"/>
  <c r="T268" i="146" s="1"/>
  <c r="H268" i="146"/>
  <c r="B268" i="146"/>
  <c r="BC268" i="146" s="1"/>
  <c r="BT273" i="146"/>
  <c r="BR273" i="146"/>
  <c r="BQ273" i="146"/>
  <c r="BP273" i="146"/>
  <c r="BJ273" i="146"/>
  <c r="BS273" i="146" s="1"/>
  <c r="AW273" i="146"/>
  <c r="AR273" i="146"/>
  <c r="AV273" i="146" s="1"/>
  <c r="AQ273" i="146"/>
  <c r="AU273" i="146" s="1"/>
  <c r="AP273" i="146"/>
  <c r="AT273" i="146" s="1"/>
  <c r="AA273" i="146"/>
  <c r="AB273" i="146" s="1"/>
  <c r="V273" i="146"/>
  <c r="U273" i="146"/>
  <c r="S273" i="146"/>
  <c r="O273" i="146" a="1"/>
  <c r="O273" i="146" s="1"/>
  <c r="T273" i="146" s="1" a="1"/>
  <c r="T273" i="146" s="1"/>
  <c r="B273" i="146"/>
  <c r="BC273" i="146" s="1"/>
  <c r="BT274" i="146"/>
  <c r="BR274" i="146"/>
  <c r="BQ274" i="146"/>
  <c r="BP274" i="146"/>
  <c r="BJ274" i="146"/>
  <c r="BS274" i="146" s="1"/>
  <c r="AW274" i="146"/>
  <c r="AR274" i="146"/>
  <c r="AV274" i="146" s="1"/>
  <c r="AQ274" i="146"/>
  <c r="AU274" i="146" s="1"/>
  <c r="AP274" i="146"/>
  <c r="AT274" i="146" s="1"/>
  <c r="AA274" i="146"/>
  <c r="AB274" i="146" s="1"/>
  <c r="V274" i="146"/>
  <c r="U274" i="146"/>
  <c r="S274" i="146"/>
  <c r="O274" i="146" a="1"/>
  <c r="O274" i="146" s="1"/>
  <c r="T274" i="146" s="1" a="1"/>
  <c r="T274" i="146" s="1"/>
  <c r="B274" i="146"/>
  <c r="AZ274" i="146" s="1"/>
  <c r="BT250" i="146"/>
  <c r="BR250" i="146"/>
  <c r="BQ250" i="146"/>
  <c r="BP250" i="146"/>
  <c r="BJ250" i="146"/>
  <c r="BS250" i="146" s="1"/>
  <c r="AR250" i="146"/>
  <c r="AV250" i="146" s="1"/>
  <c r="AQ250" i="146"/>
  <c r="AU250" i="146" s="1"/>
  <c r="AP250" i="146"/>
  <c r="AT250" i="146" s="1"/>
  <c r="AA250" i="146"/>
  <c r="AB250" i="146" s="1"/>
  <c r="V250" i="146"/>
  <c r="S250" i="146"/>
  <c r="Q250" i="146" a="1"/>
  <c r="Q250" i="146" s="1"/>
  <c r="U250" i="146" s="1"/>
  <c r="O250" i="146" a="1"/>
  <c r="O250" i="146" s="1"/>
  <c r="T250" i="146" s="1" a="1"/>
  <c r="T250" i="146" s="1"/>
  <c r="H250" i="146"/>
  <c r="B250" i="146"/>
  <c r="BC250" i="146" s="1"/>
  <c r="BT249" i="146"/>
  <c r="BR249" i="146"/>
  <c r="BQ249" i="146"/>
  <c r="BP249" i="146"/>
  <c r="BJ249" i="146"/>
  <c r="BS249" i="146" s="1"/>
  <c r="AR249" i="146"/>
  <c r="AV249" i="146" s="1"/>
  <c r="AQ249" i="146"/>
  <c r="AU249" i="146" s="1"/>
  <c r="AP249" i="146"/>
  <c r="AT249" i="146" s="1"/>
  <c r="AA249" i="146"/>
  <c r="AB249" i="146" s="1"/>
  <c r="V249" i="146"/>
  <c r="S249" i="146"/>
  <c r="Q249" i="146" a="1"/>
  <c r="Q249" i="146" s="1"/>
  <c r="U249" i="146" s="1"/>
  <c r="O249" i="146" a="1"/>
  <c r="O249" i="146" s="1"/>
  <c r="T249" i="146" s="1" a="1"/>
  <c r="T249" i="146" s="1"/>
  <c r="H249" i="146"/>
  <c r="B249" i="146"/>
  <c r="BC249" i="146" s="1"/>
  <c r="BT245" i="146"/>
  <c r="BR245" i="146"/>
  <c r="BQ245" i="146"/>
  <c r="BP245" i="146"/>
  <c r="BJ245" i="146"/>
  <c r="BS245" i="146" s="1"/>
  <c r="AR245" i="146"/>
  <c r="AV245" i="146" s="1"/>
  <c r="AQ245" i="146"/>
  <c r="AU245" i="146" s="1"/>
  <c r="AP245" i="146"/>
  <c r="AT245" i="146" s="1"/>
  <c r="AA245" i="146"/>
  <c r="AB245" i="146" s="1"/>
  <c r="V245" i="146"/>
  <c r="S245" i="146"/>
  <c r="Q245" i="146" a="1"/>
  <c r="Q245" i="146" s="1"/>
  <c r="U245" i="146" s="1"/>
  <c r="O245" i="146" a="1"/>
  <c r="O245" i="146" s="1"/>
  <c r="T245" i="146" s="1" a="1"/>
  <c r="T245" i="146" s="1"/>
  <c r="H245" i="146"/>
  <c r="B245" i="146"/>
  <c r="BC245" i="146" s="1"/>
  <c r="BQ244" i="146"/>
  <c r="BP244" i="146"/>
  <c r="BJ244" i="146"/>
  <c r="BS244" i="146" s="1"/>
  <c r="AQ244" i="146"/>
  <c r="AU244" i="146" s="1"/>
  <c r="AP244" i="146"/>
  <c r="AT244" i="146" s="1"/>
  <c r="AN244" i="146"/>
  <c r="AO244" i="146" s="1"/>
  <c r="AA244" i="146"/>
  <c r="AB244" i="146" s="1"/>
  <c r="V244" i="146"/>
  <c r="S244" i="146"/>
  <c r="Q244" i="146" a="1"/>
  <c r="Q244" i="146" s="1"/>
  <c r="U244" i="146" s="1"/>
  <c r="O244" i="146" a="1"/>
  <c r="O244" i="146" s="1"/>
  <c r="T244" i="146" s="1" a="1"/>
  <c r="T244" i="146" s="1"/>
  <c r="H244" i="146"/>
  <c r="B244" i="146"/>
  <c r="BC244" i="146" s="1"/>
  <c r="BQ243" i="146"/>
  <c r="BP243" i="146"/>
  <c r="BJ243" i="146"/>
  <c r="BS243" i="146" s="1"/>
  <c r="AQ243" i="146"/>
  <c r="AU243" i="146" s="1"/>
  <c r="AP243" i="146"/>
  <c r="AT243" i="146" s="1"/>
  <c r="AN243" i="146"/>
  <c r="AO243" i="146" s="1"/>
  <c r="AA243" i="146"/>
  <c r="AB243" i="146" s="1"/>
  <c r="V243" i="146"/>
  <c r="S243" i="146"/>
  <c r="Q243" i="146" a="1"/>
  <c r="Q243" i="146" s="1"/>
  <c r="U243" i="146" s="1"/>
  <c r="O243" i="146" a="1"/>
  <c r="O243" i="146" s="1"/>
  <c r="T243" i="146" s="1" a="1"/>
  <c r="T243" i="146" s="1"/>
  <c r="H243" i="146"/>
  <c r="B243" i="146"/>
  <c r="BC243" i="146" s="1"/>
  <c r="AP242" i="146"/>
  <c r="AT242" i="146" s="1"/>
  <c r="AN242" i="146"/>
  <c r="BT242" i="146" s="1"/>
  <c r="AK242" i="146"/>
  <c r="AA242" i="146"/>
  <c r="AB242" i="146" s="1"/>
  <c r="V242" i="146"/>
  <c r="S242" i="146"/>
  <c r="Q242" i="146" a="1"/>
  <c r="Q242" i="146" s="1"/>
  <c r="U242" i="146" s="1"/>
  <c r="O242" i="146" a="1"/>
  <c r="O242" i="146" s="1"/>
  <c r="T242" i="146" s="1" a="1"/>
  <c r="T242" i="146" s="1"/>
  <c r="H242" i="146"/>
  <c r="B242" i="146"/>
  <c r="AW241" i="146"/>
  <c r="AP241" i="146"/>
  <c r="AT241" i="146" s="1"/>
  <c r="AN241" i="146"/>
  <c r="AK241" i="146"/>
  <c r="AA241" i="146"/>
  <c r="AB241" i="146" s="1"/>
  <c r="V241" i="146"/>
  <c r="S241" i="146"/>
  <c r="Q241" i="146" a="1"/>
  <c r="Q241" i="146" s="1"/>
  <c r="U241" i="146" s="1"/>
  <c r="O241" i="146" a="1"/>
  <c r="O241" i="146" s="1"/>
  <c r="T241" i="146" s="1" a="1"/>
  <c r="T241" i="146" s="1"/>
  <c r="H241" i="146"/>
  <c r="B241" i="146"/>
  <c r="AP240" i="146"/>
  <c r="AT240" i="146" s="1"/>
  <c r="AN240" i="146"/>
  <c r="AK240" i="146"/>
  <c r="AQ240" i="146" s="1"/>
  <c r="AU240" i="146" s="1"/>
  <c r="AA240" i="146"/>
  <c r="AB240" i="146" s="1"/>
  <c r="V240" i="146"/>
  <c r="S240" i="146"/>
  <c r="Q240" i="146" a="1"/>
  <c r="Q240" i="146" s="1"/>
  <c r="U240" i="146" s="1"/>
  <c r="O240" i="146" a="1"/>
  <c r="O240" i="146" s="1"/>
  <c r="T240" i="146" s="1" a="1"/>
  <c r="T240" i="146" s="1"/>
  <c r="H240" i="146"/>
  <c r="B240" i="146"/>
  <c r="BQ239" i="146"/>
  <c r="BP239" i="146"/>
  <c r="BJ239" i="146"/>
  <c r="BS239" i="146" s="1"/>
  <c r="AQ239" i="146"/>
  <c r="AU239" i="146" s="1"/>
  <c r="AP239" i="146"/>
  <c r="AT239" i="146" s="1"/>
  <c r="AN239" i="146"/>
  <c r="BT239" i="146" s="1"/>
  <c r="AA239" i="146"/>
  <c r="AB239" i="146" s="1"/>
  <c r="V239" i="146"/>
  <c r="S239" i="146"/>
  <c r="Q239" i="146" a="1"/>
  <c r="Q239" i="146" s="1"/>
  <c r="U239" i="146" s="1"/>
  <c r="O239" i="146" a="1"/>
  <c r="O239" i="146" s="1"/>
  <c r="T239" i="146" s="1" a="1"/>
  <c r="T239" i="146" s="1"/>
  <c r="H239" i="146"/>
  <c r="B239" i="146"/>
  <c r="BC239" i="146" s="1"/>
  <c r="V279" i="146"/>
  <c r="V278" i="146"/>
  <c r="V277" i="146"/>
  <c r="V276" i="146"/>
  <c r="V267" i="146"/>
  <c r="V266" i="146"/>
  <c r="V265" i="146"/>
  <c r="V264" i="146"/>
  <c r="V263" i="146"/>
  <c r="V261" i="146"/>
  <c r="V260" i="146"/>
  <c r="V259" i="146"/>
  <c r="V258" i="146"/>
  <c r="V257" i="146"/>
  <c r="V256" i="146"/>
  <c r="V253" i="146"/>
  <c r="V252" i="146"/>
  <c r="V251" i="146"/>
  <c r="V248" i="146"/>
  <c r="V247" i="146"/>
  <c r="V246" i="146"/>
  <c r="V223" i="146"/>
  <c r="V222" i="146"/>
  <c r="V221" i="146"/>
  <c r="V220" i="146"/>
  <c r="V219" i="146"/>
  <c r="V218" i="146"/>
  <c r="V217" i="146"/>
  <c r="V216" i="146"/>
  <c r="V215" i="146"/>
  <c r="V213" i="146"/>
  <c r="V212" i="146"/>
  <c r="V210" i="146"/>
  <c r="V208" i="146"/>
  <c r="V207" i="146"/>
  <c r="V205" i="146"/>
  <c r="V204" i="146"/>
  <c r="V203" i="146"/>
  <c r="V202" i="146"/>
  <c r="V201" i="146"/>
  <c r="V199" i="146"/>
  <c r="V198" i="146"/>
  <c r="V196" i="146"/>
  <c r="V195" i="146"/>
  <c r="V194" i="146"/>
  <c r="V193" i="146"/>
  <c r="V192" i="146"/>
  <c r="V191" i="146"/>
  <c r="V171" i="146"/>
  <c r="V170" i="146"/>
  <c r="V169" i="146"/>
  <c r="V168" i="146"/>
  <c r="V167" i="146"/>
  <c r="V166" i="146"/>
  <c r="V165" i="146"/>
  <c r="V164" i="146"/>
  <c r="V163" i="146"/>
  <c r="V162" i="146"/>
  <c r="V161" i="146"/>
  <c r="V160" i="146"/>
  <c r="V159" i="146"/>
  <c r="V158" i="146"/>
  <c r="V157" i="146"/>
  <c r="V156" i="146"/>
  <c r="V155" i="146"/>
  <c r="V154" i="146"/>
  <c r="V153" i="146"/>
  <c r="V142" i="146"/>
  <c r="V141" i="146"/>
  <c r="V140" i="146"/>
  <c r="V139" i="146"/>
  <c r="V138" i="146"/>
  <c r="V137" i="146"/>
  <c r="V127" i="146"/>
  <c r="V126" i="146"/>
  <c r="V124" i="146"/>
  <c r="V123" i="146"/>
  <c r="V122" i="146"/>
  <c r="V121" i="146"/>
  <c r="V120" i="146"/>
  <c r="V119" i="146"/>
  <c r="V118" i="146"/>
  <c r="V117" i="146"/>
  <c r="V115" i="146"/>
  <c r="V114" i="146"/>
  <c r="V113" i="146"/>
  <c r="V112" i="146"/>
  <c r="V111" i="146"/>
  <c r="V110" i="146"/>
  <c r="V109" i="146"/>
  <c r="V108" i="146"/>
  <c r="V100" i="146"/>
  <c r="V99" i="146"/>
  <c r="V98" i="146"/>
  <c r="V96" i="146"/>
  <c r="V95" i="146"/>
  <c r="V94" i="146"/>
  <c r="V93" i="146"/>
  <c r="V92" i="146"/>
  <c r="V91" i="146"/>
  <c r="V90" i="146"/>
  <c r="V89" i="146"/>
  <c r="V88" i="146"/>
  <c r="V87" i="146"/>
  <c r="V86" i="146"/>
  <c r="V85" i="146"/>
  <c r="V84" i="146"/>
  <c r="V83" i="146"/>
  <c r="V82" i="146"/>
  <c r="V81" i="146"/>
  <c r="V80" i="146"/>
  <c r="V79" i="146"/>
  <c r="V70" i="146"/>
  <c r="V69" i="146"/>
  <c r="V67" i="146"/>
  <c r="V66" i="146"/>
  <c r="V65" i="146"/>
  <c r="V63" i="146"/>
  <c r="V62" i="146"/>
  <c r="V54" i="146"/>
  <c r="V52" i="146"/>
  <c r="V51" i="146"/>
  <c r="V50" i="146"/>
  <c r="V40" i="146"/>
  <c r="V39" i="146"/>
  <c r="V24" i="146"/>
  <c r="V23" i="146"/>
  <c r="V22" i="146"/>
  <c r="V21" i="146"/>
  <c r="V20" i="146"/>
  <c r="V19" i="146"/>
  <c r="V18" i="146"/>
  <c r="V17" i="146"/>
  <c r="V16" i="146"/>
  <c r="V15" i="146"/>
  <c r="V14" i="146"/>
  <c r="V13" i="146"/>
  <c r="V12" i="146"/>
  <c r="V11" i="146"/>
  <c r="V10" i="146"/>
  <c r="V9" i="146"/>
  <c r="V8" i="146"/>
  <c r="V7" i="146"/>
  <c r="V6" i="146"/>
  <c r="S251" i="146"/>
  <c r="S223" i="146"/>
  <c r="S222" i="146"/>
  <c r="S216" i="146"/>
  <c r="S215" i="146"/>
  <c r="S212" i="146"/>
  <c r="S169" i="146"/>
  <c r="S127" i="146"/>
  <c r="S100" i="146"/>
  <c r="S94" i="146"/>
  <c r="S93" i="146"/>
  <c r="S92" i="146"/>
  <c r="S91" i="146"/>
  <c r="S83" i="146"/>
  <c r="S79" i="146"/>
  <c r="S67" i="146"/>
  <c r="S65" i="146"/>
  <c r="S60" i="146"/>
  <c r="S54" i="146"/>
  <c r="S51" i="146"/>
  <c r="S50" i="146"/>
  <c r="S49" i="146"/>
  <c r="S40" i="146"/>
  <c r="S39" i="146"/>
  <c r="S9" i="146"/>
  <c r="Q279" i="146" a="1"/>
  <c r="Q279" i="146" s="1"/>
  <c r="Q278" i="146" a="1"/>
  <c r="Q278" i="146" s="1"/>
  <c r="Q277" i="146" a="1"/>
  <c r="Q277" i="146" s="1"/>
  <c r="Q276" i="146" a="1"/>
  <c r="Q276" i="146" s="1"/>
  <c r="Q267" i="146" a="1"/>
  <c r="Q267" i="146" s="1"/>
  <c r="Q266" i="146" a="1"/>
  <c r="Q266" i="146" s="1"/>
  <c r="Q265" i="146" a="1"/>
  <c r="Q265" i="146" s="1"/>
  <c r="Q264" i="146" a="1"/>
  <c r="Q264" i="146" s="1"/>
  <c r="Q263" i="146" a="1"/>
  <c r="Q263" i="146" s="1"/>
  <c r="Q261" i="146" a="1"/>
  <c r="Q261" i="146" s="1"/>
  <c r="Q260" i="146" a="1"/>
  <c r="Q260" i="146" s="1"/>
  <c r="Q259" i="146" a="1"/>
  <c r="Q259" i="146" s="1"/>
  <c r="Q258" i="146" a="1"/>
  <c r="Q258" i="146" s="1"/>
  <c r="Q257" i="146" a="1"/>
  <c r="Q257" i="146" s="1"/>
  <c r="Q256" i="146" a="1"/>
  <c r="Q256" i="146" s="1"/>
  <c r="Q253" i="146" a="1"/>
  <c r="Q253" i="146" s="1"/>
  <c r="Q252" i="146" a="1"/>
  <c r="Q252" i="146" s="1"/>
  <c r="Q251" i="146" a="1"/>
  <c r="Q251" i="146" s="1"/>
  <c r="Q248" i="146" a="1"/>
  <c r="Q248" i="146" s="1"/>
  <c r="Q247" i="146" a="1"/>
  <c r="Q247" i="146" s="1"/>
  <c r="Q246" i="146" a="1"/>
  <c r="Q246" i="146" s="1"/>
  <c r="Q223" i="146" a="1"/>
  <c r="Q223" i="146" s="1"/>
  <c r="U223" i="146" s="1"/>
  <c r="Q222" i="146" a="1"/>
  <c r="Q222" i="146" s="1"/>
  <c r="U222" i="146" s="1"/>
  <c r="Q221" i="146" a="1"/>
  <c r="Q221" i="146" s="1"/>
  <c r="Q220" i="146" a="1"/>
  <c r="Q220" i="146" s="1"/>
  <c r="Q219" i="146" a="1"/>
  <c r="Q219" i="146" s="1"/>
  <c r="Q218" i="146" a="1"/>
  <c r="Q218" i="146" s="1"/>
  <c r="U218" i="146" s="1"/>
  <c r="Q217" i="146" a="1"/>
  <c r="Q217" i="146" s="1"/>
  <c r="U217" i="146" s="1"/>
  <c r="Q216" i="146" a="1"/>
  <c r="Q216" i="146" s="1"/>
  <c r="U216" i="146" s="1"/>
  <c r="Q215" i="146" a="1"/>
  <c r="Q215" i="146" s="1"/>
  <c r="U215" i="146" s="1"/>
  <c r="Q213" i="146" a="1"/>
  <c r="Q213" i="146" s="1"/>
  <c r="Q212" i="146" a="1"/>
  <c r="Q212" i="146" s="1"/>
  <c r="U212" i="146" s="1"/>
  <c r="Q210" i="146" a="1"/>
  <c r="Q210" i="146" s="1"/>
  <c r="Q208" i="146" a="1"/>
  <c r="Q208" i="146" s="1"/>
  <c r="Q207" i="146" a="1"/>
  <c r="Q207" i="146" s="1"/>
  <c r="Q205" i="146" a="1"/>
  <c r="Q205" i="146" s="1"/>
  <c r="Q204" i="146" a="1"/>
  <c r="Q204" i="146" s="1"/>
  <c r="Q203" i="146" a="1"/>
  <c r="Q203" i="146" s="1"/>
  <c r="Q202" i="146" a="1"/>
  <c r="Q202" i="146" s="1"/>
  <c r="Q201" i="146" a="1"/>
  <c r="Q201" i="146" s="1"/>
  <c r="Q199" i="146" a="1"/>
  <c r="Q199" i="146" s="1"/>
  <c r="U199" i="146" s="1"/>
  <c r="Q198" i="146" a="1"/>
  <c r="Q198" i="146" s="1"/>
  <c r="U198" i="146" s="1"/>
  <c r="Q196" i="146" a="1"/>
  <c r="Q196" i="146" s="1"/>
  <c r="Q195" i="146" a="1"/>
  <c r="Q195" i="146" s="1"/>
  <c r="Q194" i="146" a="1"/>
  <c r="Q194" i="146" s="1"/>
  <c r="Q193" i="146" a="1"/>
  <c r="Q193" i="146" s="1"/>
  <c r="Q192" i="146" a="1"/>
  <c r="Q192" i="146" s="1"/>
  <c r="Q191" i="146" a="1"/>
  <c r="Q191" i="146" s="1"/>
  <c r="U191" i="146" s="1"/>
  <c r="Q171" i="146" a="1"/>
  <c r="Q171" i="146" s="1"/>
  <c r="U171" i="146" s="1"/>
  <c r="Q170" i="146" a="1"/>
  <c r="Q170" i="146" s="1"/>
  <c r="U170" i="146" s="1"/>
  <c r="Q169" i="146" a="1"/>
  <c r="Q169" i="146" s="1"/>
  <c r="Q168" i="146" a="1"/>
  <c r="Q168" i="146" s="1"/>
  <c r="Q167" i="146" a="1"/>
  <c r="Q167" i="146" s="1"/>
  <c r="Q166" i="146" a="1"/>
  <c r="Q166" i="146" s="1"/>
  <c r="Q165" i="146" a="1"/>
  <c r="Q165" i="146" s="1"/>
  <c r="Q164" i="146" a="1"/>
  <c r="Q164" i="146" s="1"/>
  <c r="Q163" i="146" a="1"/>
  <c r="Q163" i="146" s="1"/>
  <c r="Q162" i="146" a="1"/>
  <c r="Q162" i="146" s="1"/>
  <c r="U162" i="146" s="1"/>
  <c r="Q161" i="146" a="1"/>
  <c r="Q161" i="146" s="1"/>
  <c r="Q160" i="146" a="1"/>
  <c r="Q160" i="146" s="1"/>
  <c r="Q159" i="146" a="1"/>
  <c r="Q159" i="146" s="1"/>
  <c r="Q158" i="146" a="1"/>
  <c r="Q158" i="146" s="1"/>
  <c r="Q157" i="146" a="1"/>
  <c r="Q157" i="146" s="1"/>
  <c r="Q156" i="146" a="1"/>
  <c r="Q156" i="146" s="1"/>
  <c r="Q155" i="146" a="1"/>
  <c r="Q155" i="146" s="1"/>
  <c r="Q154" i="146" a="1"/>
  <c r="Q154" i="146" s="1"/>
  <c r="Q153" i="146" a="1"/>
  <c r="Q153" i="146" s="1"/>
  <c r="Q142" i="146" a="1"/>
  <c r="Q142" i="146" s="1"/>
  <c r="U142" i="146" s="1"/>
  <c r="Q141" i="146" a="1"/>
  <c r="Q141" i="146" s="1"/>
  <c r="U141" i="146" s="1"/>
  <c r="Q140" i="146" a="1"/>
  <c r="Q140" i="146" s="1"/>
  <c r="Q139" i="146" a="1"/>
  <c r="Q139" i="146" s="1"/>
  <c r="Q138" i="146" a="1"/>
  <c r="Q138" i="146" s="1"/>
  <c r="Q137" i="146" a="1"/>
  <c r="Q137" i="146" s="1"/>
  <c r="U137" i="146" s="1"/>
  <c r="Q127" i="146" a="1"/>
  <c r="Q127" i="146" s="1"/>
  <c r="Q126" i="146" a="1"/>
  <c r="Q126" i="146" s="1"/>
  <c r="Q124" i="146" a="1"/>
  <c r="Q124" i="146" s="1"/>
  <c r="Q123" i="146" a="1"/>
  <c r="Q123" i="146" s="1"/>
  <c r="Q122" i="146" a="1"/>
  <c r="Q122" i="146" s="1"/>
  <c r="Q121" i="146" a="1"/>
  <c r="Q121" i="146" s="1"/>
  <c r="Q120" i="146" a="1"/>
  <c r="Q120" i="146" s="1"/>
  <c r="Q119" i="146" a="1"/>
  <c r="Q119" i="146" s="1"/>
  <c r="U119" i="146" s="1"/>
  <c r="Q118" i="146" a="1"/>
  <c r="Q118" i="146" s="1"/>
  <c r="Q117" i="146" a="1"/>
  <c r="Q117" i="146" s="1"/>
  <c r="U117" i="146" s="1"/>
  <c r="Q115" i="146" a="1"/>
  <c r="Q115" i="146" s="1"/>
  <c r="U115" i="146" s="1"/>
  <c r="Q114" i="146" a="1"/>
  <c r="Q114" i="146" s="1"/>
  <c r="U114" i="146" s="1"/>
  <c r="Q113" i="146" a="1"/>
  <c r="Q113" i="146" s="1"/>
  <c r="U113" i="146" s="1"/>
  <c r="Q112" i="146" a="1"/>
  <c r="Q112" i="146" s="1"/>
  <c r="Q111" i="146" a="1"/>
  <c r="Q111" i="146" s="1"/>
  <c r="Q110" i="146" a="1"/>
  <c r="Q110" i="146" s="1"/>
  <c r="Q109" i="146" a="1"/>
  <c r="Q109" i="146" s="1"/>
  <c r="U109" i="146" s="1"/>
  <c r="Q108" i="146" a="1"/>
  <c r="Q108" i="146" s="1"/>
  <c r="Q100" i="146" a="1"/>
  <c r="Q100" i="146" s="1"/>
  <c r="Q99" i="146" a="1"/>
  <c r="Q99" i="146" s="1"/>
  <c r="U99" i="146" s="1"/>
  <c r="Q98" i="146" a="1"/>
  <c r="Q98" i="146" s="1"/>
  <c r="U98" i="146" s="1"/>
  <c r="Q96" i="146" a="1"/>
  <c r="Q96" i="146" s="1"/>
  <c r="U96" i="146" s="1"/>
  <c r="Q95" i="146" a="1"/>
  <c r="Q95" i="146" s="1"/>
  <c r="U95" i="146" s="1"/>
  <c r="Q94" i="146" a="1"/>
  <c r="Q94" i="146" s="1"/>
  <c r="Q93" i="146" a="1"/>
  <c r="Q93" i="146" s="1"/>
  <c r="Q92" i="146" a="1"/>
  <c r="Q92" i="146" s="1"/>
  <c r="Q91" i="146" a="1"/>
  <c r="Q91" i="146" s="1"/>
  <c r="U91" i="146" s="1"/>
  <c r="Q90" i="146" a="1"/>
  <c r="Q90" i="146" s="1"/>
  <c r="Q89" i="146" a="1"/>
  <c r="Q89" i="146" s="1"/>
  <c r="Q88" i="146" a="1"/>
  <c r="Q88" i="146" s="1"/>
  <c r="Q87" i="146" a="1"/>
  <c r="Q87" i="146" s="1"/>
  <c r="Q86" i="146" a="1"/>
  <c r="Q86" i="146" s="1"/>
  <c r="Q85" i="146" a="1"/>
  <c r="Q85" i="146" s="1"/>
  <c r="Q84" i="146" a="1"/>
  <c r="Q84" i="146" s="1"/>
  <c r="U84" i="146" s="1"/>
  <c r="Q83" i="146" a="1"/>
  <c r="Q83" i="146" s="1"/>
  <c r="Q82" i="146" a="1"/>
  <c r="Q82" i="146" s="1"/>
  <c r="Q81" i="146" a="1"/>
  <c r="Q81" i="146" s="1"/>
  <c r="Q80" i="146" a="1"/>
  <c r="Q80" i="146" s="1"/>
  <c r="Q79" i="146" a="1"/>
  <c r="Q79" i="146" s="1"/>
  <c r="Q70" i="146" a="1"/>
  <c r="Q70" i="146" s="1"/>
  <c r="U70" i="146" s="1"/>
  <c r="Q69" i="146" a="1"/>
  <c r="Q69" i="146" s="1"/>
  <c r="U69" i="146" s="1"/>
  <c r="Q67" i="146" a="1"/>
  <c r="Q67" i="146" s="1"/>
  <c r="Q66" i="146" a="1"/>
  <c r="Q66" i="146" s="1"/>
  <c r="Q65" i="146" a="1"/>
  <c r="Q65" i="146" s="1"/>
  <c r="U65" i="146" s="1"/>
  <c r="Q63" i="146" a="1"/>
  <c r="Q63" i="146" s="1"/>
  <c r="Q62" i="146" a="1"/>
  <c r="Q62" i="146" s="1"/>
  <c r="Q60" i="146" a="1"/>
  <c r="Q60" i="146" s="1"/>
  <c r="U60" i="146" s="1"/>
  <c r="Q54" i="146" a="1"/>
  <c r="Q54" i="146" s="1"/>
  <c r="U54" i="146" s="1"/>
  <c r="Q52" i="146" a="1"/>
  <c r="Q52" i="146" s="1"/>
  <c r="U52" i="146" s="1"/>
  <c r="Q51" i="146" a="1"/>
  <c r="Q51" i="146" s="1"/>
  <c r="U51" i="146" s="1"/>
  <c r="Q50" i="146" a="1"/>
  <c r="Q50" i="146" s="1"/>
  <c r="U50" i="146" s="1"/>
  <c r="Q49" i="146" a="1"/>
  <c r="Q49" i="146" s="1"/>
  <c r="U49" i="146" s="1"/>
  <c r="Q40" i="146" a="1"/>
  <c r="Q40" i="146" s="1"/>
  <c r="Q39" i="146" a="1"/>
  <c r="Q39" i="146" s="1"/>
  <c r="Q24" i="146" a="1"/>
  <c r="Q24" i="146" s="1"/>
  <c r="U24" i="146" s="1"/>
  <c r="Q23" i="146" a="1"/>
  <c r="Q23" i="146" s="1"/>
  <c r="U23" i="146" s="1"/>
  <c r="Q22" i="146" a="1"/>
  <c r="Q22" i="146" s="1"/>
  <c r="U22" i="146" s="1"/>
  <c r="Q21" i="146" a="1"/>
  <c r="Q21" i="146" s="1"/>
  <c r="U21" i="146" s="1"/>
  <c r="Q20" i="146" a="1"/>
  <c r="Q20" i="146" s="1"/>
  <c r="U20" i="146" s="1"/>
  <c r="Q19" i="146" a="1"/>
  <c r="Q19" i="146" s="1"/>
  <c r="U19" i="146" s="1"/>
  <c r="Q18" i="146" a="1"/>
  <c r="Q18" i="146" s="1"/>
  <c r="U18" i="146" s="1"/>
  <c r="Q17" i="146" a="1"/>
  <c r="Q17" i="146" s="1"/>
  <c r="Q16" i="146" a="1"/>
  <c r="Q16" i="146" s="1"/>
  <c r="U16" i="146" s="1"/>
  <c r="Q15" i="146" a="1"/>
  <c r="Q15" i="146" s="1"/>
  <c r="U15" i="146" s="1"/>
  <c r="Q14" i="146" a="1"/>
  <c r="Q14" i="146" s="1"/>
  <c r="U14" i="146" s="1"/>
  <c r="Q13" i="146" a="1"/>
  <c r="Q13" i="146" s="1"/>
  <c r="U13" i="146" s="1"/>
  <c r="Q12" i="146" a="1"/>
  <c r="Q12" i="146" s="1"/>
  <c r="U12" i="146" s="1"/>
  <c r="Q11" i="146" a="1"/>
  <c r="Q11" i="146" s="1"/>
  <c r="Q10" i="146" a="1"/>
  <c r="Q10" i="146" s="1"/>
  <c r="U10" i="146" s="1"/>
  <c r="Q9" i="146" a="1"/>
  <c r="Q9" i="146" s="1"/>
  <c r="U9" i="146" s="1"/>
  <c r="Q8" i="146" a="1"/>
  <c r="Q8" i="146" s="1"/>
  <c r="U8" i="146" s="1"/>
  <c r="Q7" i="146" a="1"/>
  <c r="Q7" i="146" s="1"/>
  <c r="Q6" i="146" a="1"/>
  <c r="Q6" i="146" s="1"/>
  <c r="U6" i="146" s="1"/>
  <c r="Q5" i="146" a="1"/>
  <c r="Q5" i="146" s="1"/>
  <c r="U5" i="146" s="1"/>
  <c r="N31" i="146"/>
  <c r="O31" i="146" s="1" a="1"/>
  <c r="O31" i="146" s="1"/>
  <c r="T31" i="146" s="1" a="1"/>
  <c r="T31" i="146" s="1"/>
  <c r="O281" i="146" a="1"/>
  <c r="O281" i="146" s="1"/>
  <c r="T281" i="146" s="1" a="1"/>
  <c r="T281" i="146" s="1"/>
  <c r="O280" i="146" a="1"/>
  <c r="O280" i="146" s="1"/>
  <c r="T280" i="146" s="1" a="1"/>
  <c r="T280" i="146" s="1"/>
  <c r="O279" i="146" a="1"/>
  <c r="O279" i="146" s="1"/>
  <c r="T279" i="146" s="1" a="1"/>
  <c r="T279" i="146" s="1"/>
  <c r="O278" i="146" a="1"/>
  <c r="O278" i="146" s="1"/>
  <c r="T278" i="146" s="1" a="1"/>
  <c r="T278" i="146" s="1"/>
  <c r="O277" i="146" a="1"/>
  <c r="O277" i="146" s="1"/>
  <c r="T277" i="146" s="1" a="1"/>
  <c r="T277" i="146" s="1"/>
  <c r="O276" i="146" a="1"/>
  <c r="O276" i="146" s="1"/>
  <c r="T276" i="146" s="1" a="1"/>
  <c r="T276" i="146" s="1"/>
  <c r="O275" i="146" a="1"/>
  <c r="O275" i="146" s="1"/>
  <c r="T275" i="146" s="1" a="1"/>
  <c r="T275" i="146" s="1"/>
  <c r="O267" i="146" a="1"/>
  <c r="O267" i="146" s="1"/>
  <c r="T267" i="146" s="1" a="1"/>
  <c r="T267" i="146" s="1"/>
  <c r="O266" i="146" a="1"/>
  <c r="O266" i="146" s="1"/>
  <c r="T266" i="146" s="1" a="1"/>
  <c r="T266" i="146" s="1"/>
  <c r="O265" i="146" a="1"/>
  <c r="O265" i="146" s="1"/>
  <c r="T265" i="146" s="1" a="1"/>
  <c r="T265" i="146" s="1"/>
  <c r="O264" i="146" a="1"/>
  <c r="O264" i="146" s="1"/>
  <c r="T264" i="146" s="1" a="1"/>
  <c r="T264" i="146" s="1"/>
  <c r="O263" i="146" a="1"/>
  <c r="O263" i="146" s="1"/>
  <c r="T263" i="146" s="1" a="1"/>
  <c r="T263" i="146" s="1"/>
  <c r="O261" i="146" a="1"/>
  <c r="O261" i="146" s="1"/>
  <c r="T261" i="146" s="1" a="1"/>
  <c r="T261" i="146" s="1"/>
  <c r="O260" i="146" a="1"/>
  <c r="O260" i="146" s="1"/>
  <c r="T260" i="146" s="1" a="1"/>
  <c r="T260" i="146" s="1"/>
  <c r="O259" i="146" a="1"/>
  <c r="O259" i="146" s="1"/>
  <c r="T259" i="146" s="1" a="1"/>
  <c r="T259" i="146" s="1"/>
  <c r="O258" i="146" a="1"/>
  <c r="O258" i="146" s="1"/>
  <c r="T258" i="146" s="1" a="1"/>
  <c r="T258" i="146" s="1"/>
  <c r="O257" i="146" a="1"/>
  <c r="O257" i="146" s="1"/>
  <c r="T257" i="146" s="1" a="1"/>
  <c r="T257" i="146" s="1"/>
  <c r="O256" i="146" a="1"/>
  <c r="O256" i="146" s="1"/>
  <c r="T256" i="146" s="1" a="1"/>
  <c r="T256" i="146" s="1"/>
  <c r="O253" i="146" a="1"/>
  <c r="O253" i="146" s="1"/>
  <c r="T253" i="146" s="1" a="1"/>
  <c r="T253" i="146" s="1"/>
  <c r="O252" i="146" a="1"/>
  <c r="O252" i="146" s="1"/>
  <c r="T252" i="146" s="1" a="1"/>
  <c r="T252" i="146" s="1"/>
  <c r="O251" i="146" a="1"/>
  <c r="O251" i="146" s="1"/>
  <c r="T251" i="146" s="1" a="1"/>
  <c r="T251" i="146" s="1"/>
  <c r="O248" i="146" a="1"/>
  <c r="O248" i="146" s="1"/>
  <c r="T248" i="146" s="1" a="1"/>
  <c r="T248" i="146" s="1"/>
  <c r="O247" i="146" a="1"/>
  <c r="O247" i="146" s="1"/>
  <c r="T247" i="146" s="1" a="1"/>
  <c r="T247" i="146" s="1"/>
  <c r="O246" i="146" a="1"/>
  <c r="O246" i="146" s="1"/>
  <c r="T246" i="146" s="1" a="1"/>
  <c r="T246" i="146" s="1"/>
  <c r="O237" i="146" a="1"/>
  <c r="O237" i="146" s="1"/>
  <c r="T237" i="146" s="1" a="1"/>
  <c r="T237" i="146" s="1"/>
  <c r="O236" i="146" a="1"/>
  <c r="O236" i="146" s="1"/>
  <c r="T236" i="146" s="1" a="1"/>
  <c r="T236" i="146" s="1"/>
  <c r="O235" i="146" a="1"/>
  <c r="O235" i="146" s="1"/>
  <c r="T235" i="146" s="1" a="1"/>
  <c r="T235" i="146" s="1"/>
  <c r="O234" i="146" a="1"/>
  <c r="O234" i="146" s="1"/>
  <c r="T234" i="146" s="1" a="1"/>
  <c r="T234" i="146" s="1"/>
  <c r="O223" i="146" a="1"/>
  <c r="O223" i="146" s="1"/>
  <c r="T223" i="146" s="1" a="1"/>
  <c r="T223" i="146" s="1"/>
  <c r="O222" i="146" a="1"/>
  <c r="O222" i="146" s="1"/>
  <c r="T222" i="146" s="1" a="1"/>
  <c r="T222" i="146" s="1"/>
  <c r="O221" i="146" a="1"/>
  <c r="O221" i="146" s="1"/>
  <c r="T221" i="146" s="1" a="1"/>
  <c r="T221" i="146" s="1"/>
  <c r="O220" i="146" a="1"/>
  <c r="O220" i="146" s="1"/>
  <c r="T220" i="146" s="1" a="1"/>
  <c r="T220" i="146" s="1"/>
  <c r="O219" i="146" a="1"/>
  <c r="O219" i="146" s="1"/>
  <c r="T219" i="146" s="1" a="1"/>
  <c r="T219" i="146" s="1"/>
  <c r="O218" i="146" a="1"/>
  <c r="O218" i="146" s="1"/>
  <c r="T218" i="146" s="1" a="1"/>
  <c r="T218" i="146" s="1"/>
  <c r="O217" i="146" a="1"/>
  <c r="O217" i="146" s="1"/>
  <c r="T217" i="146" s="1" a="1"/>
  <c r="T217" i="146" s="1"/>
  <c r="O216" i="146" a="1"/>
  <c r="O216" i="146" s="1"/>
  <c r="T216" i="146" s="1" a="1"/>
  <c r="T216" i="146" s="1"/>
  <c r="O215" i="146" a="1"/>
  <c r="O215" i="146" s="1"/>
  <c r="T215" i="146" s="1" a="1"/>
  <c r="T215" i="146" s="1"/>
  <c r="W215" i="146" s="1"/>
  <c r="O214" i="146" a="1"/>
  <c r="O214" i="146" s="1"/>
  <c r="T214" i="146" s="1" a="1"/>
  <c r="T214" i="146" s="1"/>
  <c r="O213" i="146" a="1"/>
  <c r="O213" i="146" s="1"/>
  <c r="T213" i="146" s="1" a="1"/>
  <c r="T213" i="146" s="1"/>
  <c r="O212" i="146" a="1"/>
  <c r="O212" i="146" s="1"/>
  <c r="T212" i="146" s="1" a="1"/>
  <c r="T212" i="146" s="1"/>
  <c r="O211" i="146" a="1"/>
  <c r="O211" i="146" s="1"/>
  <c r="T211" i="146" s="1" a="1"/>
  <c r="T211" i="146" s="1"/>
  <c r="O210" i="146" a="1"/>
  <c r="O210" i="146" s="1"/>
  <c r="T210" i="146" s="1" a="1"/>
  <c r="T210" i="146" s="1"/>
  <c r="O209" i="146" a="1"/>
  <c r="O209" i="146" s="1"/>
  <c r="T209" i="146" s="1" a="1"/>
  <c r="T209" i="146" s="1"/>
  <c r="O208" i="146" a="1"/>
  <c r="O208" i="146" s="1"/>
  <c r="T208" i="146" s="1" a="1"/>
  <c r="T208" i="146" s="1"/>
  <c r="O207" i="146" a="1"/>
  <c r="O207" i="146" s="1"/>
  <c r="T207" i="146" s="1" a="1"/>
  <c r="T207" i="146" s="1"/>
  <c r="O206" i="146" a="1"/>
  <c r="O206" i="146" s="1"/>
  <c r="T206" i="146" s="1" a="1"/>
  <c r="T206" i="146" s="1"/>
  <c r="O205" i="146" a="1"/>
  <c r="O205" i="146" s="1"/>
  <c r="T205" i="146" s="1" a="1"/>
  <c r="T205" i="146" s="1"/>
  <c r="O204" i="146" a="1"/>
  <c r="O204" i="146" s="1"/>
  <c r="T204" i="146" s="1" a="1"/>
  <c r="T204" i="146" s="1"/>
  <c r="O203" i="146" a="1"/>
  <c r="O203" i="146" s="1"/>
  <c r="T203" i="146" s="1" a="1"/>
  <c r="T203" i="146" s="1"/>
  <c r="O202" i="146" a="1"/>
  <c r="O202" i="146" s="1"/>
  <c r="T202" i="146" s="1" a="1"/>
  <c r="T202" i="146" s="1"/>
  <c r="O201" i="146" a="1"/>
  <c r="O201" i="146" s="1"/>
  <c r="T201" i="146" s="1" a="1"/>
  <c r="T201" i="146" s="1"/>
  <c r="O199" i="146" a="1"/>
  <c r="O199" i="146" s="1"/>
  <c r="T199" i="146" s="1" a="1"/>
  <c r="T199" i="146" s="1"/>
  <c r="O198" i="146" a="1"/>
  <c r="O198" i="146" s="1"/>
  <c r="T198" i="146" s="1" a="1"/>
  <c r="T198" i="146" s="1"/>
  <c r="O197" i="146" a="1"/>
  <c r="O197" i="146" s="1"/>
  <c r="T197" i="146" s="1" a="1"/>
  <c r="T197" i="146" s="1"/>
  <c r="O196" i="146" a="1"/>
  <c r="O196" i="146" s="1"/>
  <c r="T196" i="146" s="1" a="1"/>
  <c r="T196" i="146" s="1"/>
  <c r="O195" i="146" a="1"/>
  <c r="O195" i="146" s="1"/>
  <c r="T195" i="146" s="1" a="1"/>
  <c r="T195" i="146" s="1"/>
  <c r="O194" i="146" a="1"/>
  <c r="O194" i="146" s="1"/>
  <c r="T194" i="146" s="1" a="1"/>
  <c r="T194" i="146" s="1"/>
  <c r="O193" i="146" a="1"/>
  <c r="O193" i="146" s="1"/>
  <c r="T193" i="146" s="1" a="1"/>
  <c r="T193" i="146" s="1"/>
  <c r="O192" i="146" a="1"/>
  <c r="O192" i="146" s="1"/>
  <c r="T192" i="146" s="1" a="1"/>
  <c r="T192" i="146" s="1"/>
  <c r="O191" i="146" a="1"/>
  <c r="O191" i="146" s="1"/>
  <c r="T191" i="146" s="1" a="1"/>
  <c r="T191" i="146" s="1"/>
  <c r="O190" i="146" a="1"/>
  <c r="O190" i="146" s="1"/>
  <c r="T190" i="146" s="1" a="1"/>
  <c r="T190" i="146" s="1"/>
  <c r="O189" i="146" a="1"/>
  <c r="O189" i="146" s="1"/>
  <c r="T189" i="146" s="1" a="1"/>
  <c r="T189" i="146" s="1"/>
  <c r="O188" i="146" a="1"/>
  <c r="O188" i="146" s="1"/>
  <c r="T188" i="146" s="1" a="1"/>
  <c r="T188" i="146" s="1"/>
  <c r="O187" i="146" a="1"/>
  <c r="O187" i="146" s="1"/>
  <c r="T187" i="146" s="1" a="1"/>
  <c r="T187" i="146" s="1"/>
  <c r="O186" i="146" a="1"/>
  <c r="O186" i="146" s="1"/>
  <c r="T186" i="146" s="1" a="1"/>
  <c r="T186" i="146" s="1"/>
  <c r="O185" i="146" a="1"/>
  <c r="O185" i="146" s="1"/>
  <c r="T185" i="146" s="1" a="1"/>
  <c r="T185" i="146" s="1"/>
  <c r="O184" i="146" a="1"/>
  <c r="O184" i="146" s="1"/>
  <c r="T184" i="146" s="1" a="1"/>
  <c r="T184" i="146" s="1"/>
  <c r="O183" i="146" a="1"/>
  <c r="O183" i="146" s="1"/>
  <c r="T183" i="146" s="1" a="1"/>
  <c r="T183" i="146" s="1"/>
  <c r="O182" i="146" a="1"/>
  <c r="O182" i="146" s="1"/>
  <c r="T182" i="146" s="1" a="1"/>
  <c r="T182" i="146" s="1"/>
  <c r="O181" i="146" a="1"/>
  <c r="O181" i="146" s="1"/>
  <c r="T181" i="146" s="1" a="1"/>
  <c r="T181" i="146" s="1"/>
  <c r="O180" i="146" a="1"/>
  <c r="O180" i="146" s="1"/>
  <c r="T180" i="146" s="1" a="1"/>
  <c r="T180" i="146" s="1"/>
  <c r="O179" i="146" a="1"/>
  <c r="O179" i="146" s="1"/>
  <c r="T179" i="146" s="1" a="1"/>
  <c r="T179" i="146" s="1"/>
  <c r="O178" i="146" a="1"/>
  <c r="O178" i="146" s="1"/>
  <c r="T178" i="146" s="1" a="1"/>
  <c r="T178" i="146" s="1"/>
  <c r="O177" i="146" a="1"/>
  <c r="O177" i="146" s="1"/>
  <c r="T177" i="146" s="1" a="1"/>
  <c r="T177" i="146" s="1"/>
  <c r="O176" i="146" a="1"/>
  <c r="O176" i="146" s="1"/>
  <c r="T176" i="146" s="1" a="1"/>
  <c r="T176" i="146" s="1"/>
  <c r="O175" i="146" a="1"/>
  <c r="O175" i="146" s="1"/>
  <c r="T175" i="146" s="1" a="1"/>
  <c r="T175" i="146" s="1"/>
  <c r="O174" i="146" a="1"/>
  <c r="O174" i="146" s="1"/>
  <c r="T174" i="146" s="1" a="1"/>
  <c r="T174" i="146" s="1"/>
  <c r="O173" i="146" a="1"/>
  <c r="O173" i="146" s="1"/>
  <c r="T173" i="146" s="1" a="1"/>
  <c r="T173" i="146" s="1"/>
  <c r="O172" i="146" a="1"/>
  <c r="O172" i="146" s="1"/>
  <c r="T172" i="146" s="1" a="1"/>
  <c r="T172" i="146" s="1"/>
  <c r="O171" i="146" a="1"/>
  <c r="O171" i="146" s="1"/>
  <c r="T171" i="146" s="1" a="1"/>
  <c r="T171" i="146" s="1"/>
  <c r="O170" i="146" a="1"/>
  <c r="O170" i="146" s="1"/>
  <c r="T170" i="146" s="1" a="1"/>
  <c r="T170" i="146" s="1"/>
  <c r="O169" i="146" a="1"/>
  <c r="O169" i="146" s="1"/>
  <c r="T169" i="146" s="1" a="1"/>
  <c r="T169" i="146" s="1"/>
  <c r="O168" i="146" a="1"/>
  <c r="O168" i="146" s="1"/>
  <c r="T168" i="146" s="1" a="1"/>
  <c r="T168" i="146" s="1"/>
  <c r="O167" i="146" a="1"/>
  <c r="O167" i="146" s="1"/>
  <c r="T167" i="146" s="1" a="1"/>
  <c r="T167" i="146" s="1"/>
  <c r="O166" i="146" a="1"/>
  <c r="O166" i="146" s="1"/>
  <c r="T166" i="146" s="1" a="1"/>
  <c r="T166" i="146" s="1"/>
  <c r="O165" i="146" a="1"/>
  <c r="O165" i="146" s="1"/>
  <c r="T165" i="146" s="1" a="1"/>
  <c r="T165" i="146" s="1"/>
  <c r="O164" i="146" a="1"/>
  <c r="O164" i="146" s="1"/>
  <c r="T164" i="146" s="1" a="1"/>
  <c r="T164" i="146" s="1"/>
  <c r="O163" i="146" a="1"/>
  <c r="O163" i="146" s="1"/>
  <c r="T163" i="146" s="1" a="1"/>
  <c r="T163" i="146" s="1"/>
  <c r="O162" i="146" a="1"/>
  <c r="O162" i="146" s="1"/>
  <c r="T162" i="146" s="1" a="1"/>
  <c r="T162" i="146" s="1"/>
  <c r="O161" i="146" a="1"/>
  <c r="O161" i="146" s="1"/>
  <c r="T161" i="146" s="1" a="1"/>
  <c r="T161" i="146" s="1"/>
  <c r="O160" i="146" a="1"/>
  <c r="O160" i="146" s="1"/>
  <c r="T160" i="146" s="1" a="1"/>
  <c r="T160" i="146" s="1"/>
  <c r="O159" i="146" a="1"/>
  <c r="O159" i="146" s="1"/>
  <c r="T159" i="146" s="1" a="1"/>
  <c r="T159" i="146" s="1"/>
  <c r="O158" i="146" a="1"/>
  <c r="O158" i="146" s="1"/>
  <c r="T158" i="146" s="1" a="1"/>
  <c r="T158" i="146" s="1"/>
  <c r="O157" i="146" a="1"/>
  <c r="O157" i="146" s="1"/>
  <c r="T157" i="146" s="1" a="1"/>
  <c r="T157" i="146" s="1"/>
  <c r="O156" i="146" a="1"/>
  <c r="O156" i="146" s="1"/>
  <c r="T156" i="146" s="1" a="1"/>
  <c r="T156" i="146" s="1"/>
  <c r="O155" i="146" a="1"/>
  <c r="O155" i="146" s="1"/>
  <c r="T155" i="146" s="1" a="1"/>
  <c r="T155" i="146" s="1"/>
  <c r="O154" i="146" a="1"/>
  <c r="O154" i="146" s="1"/>
  <c r="T154" i="146" s="1" a="1"/>
  <c r="T154" i="146" s="1"/>
  <c r="O153" i="146" a="1"/>
  <c r="O153" i="146" s="1"/>
  <c r="T153" i="146" s="1" a="1"/>
  <c r="T153" i="146" s="1"/>
  <c r="O152" i="146" a="1"/>
  <c r="O152" i="146" s="1"/>
  <c r="T152" i="146" s="1" a="1"/>
  <c r="T152" i="146" s="1"/>
  <c r="O151" i="146" a="1"/>
  <c r="O151" i="146" s="1"/>
  <c r="T151" i="146" s="1" a="1"/>
  <c r="T151" i="146" s="1"/>
  <c r="O150" i="146" a="1"/>
  <c r="O150" i="146" s="1"/>
  <c r="T150" i="146" s="1" a="1"/>
  <c r="T150" i="146" s="1"/>
  <c r="O149" i="146" a="1"/>
  <c r="O149" i="146" s="1"/>
  <c r="T149" i="146" s="1" a="1"/>
  <c r="T149" i="146" s="1"/>
  <c r="O148" i="146" a="1"/>
  <c r="O148" i="146" s="1"/>
  <c r="T148" i="146" s="1" a="1"/>
  <c r="T148" i="146" s="1"/>
  <c r="O147" i="146" a="1"/>
  <c r="O147" i="146" s="1"/>
  <c r="T147" i="146" s="1" a="1"/>
  <c r="T147" i="146" s="1"/>
  <c r="O146" i="146" a="1"/>
  <c r="O146" i="146" s="1"/>
  <c r="T146" i="146" s="1" a="1"/>
  <c r="T146" i="146" s="1"/>
  <c r="O145" i="146" a="1"/>
  <c r="O145" i="146" s="1"/>
  <c r="T145" i="146" s="1" a="1"/>
  <c r="T145" i="146" s="1"/>
  <c r="O144" i="146" a="1"/>
  <c r="O144" i="146" s="1"/>
  <c r="T144" i="146" s="1" a="1"/>
  <c r="T144" i="146" s="1"/>
  <c r="O142" i="146" a="1"/>
  <c r="O142" i="146" s="1"/>
  <c r="T142" i="146" s="1" a="1"/>
  <c r="T142" i="146" s="1"/>
  <c r="O141" i="146" a="1"/>
  <c r="O141" i="146" s="1"/>
  <c r="T141" i="146" s="1" a="1"/>
  <c r="T141" i="146" s="1"/>
  <c r="O140" i="146" a="1"/>
  <c r="O140" i="146" s="1"/>
  <c r="T140" i="146" s="1" a="1"/>
  <c r="T140" i="146" s="1"/>
  <c r="O139" i="146" a="1"/>
  <c r="O139" i="146" s="1"/>
  <c r="T139" i="146" s="1" a="1"/>
  <c r="T139" i="146" s="1"/>
  <c r="O138" i="146" a="1"/>
  <c r="O138" i="146" s="1"/>
  <c r="T138" i="146" s="1" a="1"/>
  <c r="T138" i="146" s="1"/>
  <c r="O137" i="146" a="1"/>
  <c r="O137" i="146" s="1"/>
  <c r="T137" i="146" s="1" a="1"/>
  <c r="T137" i="146" s="1"/>
  <c r="O136" i="146" a="1"/>
  <c r="O136" i="146" s="1"/>
  <c r="T136" i="146" s="1" a="1"/>
  <c r="T136" i="146" s="1"/>
  <c r="O135" i="146" a="1"/>
  <c r="O135" i="146" s="1"/>
  <c r="T135" i="146" s="1" a="1"/>
  <c r="T135" i="146" s="1"/>
  <c r="O134" i="146" a="1"/>
  <c r="O134" i="146" s="1"/>
  <c r="T134" i="146" s="1" a="1"/>
  <c r="T134" i="146" s="1"/>
  <c r="O133" i="146" a="1"/>
  <c r="O133" i="146" s="1"/>
  <c r="T133" i="146" s="1" a="1"/>
  <c r="T133" i="146" s="1"/>
  <c r="O132" i="146" a="1"/>
  <c r="O132" i="146" s="1"/>
  <c r="T132" i="146" s="1" a="1"/>
  <c r="T132" i="146" s="1"/>
  <c r="O131" i="146" a="1"/>
  <c r="O131" i="146" s="1"/>
  <c r="T131" i="146" s="1" a="1"/>
  <c r="T131" i="146" s="1"/>
  <c r="O130" i="146" a="1"/>
  <c r="O130" i="146" s="1"/>
  <c r="T130" i="146" s="1" a="1"/>
  <c r="T130" i="146" s="1"/>
  <c r="O129" i="146" a="1"/>
  <c r="O129" i="146" s="1"/>
  <c r="T129" i="146" s="1" a="1"/>
  <c r="T129" i="146" s="1"/>
  <c r="O127" i="146" a="1"/>
  <c r="O127" i="146" s="1"/>
  <c r="T127" i="146" s="1" a="1"/>
  <c r="T127" i="146" s="1"/>
  <c r="O126" i="146" a="1"/>
  <c r="O126" i="146" s="1"/>
  <c r="T126" i="146" s="1" a="1"/>
  <c r="T126" i="146" s="1"/>
  <c r="O125" i="146" a="1"/>
  <c r="O125" i="146" s="1"/>
  <c r="T125" i="146" s="1" a="1"/>
  <c r="T125" i="146" s="1"/>
  <c r="O124" i="146" a="1"/>
  <c r="O124" i="146" s="1"/>
  <c r="T124" i="146" s="1" a="1"/>
  <c r="T124" i="146" s="1"/>
  <c r="O123" i="146" a="1"/>
  <c r="O123" i="146" s="1"/>
  <c r="T123" i="146" s="1" a="1"/>
  <c r="T123" i="146" s="1"/>
  <c r="O122" i="146" a="1"/>
  <c r="O122" i="146" s="1"/>
  <c r="T122" i="146" s="1" a="1"/>
  <c r="T122" i="146" s="1"/>
  <c r="O121" i="146" a="1"/>
  <c r="O121" i="146" s="1"/>
  <c r="T121" i="146" s="1" a="1"/>
  <c r="T121" i="146" s="1"/>
  <c r="O120" i="146" a="1"/>
  <c r="O120" i="146" s="1"/>
  <c r="T120" i="146" s="1" a="1"/>
  <c r="T120" i="146" s="1"/>
  <c r="O119" i="146" a="1"/>
  <c r="O119" i="146" s="1"/>
  <c r="T119" i="146" s="1" a="1"/>
  <c r="T119" i="146" s="1"/>
  <c r="O118" i="146" a="1"/>
  <c r="O118" i="146" s="1"/>
  <c r="T118" i="146" s="1" a="1"/>
  <c r="T118" i="146" s="1"/>
  <c r="O117" i="146" a="1"/>
  <c r="O117" i="146" s="1"/>
  <c r="T117" i="146" s="1" a="1"/>
  <c r="T117" i="146" s="1"/>
  <c r="O116" i="146" a="1"/>
  <c r="O116" i="146" s="1"/>
  <c r="T116" i="146" s="1" a="1"/>
  <c r="T116" i="146" s="1"/>
  <c r="O115" i="146" a="1"/>
  <c r="O115" i="146" s="1"/>
  <c r="T115" i="146" s="1" a="1"/>
  <c r="T115" i="146" s="1"/>
  <c r="O114" i="146" a="1"/>
  <c r="O114" i="146" s="1"/>
  <c r="T114" i="146" s="1" a="1"/>
  <c r="T114" i="146" s="1"/>
  <c r="O113" i="146" a="1"/>
  <c r="O113" i="146" s="1"/>
  <c r="T113" i="146" s="1" a="1"/>
  <c r="T113" i="146" s="1"/>
  <c r="O112" i="146" a="1"/>
  <c r="O112" i="146" s="1"/>
  <c r="T112" i="146" s="1" a="1"/>
  <c r="T112" i="146" s="1"/>
  <c r="O111" i="146" a="1"/>
  <c r="O111" i="146" s="1"/>
  <c r="T111" i="146" s="1" a="1"/>
  <c r="T111" i="146" s="1"/>
  <c r="O110" i="146" a="1"/>
  <c r="O110" i="146" s="1"/>
  <c r="T110" i="146" s="1" a="1"/>
  <c r="T110" i="146" s="1"/>
  <c r="O109" i="146" a="1"/>
  <c r="O109" i="146" s="1"/>
  <c r="T109" i="146" s="1" a="1"/>
  <c r="T109" i="146" s="1"/>
  <c r="O108" i="146" a="1"/>
  <c r="O108" i="146" s="1"/>
  <c r="T108" i="146" s="1" a="1"/>
  <c r="T108" i="146" s="1"/>
  <c r="O107" i="146" a="1"/>
  <c r="O107" i="146" s="1"/>
  <c r="T107" i="146" s="1" a="1"/>
  <c r="T107" i="146" s="1"/>
  <c r="O106" i="146" a="1"/>
  <c r="O106" i="146" s="1"/>
  <c r="T106" i="146" s="1" a="1"/>
  <c r="T106" i="146" s="1"/>
  <c r="O105" i="146" a="1"/>
  <c r="O105" i="146" s="1"/>
  <c r="T105" i="146" s="1" a="1"/>
  <c r="T105" i="146" s="1"/>
  <c r="O104" i="146" a="1"/>
  <c r="O104" i="146" s="1"/>
  <c r="T104" i="146" s="1" a="1"/>
  <c r="T104" i="146" s="1"/>
  <c r="O103" i="146" a="1"/>
  <c r="O103" i="146" s="1"/>
  <c r="T103" i="146" s="1" a="1"/>
  <c r="T103" i="146" s="1"/>
  <c r="O102" i="146" a="1"/>
  <c r="O102" i="146" s="1"/>
  <c r="T102" i="146" s="1" a="1"/>
  <c r="T102" i="146" s="1"/>
  <c r="O100" i="146" a="1"/>
  <c r="O100" i="146" s="1"/>
  <c r="T100" i="146" s="1" a="1"/>
  <c r="T100" i="146" s="1"/>
  <c r="O99" i="146" a="1"/>
  <c r="O99" i="146" s="1"/>
  <c r="T99" i="146" s="1" a="1"/>
  <c r="T99" i="146" s="1"/>
  <c r="O98" i="146" a="1"/>
  <c r="O98" i="146" s="1"/>
  <c r="T98" i="146" s="1" a="1"/>
  <c r="T98" i="146" s="1"/>
  <c r="O97" i="146" a="1"/>
  <c r="O97" i="146" s="1"/>
  <c r="T97" i="146" s="1" a="1"/>
  <c r="T97" i="146" s="1"/>
  <c r="O96" i="146" a="1"/>
  <c r="O96" i="146" s="1"/>
  <c r="T96" i="146" s="1" a="1"/>
  <c r="T96" i="146" s="1"/>
  <c r="O95" i="146" a="1"/>
  <c r="O95" i="146" s="1"/>
  <c r="T95" i="146" s="1" a="1"/>
  <c r="T95" i="146" s="1"/>
  <c r="O94" i="146" a="1"/>
  <c r="O94" i="146" s="1"/>
  <c r="T94" i="146" s="1" a="1"/>
  <c r="T94" i="146" s="1"/>
  <c r="O93" i="146" a="1"/>
  <c r="O93" i="146" s="1"/>
  <c r="T93" i="146" s="1" a="1"/>
  <c r="T93" i="146" s="1"/>
  <c r="O92" i="146" a="1"/>
  <c r="O92" i="146" s="1"/>
  <c r="T92" i="146" s="1" a="1"/>
  <c r="T92" i="146" s="1"/>
  <c r="O91" i="146" a="1"/>
  <c r="O91" i="146" s="1"/>
  <c r="T91" i="146" s="1" a="1"/>
  <c r="T91" i="146" s="1"/>
  <c r="O90" i="146" a="1"/>
  <c r="O90" i="146" s="1"/>
  <c r="T90" i="146" s="1" a="1"/>
  <c r="T90" i="146" s="1"/>
  <c r="O89" i="146" a="1"/>
  <c r="O89" i="146" s="1"/>
  <c r="T89" i="146" s="1" a="1"/>
  <c r="T89" i="146" s="1"/>
  <c r="O88" i="146" a="1"/>
  <c r="O88" i="146" s="1"/>
  <c r="T88" i="146" s="1" a="1"/>
  <c r="T88" i="146" s="1"/>
  <c r="O87" i="146" a="1"/>
  <c r="O87" i="146" s="1"/>
  <c r="T87" i="146" s="1" a="1"/>
  <c r="T87" i="146" s="1"/>
  <c r="O86" i="146" a="1"/>
  <c r="O86" i="146" s="1"/>
  <c r="T86" i="146" s="1" a="1"/>
  <c r="T86" i="146" s="1"/>
  <c r="O85" i="146" a="1"/>
  <c r="O85" i="146" s="1"/>
  <c r="T85" i="146" s="1" a="1"/>
  <c r="T85" i="146" s="1"/>
  <c r="O84" i="146" a="1"/>
  <c r="O84" i="146" s="1"/>
  <c r="T84" i="146" s="1" a="1"/>
  <c r="T84" i="146" s="1"/>
  <c r="O83" i="146" a="1"/>
  <c r="O83" i="146" s="1"/>
  <c r="T83" i="146" s="1" a="1"/>
  <c r="T83" i="146" s="1"/>
  <c r="O82" i="146" a="1"/>
  <c r="O82" i="146" s="1"/>
  <c r="T82" i="146" s="1" a="1"/>
  <c r="T82" i="146" s="1"/>
  <c r="O81" i="146" a="1"/>
  <c r="O81" i="146" s="1"/>
  <c r="T81" i="146" s="1" a="1"/>
  <c r="T81" i="146" s="1"/>
  <c r="O80" i="146" a="1"/>
  <c r="O80" i="146" s="1"/>
  <c r="T80" i="146" s="1" a="1"/>
  <c r="T80" i="146" s="1"/>
  <c r="O79" i="146" a="1"/>
  <c r="O79" i="146" s="1"/>
  <c r="T79" i="146" s="1" a="1"/>
  <c r="T79" i="146" s="1"/>
  <c r="O70" i="146" a="1"/>
  <c r="O70" i="146" s="1"/>
  <c r="T70" i="146" s="1" a="1"/>
  <c r="T70" i="146" s="1"/>
  <c r="O69" i="146" a="1"/>
  <c r="O69" i="146" s="1"/>
  <c r="T69" i="146" s="1" a="1"/>
  <c r="T69" i="146" s="1"/>
  <c r="O68" i="146" a="1"/>
  <c r="O68" i="146" s="1"/>
  <c r="T68" i="146" s="1" a="1"/>
  <c r="T68" i="146" s="1"/>
  <c r="O67" i="146" a="1"/>
  <c r="O67" i="146" s="1"/>
  <c r="T67" i="146" s="1" a="1"/>
  <c r="T67" i="146" s="1"/>
  <c r="O66" i="146" a="1"/>
  <c r="O66" i="146" s="1"/>
  <c r="T66" i="146" s="1" a="1"/>
  <c r="T66" i="146" s="1"/>
  <c r="O65" i="146" a="1"/>
  <c r="O65" i="146" s="1"/>
  <c r="T65" i="146" s="1" a="1"/>
  <c r="T65" i="146" s="1"/>
  <c r="O64" i="146" a="1"/>
  <c r="O64" i="146" s="1"/>
  <c r="T64" i="146" s="1" a="1"/>
  <c r="T64" i="146" s="1"/>
  <c r="O63" i="146" a="1"/>
  <c r="O63" i="146" s="1"/>
  <c r="T63" i="146" s="1" a="1"/>
  <c r="T63" i="146" s="1"/>
  <c r="O62" i="146" a="1"/>
  <c r="O62" i="146" s="1"/>
  <c r="T62" i="146" s="1" a="1"/>
  <c r="T62" i="146" s="1"/>
  <c r="O61" i="146" a="1"/>
  <c r="O61" i="146" s="1"/>
  <c r="T61" i="146" s="1" a="1"/>
  <c r="T61" i="146" s="1"/>
  <c r="O60" i="146" a="1"/>
  <c r="O60" i="146" s="1"/>
  <c r="T60" i="146" s="1" a="1"/>
  <c r="T60" i="146" s="1"/>
  <c r="O59" i="146" a="1"/>
  <c r="O59" i="146" s="1"/>
  <c r="T59" i="146" s="1" a="1"/>
  <c r="T59" i="146" s="1"/>
  <c r="O56" i="146" a="1"/>
  <c r="O56" i="146" s="1"/>
  <c r="T56" i="146" s="1" a="1"/>
  <c r="T56" i="146" s="1"/>
  <c r="O55" i="146" a="1"/>
  <c r="O55" i="146" s="1"/>
  <c r="T55" i="146" s="1" a="1"/>
  <c r="T55" i="146" s="1"/>
  <c r="O54" i="146" a="1"/>
  <c r="O54" i="146" s="1"/>
  <c r="T54" i="146" s="1" a="1"/>
  <c r="T54" i="146" s="1"/>
  <c r="O53" i="146" a="1"/>
  <c r="O53" i="146" s="1"/>
  <c r="T53" i="146" s="1" a="1"/>
  <c r="T53" i="146" s="1"/>
  <c r="O52" i="146" a="1"/>
  <c r="O52" i="146" s="1"/>
  <c r="T52" i="146" s="1" a="1"/>
  <c r="T52" i="146" s="1"/>
  <c r="O51" i="146" a="1"/>
  <c r="O51" i="146" s="1"/>
  <c r="T51" i="146" s="1" a="1"/>
  <c r="T51" i="146" s="1"/>
  <c r="O50" i="146" a="1"/>
  <c r="O50" i="146" s="1"/>
  <c r="T50" i="146" s="1" a="1"/>
  <c r="T50" i="146" s="1"/>
  <c r="O49" i="146" a="1"/>
  <c r="O49" i="146" s="1"/>
  <c r="T49" i="146" s="1" a="1"/>
  <c r="T49" i="146" s="1"/>
  <c r="O48" i="146" a="1"/>
  <c r="O48" i="146" s="1"/>
  <c r="T48" i="146" s="1" a="1"/>
  <c r="T48" i="146" s="1"/>
  <c r="O47" i="146" a="1"/>
  <c r="O47" i="146" s="1"/>
  <c r="T47" i="146" s="1" a="1"/>
  <c r="T47" i="146" s="1"/>
  <c r="O46" i="146" a="1"/>
  <c r="O46" i="146" s="1"/>
  <c r="T46" i="146" s="1" a="1"/>
  <c r="T46" i="146" s="1"/>
  <c r="O45" i="146" a="1"/>
  <c r="O45" i="146" s="1"/>
  <c r="T45" i="146" s="1" a="1"/>
  <c r="T45" i="146" s="1"/>
  <c r="O44" i="146" a="1"/>
  <c r="O44" i="146" s="1"/>
  <c r="T44" i="146" s="1" a="1"/>
  <c r="T44" i="146" s="1"/>
  <c r="O43" i="146" a="1"/>
  <c r="O43" i="146" s="1"/>
  <c r="T43" i="146" s="1" a="1"/>
  <c r="T43" i="146" s="1"/>
  <c r="O42" i="146" a="1"/>
  <c r="O42" i="146" s="1"/>
  <c r="T42" i="146" s="1" a="1"/>
  <c r="T42" i="146" s="1"/>
  <c r="O41" i="146" a="1"/>
  <c r="O41" i="146" s="1"/>
  <c r="T41" i="146" s="1" a="1"/>
  <c r="T41" i="146" s="1"/>
  <c r="O40" i="146" a="1"/>
  <c r="O40" i="146" s="1"/>
  <c r="T40" i="146" s="1" a="1"/>
  <c r="T40" i="146" s="1"/>
  <c r="O39" i="146" a="1"/>
  <c r="O39" i="146" s="1"/>
  <c r="T39" i="146" s="1" a="1"/>
  <c r="T39" i="146" s="1"/>
  <c r="O38" i="146" a="1"/>
  <c r="O38" i="146" s="1"/>
  <c r="T38" i="146" s="1" a="1"/>
  <c r="T38" i="146" s="1"/>
  <c r="O37" i="146" a="1"/>
  <c r="O37" i="146" s="1"/>
  <c r="T37" i="146" s="1" a="1"/>
  <c r="T37" i="146" s="1"/>
  <c r="O36" i="146" a="1"/>
  <c r="O36" i="146" s="1"/>
  <c r="T36" i="146" s="1" a="1"/>
  <c r="T36" i="146" s="1"/>
  <c r="O35" i="146" a="1"/>
  <c r="O35" i="146" s="1"/>
  <c r="T35" i="146" s="1" a="1"/>
  <c r="T35" i="146" s="1"/>
  <c r="O34" i="146" a="1"/>
  <c r="O34" i="146" s="1"/>
  <c r="T34" i="146" s="1" a="1"/>
  <c r="T34" i="146" s="1"/>
  <c r="O33" i="146" a="1"/>
  <c r="O33" i="146" s="1"/>
  <c r="T33" i="146" s="1" a="1"/>
  <c r="T33" i="146" s="1"/>
  <c r="O32" i="146" a="1"/>
  <c r="O32" i="146" s="1"/>
  <c r="T32" i="146" s="1" a="1"/>
  <c r="T32" i="146" s="1"/>
  <c r="O30" i="146" a="1"/>
  <c r="O30" i="146" s="1"/>
  <c r="T30" i="146" s="1" a="1"/>
  <c r="T30" i="146" s="1"/>
  <c r="O29" i="146" a="1"/>
  <c r="O29" i="146" s="1"/>
  <c r="T29" i="146" s="1" a="1"/>
  <c r="T29" i="146" s="1"/>
  <c r="O28" i="146" a="1"/>
  <c r="O28" i="146" s="1"/>
  <c r="T28" i="146" s="1" a="1"/>
  <c r="T28" i="146" s="1"/>
  <c r="O27" i="146" a="1"/>
  <c r="O27" i="146" s="1"/>
  <c r="T27" i="146" s="1" a="1"/>
  <c r="T27" i="146" s="1"/>
  <c r="O26" i="146" a="1"/>
  <c r="O26" i="146" s="1"/>
  <c r="T26" i="146" s="1" a="1"/>
  <c r="T26" i="146" s="1"/>
  <c r="O24" i="146" a="1"/>
  <c r="O24" i="146" s="1"/>
  <c r="T24" i="146" s="1" a="1"/>
  <c r="T24" i="146" s="1"/>
  <c r="O23" i="146" a="1"/>
  <c r="O23" i="146" s="1"/>
  <c r="T23" i="146" s="1" a="1"/>
  <c r="T23" i="146" s="1"/>
  <c r="O22" i="146" a="1"/>
  <c r="O22" i="146" s="1"/>
  <c r="T22" i="146" s="1" a="1"/>
  <c r="T22" i="146" s="1"/>
  <c r="O21" i="146" a="1"/>
  <c r="O21" i="146" s="1"/>
  <c r="T21" i="146" s="1" a="1"/>
  <c r="T21" i="146" s="1"/>
  <c r="O20" i="146" a="1"/>
  <c r="O20" i="146" s="1"/>
  <c r="T20" i="146" s="1" a="1"/>
  <c r="T20" i="146" s="1"/>
  <c r="O19" i="146" a="1"/>
  <c r="O19" i="146" s="1"/>
  <c r="T19" i="146" s="1" a="1"/>
  <c r="T19" i="146" s="1"/>
  <c r="O18" i="146" a="1"/>
  <c r="O18" i="146" s="1"/>
  <c r="T18" i="146" s="1" a="1"/>
  <c r="T18" i="146" s="1"/>
  <c r="O17" i="146" a="1"/>
  <c r="O17" i="146" s="1"/>
  <c r="T17" i="146" s="1" a="1"/>
  <c r="T17" i="146" s="1"/>
  <c r="O16" i="146" a="1"/>
  <c r="O16" i="146" s="1"/>
  <c r="T16" i="146" s="1" a="1"/>
  <c r="T16" i="146" s="1"/>
  <c r="O15" i="146" a="1"/>
  <c r="O15" i="146" s="1"/>
  <c r="T15" i="146" s="1" a="1"/>
  <c r="T15" i="146" s="1"/>
  <c r="O14" i="146" a="1"/>
  <c r="O14" i="146" s="1"/>
  <c r="T14" i="146" s="1" a="1"/>
  <c r="T14" i="146" s="1"/>
  <c r="O13" i="146" a="1"/>
  <c r="O13" i="146" s="1"/>
  <c r="T13" i="146" s="1" a="1"/>
  <c r="T13" i="146" s="1"/>
  <c r="O12" i="146" a="1"/>
  <c r="O12" i="146" s="1"/>
  <c r="T12" i="146" s="1" a="1"/>
  <c r="T12" i="146" s="1"/>
  <c r="O11" i="146" a="1"/>
  <c r="O11" i="146" s="1"/>
  <c r="T11" i="146" s="1" a="1"/>
  <c r="T11" i="146" s="1"/>
  <c r="O10" i="146" a="1"/>
  <c r="O10" i="146" s="1"/>
  <c r="T10" i="146" s="1" a="1"/>
  <c r="T10" i="146" s="1"/>
  <c r="O9" i="146" a="1"/>
  <c r="O9" i="146" s="1"/>
  <c r="T9" i="146" s="1" a="1"/>
  <c r="T9" i="146" s="1"/>
  <c r="O8" i="146" a="1"/>
  <c r="O8" i="146" s="1"/>
  <c r="T8" i="146" s="1" a="1"/>
  <c r="T8" i="146" s="1"/>
  <c r="O7" i="146" a="1"/>
  <c r="O7" i="146" s="1"/>
  <c r="T7" i="146" s="1" a="1"/>
  <c r="T7" i="146" s="1"/>
  <c r="O6" i="146" a="1"/>
  <c r="O6" i="146" s="1"/>
  <c r="T6" i="146" s="1" a="1"/>
  <c r="T6" i="146" s="1"/>
  <c r="O5" i="146" a="1"/>
  <c r="O5" i="146" s="1"/>
  <c r="T5" i="146" s="1" a="1"/>
  <c r="T5" i="146" s="1"/>
  <c r="BT218" i="146"/>
  <c r="BR218" i="146"/>
  <c r="BQ218" i="146"/>
  <c r="BP218" i="146"/>
  <c r="BJ218" i="146"/>
  <c r="BS218" i="146" s="1"/>
  <c r="AW218" i="146"/>
  <c r="AR218" i="146"/>
  <c r="AV218" i="146" s="1"/>
  <c r="AQ218" i="146"/>
  <c r="AU218" i="146" s="1"/>
  <c r="AP218" i="146"/>
  <c r="AT218" i="146" s="1"/>
  <c r="AA218" i="146"/>
  <c r="AB218" i="146" s="1"/>
  <c r="S218" i="146"/>
  <c r="H218" i="146"/>
  <c r="B218" i="146"/>
  <c r="BC218" i="146" s="1"/>
  <c r="BT217" i="146"/>
  <c r="BR217" i="146"/>
  <c r="BQ217" i="146"/>
  <c r="BP217" i="146"/>
  <c r="BJ217" i="146"/>
  <c r="BS217" i="146" s="1"/>
  <c r="AW217" i="146"/>
  <c r="AR217" i="146"/>
  <c r="AV217" i="146" s="1"/>
  <c r="AQ217" i="146"/>
  <c r="AU217" i="146" s="1"/>
  <c r="AP217" i="146"/>
  <c r="AT217" i="146" s="1"/>
  <c r="AA217" i="146"/>
  <c r="AB217" i="146" s="1"/>
  <c r="S217" i="146"/>
  <c r="H217" i="146"/>
  <c r="B217" i="146"/>
  <c r="BC217" i="146" s="1"/>
  <c r="BT223" i="146"/>
  <c r="BR223" i="146"/>
  <c r="BQ223" i="146"/>
  <c r="BP223" i="146"/>
  <c r="BJ223" i="146"/>
  <c r="BS223" i="146" s="1"/>
  <c r="AW223" i="146"/>
  <c r="AR223" i="146"/>
  <c r="AV223" i="146" s="1"/>
  <c r="AQ223" i="146"/>
  <c r="AU223" i="146" s="1"/>
  <c r="AP223" i="146"/>
  <c r="AT223" i="146" s="1"/>
  <c r="H223" i="146"/>
  <c r="B223" i="146"/>
  <c r="BC223" i="146" s="1"/>
  <c r="BT222" i="146"/>
  <c r="BR222" i="146"/>
  <c r="BQ222" i="146"/>
  <c r="BP222" i="146"/>
  <c r="BJ222" i="146"/>
  <c r="BS222" i="146" s="1"/>
  <c r="AW222" i="146"/>
  <c r="AR222" i="146"/>
  <c r="AV222" i="146" s="1"/>
  <c r="AQ222" i="146"/>
  <c r="AU222" i="146" s="1"/>
  <c r="AP222" i="146"/>
  <c r="AT222" i="146" s="1"/>
  <c r="H222" i="146"/>
  <c r="B222" i="146"/>
  <c r="BC222" i="146" s="1"/>
  <c r="BT214" i="146"/>
  <c r="BR214" i="146"/>
  <c r="BQ214" i="146"/>
  <c r="BP214" i="146"/>
  <c r="BJ214" i="146"/>
  <c r="BS214" i="146" s="1"/>
  <c r="AW214" i="146"/>
  <c r="AR214" i="146"/>
  <c r="AV214" i="146" s="1"/>
  <c r="AQ214" i="146"/>
  <c r="AU214" i="146" s="1"/>
  <c r="AP214" i="146"/>
  <c r="AT214" i="146" s="1"/>
  <c r="AA214" i="146"/>
  <c r="AB214" i="146" s="1"/>
  <c r="V214" i="146"/>
  <c r="U214" i="146"/>
  <c r="S214" i="146"/>
  <c r="B214" i="146"/>
  <c r="BC214" i="146" s="1"/>
  <c r="BT209" i="146"/>
  <c r="BR209" i="146"/>
  <c r="BQ209" i="146"/>
  <c r="BP209" i="146"/>
  <c r="BJ209" i="146"/>
  <c r="BS209" i="146" s="1"/>
  <c r="AW209" i="146"/>
  <c r="AR209" i="146"/>
  <c r="AV209" i="146" s="1"/>
  <c r="AQ209" i="146"/>
  <c r="AU209" i="146" s="1"/>
  <c r="AP209" i="146"/>
  <c r="AT209" i="146" s="1"/>
  <c r="AA209" i="146"/>
  <c r="AB209" i="146" s="1"/>
  <c r="V209" i="146"/>
  <c r="U209" i="146"/>
  <c r="S209" i="146"/>
  <c r="B209" i="146"/>
  <c r="BC209" i="146" s="1"/>
  <c r="BT234" i="146"/>
  <c r="BR234" i="146"/>
  <c r="BQ234" i="146"/>
  <c r="BP234" i="146"/>
  <c r="BJ234" i="146"/>
  <c r="BS234" i="146" s="1"/>
  <c r="AW234" i="146"/>
  <c r="AU234" i="146"/>
  <c r="AT234" i="146"/>
  <c r="AR234" i="146"/>
  <c r="AV234" i="146" s="1"/>
  <c r="AQ234" i="146"/>
  <c r="AP234" i="146"/>
  <c r="AA234" i="146"/>
  <c r="AB234" i="146" s="1"/>
  <c r="V234" i="146"/>
  <c r="U234" i="146"/>
  <c r="S234" i="146"/>
  <c r="B234" i="146"/>
  <c r="BC234" i="146" s="1"/>
  <c r="BT237" i="146"/>
  <c r="BR237" i="146"/>
  <c r="BQ237" i="146"/>
  <c r="BP237" i="146"/>
  <c r="BJ237" i="146"/>
  <c r="BS237" i="146" s="1"/>
  <c r="AW237" i="146"/>
  <c r="AR237" i="146"/>
  <c r="AV237" i="146" s="1"/>
  <c r="AQ237" i="146"/>
  <c r="AU237" i="146" s="1"/>
  <c r="AP237" i="146"/>
  <c r="AT237" i="146" s="1"/>
  <c r="AA237" i="146"/>
  <c r="AB237" i="146" s="1"/>
  <c r="V237" i="146"/>
  <c r="U237" i="146"/>
  <c r="S237" i="146"/>
  <c r="B237" i="146"/>
  <c r="BC237" i="146" s="1"/>
  <c r="BT236" i="146"/>
  <c r="BR236" i="146"/>
  <c r="BQ236" i="146"/>
  <c r="BP236" i="146"/>
  <c r="BJ236" i="146"/>
  <c r="BS236" i="146" s="1"/>
  <c r="AW236" i="146"/>
  <c r="AR236" i="146"/>
  <c r="AV236" i="146" s="1"/>
  <c r="AQ236" i="146"/>
  <c r="AU236" i="146" s="1"/>
  <c r="AP236" i="146"/>
  <c r="AT236" i="146" s="1"/>
  <c r="AA236" i="146"/>
  <c r="AB236" i="146" s="1"/>
  <c r="V236" i="146"/>
  <c r="U236" i="146"/>
  <c r="S236" i="146"/>
  <c r="B236" i="146"/>
  <c r="BC236" i="146" s="1"/>
  <c r="BT235" i="146"/>
  <c r="BR235" i="146"/>
  <c r="BQ235" i="146"/>
  <c r="BP235" i="146"/>
  <c r="BJ235" i="146"/>
  <c r="BS235" i="146" s="1"/>
  <c r="AW235" i="146"/>
  <c r="AR235" i="146"/>
  <c r="AV235" i="146" s="1"/>
  <c r="AQ235" i="146"/>
  <c r="AU235" i="146" s="1"/>
  <c r="AP235" i="146"/>
  <c r="AT235" i="146" s="1"/>
  <c r="AA235" i="146"/>
  <c r="AB235" i="146" s="1"/>
  <c r="V235" i="146"/>
  <c r="U235" i="146"/>
  <c r="S235" i="146"/>
  <c r="B235" i="146"/>
  <c r="BC235" i="146" s="1"/>
  <c r="BT199" i="146"/>
  <c r="BR199" i="146"/>
  <c r="BQ199" i="146"/>
  <c r="BP199" i="146"/>
  <c r="BJ199" i="146"/>
  <c r="AW199" i="146"/>
  <c r="AR199" i="146"/>
  <c r="AV199" i="146" s="1"/>
  <c r="AQ199" i="146"/>
  <c r="AU199" i="146" s="1"/>
  <c r="AP199" i="146"/>
  <c r="AT199" i="146" s="1"/>
  <c r="AA199" i="146"/>
  <c r="AB199" i="146" s="1"/>
  <c r="S199" i="146"/>
  <c r="H199" i="146"/>
  <c r="B199" i="146"/>
  <c r="BC199" i="146" s="1"/>
  <c r="BT198" i="146"/>
  <c r="BR198" i="146"/>
  <c r="BQ198" i="146"/>
  <c r="BP198" i="146"/>
  <c r="BJ198" i="146"/>
  <c r="AW198" i="146"/>
  <c r="AR198" i="146"/>
  <c r="AV198" i="146" s="1"/>
  <c r="AQ198" i="146"/>
  <c r="AU198" i="146" s="1"/>
  <c r="AP198" i="146"/>
  <c r="AT198" i="146" s="1"/>
  <c r="AA198" i="146"/>
  <c r="AB198" i="146" s="1"/>
  <c r="S198" i="146"/>
  <c r="H198" i="146"/>
  <c r="BC198" i="146"/>
  <c r="BT212" i="146"/>
  <c r="BR212" i="146"/>
  <c r="BQ212" i="146"/>
  <c r="BP212" i="146"/>
  <c r="BJ212" i="146"/>
  <c r="BS212" i="146" s="1"/>
  <c r="AW212" i="146"/>
  <c r="AR212" i="146"/>
  <c r="AV212" i="146" s="1"/>
  <c r="AQ212" i="146"/>
  <c r="AU212" i="146" s="1"/>
  <c r="AP212" i="146"/>
  <c r="AT212" i="146" s="1"/>
  <c r="H212" i="146"/>
  <c r="B212" i="146"/>
  <c r="BC212" i="146" s="1"/>
  <c r="BT197" i="146"/>
  <c r="BR197" i="146"/>
  <c r="BQ197" i="146"/>
  <c r="BP197" i="146"/>
  <c r="BJ197" i="146"/>
  <c r="BS197" i="146" s="1"/>
  <c r="AW197" i="146"/>
  <c r="AU197" i="146"/>
  <c r="AT197" i="146"/>
  <c r="AR197" i="146"/>
  <c r="AV197" i="146" s="1"/>
  <c r="AQ197" i="146"/>
  <c r="AP197" i="146"/>
  <c r="AA197" i="146"/>
  <c r="AB197" i="146" s="1"/>
  <c r="V197" i="146"/>
  <c r="U197" i="146"/>
  <c r="S197" i="146"/>
  <c r="B197" i="146"/>
  <c r="BC197" i="146" s="1"/>
  <c r="BT191" i="146"/>
  <c r="BR191" i="146"/>
  <c r="BQ191" i="146"/>
  <c r="BP191" i="146"/>
  <c r="BJ191" i="146"/>
  <c r="BS191" i="146" s="1"/>
  <c r="AW191" i="146"/>
  <c r="AR191" i="146"/>
  <c r="AV191" i="146" s="1"/>
  <c r="AQ191" i="146"/>
  <c r="AU191" i="146" s="1"/>
  <c r="AP191" i="146"/>
  <c r="AT191" i="146" s="1"/>
  <c r="AA191" i="146"/>
  <c r="AB191" i="146" s="1"/>
  <c r="S191" i="146"/>
  <c r="H191" i="146"/>
  <c r="B191" i="146"/>
  <c r="BC191" i="146" s="1"/>
  <c r="BT162" i="146"/>
  <c r="BR162" i="146"/>
  <c r="BQ162" i="146"/>
  <c r="BP162" i="146"/>
  <c r="BJ162" i="146"/>
  <c r="BS162" i="146" s="1"/>
  <c r="AW162" i="146"/>
  <c r="AR162" i="146"/>
  <c r="AV162" i="146" s="1"/>
  <c r="AQ162" i="146"/>
  <c r="AU162" i="146" s="1"/>
  <c r="AP162" i="146"/>
  <c r="AT162" i="146" s="1"/>
  <c r="AA162" i="146"/>
  <c r="AB162" i="146" s="1"/>
  <c r="S162" i="146"/>
  <c r="H162" i="146"/>
  <c r="B162" i="146"/>
  <c r="BC162" i="146" s="1"/>
  <c r="BT178" i="146"/>
  <c r="BR178" i="146"/>
  <c r="BQ178" i="146"/>
  <c r="BP178" i="146"/>
  <c r="BJ178" i="146"/>
  <c r="BS178" i="146" s="1"/>
  <c r="AW178" i="146"/>
  <c r="AR178" i="146"/>
  <c r="AV178" i="146" s="1"/>
  <c r="AQ178" i="146"/>
  <c r="AU178" i="146" s="1"/>
  <c r="AP178" i="146"/>
  <c r="AT178" i="146" s="1"/>
  <c r="AA178" i="146"/>
  <c r="AB178" i="146" s="1"/>
  <c r="V178" i="146"/>
  <c r="U178" i="146"/>
  <c r="S178" i="146"/>
  <c r="B178" i="146"/>
  <c r="BC178" i="146" s="1"/>
  <c r="BT177" i="146"/>
  <c r="BR177" i="146"/>
  <c r="BQ177" i="146"/>
  <c r="BP177" i="146"/>
  <c r="BJ177" i="146"/>
  <c r="BS177" i="146" s="1"/>
  <c r="AW177" i="146"/>
  <c r="AR177" i="146"/>
  <c r="AV177" i="146" s="1"/>
  <c r="AQ177" i="146"/>
  <c r="AU177" i="146" s="1"/>
  <c r="AP177" i="146"/>
  <c r="AT177" i="146" s="1"/>
  <c r="AA177" i="146"/>
  <c r="AB177" i="146" s="1"/>
  <c r="V177" i="146"/>
  <c r="U177" i="146"/>
  <c r="S177" i="146"/>
  <c r="B177" i="146"/>
  <c r="BC177" i="146" s="1"/>
  <c r="BT176" i="146"/>
  <c r="BR176" i="146"/>
  <c r="BQ176" i="146"/>
  <c r="BP176" i="146"/>
  <c r="BJ176" i="146"/>
  <c r="BS176" i="146" s="1"/>
  <c r="AW176" i="146"/>
  <c r="AR176" i="146"/>
  <c r="AV176" i="146" s="1"/>
  <c r="AQ176" i="146"/>
  <c r="AU176" i="146" s="1"/>
  <c r="AP176" i="146"/>
  <c r="AT176" i="146" s="1"/>
  <c r="AA176" i="146"/>
  <c r="AB176" i="146" s="1"/>
  <c r="V176" i="146"/>
  <c r="U176" i="146"/>
  <c r="S176" i="146"/>
  <c r="B176" i="146"/>
  <c r="BC176" i="146" s="1"/>
  <c r="BT175" i="146"/>
  <c r="BR175" i="146"/>
  <c r="BQ175" i="146"/>
  <c r="BP175" i="146"/>
  <c r="BJ175" i="146"/>
  <c r="BS175" i="146" s="1"/>
  <c r="AW175" i="146"/>
  <c r="AR175" i="146"/>
  <c r="AV175" i="146" s="1"/>
  <c r="AQ175" i="146"/>
  <c r="AU175" i="146" s="1"/>
  <c r="AP175" i="146"/>
  <c r="AT175" i="146" s="1"/>
  <c r="AA175" i="146"/>
  <c r="AB175" i="146" s="1"/>
  <c r="V175" i="146"/>
  <c r="U175" i="146"/>
  <c r="S175" i="146"/>
  <c r="B175" i="146"/>
  <c r="BC175" i="146" s="1"/>
  <c r="BT174" i="146"/>
  <c r="BR174" i="146"/>
  <c r="BQ174" i="146"/>
  <c r="BP174" i="146"/>
  <c r="BJ174" i="146"/>
  <c r="BS174" i="146" s="1"/>
  <c r="AW174" i="146"/>
  <c r="AR174" i="146"/>
  <c r="AV174" i="146" s="1"/>
  <c r="AQ174" i="146"/>
  <c r="AU174" i="146" s="1"/>
  <c r="AP174" i="146"/>
  <c r="AT174" i="146" s="1"/>
  <c r="AA174" i="146"/>
  <c r="AB174" i="146" s="1"/>
  <c r="V174" i="146"/>
  <c r="U174" i="146"/>
  <c r="S174" i="146"/>
  <c r="B174" i="146"/>
  <c r="AZ174" i="146" s="1"/>
  <c r="BT173" i="146"/>
  <c r="BR173" i="146"/>
  <c r="BQ173" i="146"/>
  <c r="BP173" i="146"/>
  <c r="BJ173" i="146"/>
  <c r="BS173" i="146" s="1"/>
  <c r="AW173" i="146"/>
  <c r="AR173" i="146"/>
  <c r="AV173" i="146" s="1"/>
  <c r="AQ173" i="146"/>
  <c r="AU173" i="146" s="1"/>
  <c r="AP173" i="146"/>
  <c r="AT173" i="146" s="1"/>
  <c r="AA173" i="146"/>
  <c r="AB173" i="146" s="1"/>
  <c r="V173" i="146"/>
  <c r="U173" i="146"/>
  <c r="S173" i="146"/>
  <c r="B173" i="146"/>
  <c r="AZ173" i="146" s="1"/>
  <c r="BT171" i="146"/>
  <c r="BR171" i="146"/>
  <c r="BQ171" i="146"/>
  <c r="BP171" i="146"/>
  <c r="BJ171" i="146"/>
  <c r="BS171" i="146" s="1"/>
  <c r="AW171" i="146"/>
  <c r="AR171" i="146"/>
  <c r="AV171" i="146" s="1"/>
  <c r="AQ171" i="146"/>
  <c r="AU171" i="146" s="1"/>
  <c r="AP171" i="146"/>
  <c r="AT171" i="146" s="1"/>
  <c r="AA171" i="146"/>
  <c r="AB171" i="146" s="1"/>
  <c r="S171" i="146"/>
  <c r="H171" i="146"/>
  <c r="B171" i="146"/>
  <c r="BC171" i="146" s="1"/>
  <c r="BT170" i="146"/>
  <c r="BR170" i="146"/>
  <c r="BQ170" i="146"/>
  <c r="BP170" i="146"/>
  <c r="BJ170" i="146"/>
  <c r="BS170" i="146" s="1"/>
  <c r="AW170" i="146"/>
  <c r="AU170" i="146"/>
  <c r="AR170" i="146"/>
  <c r="AV170" i="146" s="1"/>
  <c r="AQ170" i="146"/>
  <c r="AP170" i="146"/>
  <c r="AT170" i="146" s="1"/>
  <c r="AA170" i="146"/>
  <c r="AB170" i="146" s="1"/>
  <c r="S170" i="146"/>
  <c r="H170" i="146"/>
  <c r="B170" i="146"/>
  <c r="BC170" i="146" s="1"/>
  <c r="BT146" i="146"/>
  <c r="BR146" i="146"/>
  <c r="BQ146" i="146"/>
  <c r="BP146" i="146"/>
  <c r="BJ146" i="146"/>
  <c r="BS146" i="146" s="1"/>
  <c r="AW146" i="146"/>
  <c r="AR146" i="146"/>
  <c r="AV146" i="146" s="1"/>
  <c r="AQ146" i="146"/>
  <c r="AU146" i="146" s="1"/>
  <c r="AP146" i="146"/>
  <c r="AT146" i="146" s="1"/>
  <c r="AA146" i="146"/>
  <c r="AB146" i="146" s="1"/>
  <c r="V146" i="146"/>
  <c r="U146" i="146"/>
  <c r="S146" i="146"/>
  <c r="B146" i="146"/>
  <c r="BC146" i="146" s="1"/>
  <c r="BT145" i="146"/>
  <c r="BR145" i="146"/>
  <c r="BQ145" i="146"/>
  <c r="BP145" i="146"/>
  <c r="BJ145" i="146"/>
  <c r="BS145" i="146" s="1"/>
  <c r="AW145" i="146"/>
  <c r="AR145" i="146"/>
  <c r="AV145" i="146" s="1"/>
  <c r="AQ145" i="146"/>
  <c r="AU145" i="146" s="1"/>
  <c r="AP145" i="146"/>
  <c r="AT145" i="146" s="1"/>
  <c r="AA145" i="146"/>
  <c r="AB145" i="146" s="1"/>
  <c r="V145" i="146"/>
  <c r="U145" i="146"/>
  <c r="S145" i="146"/>
  <c r="B145" i="146"/>
  <c r="AZ145" i="146" s="1"/>
  <c r="BT137" i="146"/>
  <c r="BR137" i="146"/>
  <c r="BQ137" i="146"/>
  <c r="BP137" i="146"/>
  <c r="BJ137" i="146"/>
  <c r="BS137" i="146" s="1"/>
  <c r="AR137" i="146"/>
  <c r="AV137" i="146" s="1"/>
  <c r="AQ137" i="146"/>
  <c r="AU137" i="146" s="1"/>
  <c r="AP137" i="146"/>
  <c r="AT137" i="146" s="1"/>
  <c r="AA137" i="146"/>
  <c r="AB137" i="146" s="1"/>
  <c r="S137" i="146"/>
  <c r="H137" i="146"/>
  <c r="B137" i="146"/>
  <c r="BC137" i="146" s="1"/>
  <c r="BT148" i="146"/>
  <c r="BR148" i="146"/>
  <c r="BQ148" i="146"/>
  <c r="BP148" i="146"/>
  <c r="BJ148" i="146"/>
  <c r="BS148" i="146" s="1"/>
  <c r="AW148" i="146"/>
  <c r="AR148" i="146"/>
  <c r="AV148" i="146" s="1"/>
  <c r="AQ148" i="146"/>
  <c r="AU148" i="146" s="1"/>
  <c r="AP148" i="146"/>
  <c r="AT148" i="146" s="1"/>
  <c r="AA148" i="146"/>
  <c r="AB148" i="146" s="1"/>
  <c r="V148" i="146"/>
  <c r="U148" i="146"/>
  <c r="S148" i="146"/>
  <c r="B148" i="146"/>
  <c r="AZ148" i="146" s="1"/>
  <c r="BT147" i="146"/>
  <c r="BR147" i="146"/>
  <c r="BQ147" i="146"/>
  <c r="BP147" i="146"/>
  <c r="BJ147" i="146"/>
  <c r="BS147" i="146" s="1"/>
  <c r="AW147" i="146"/>
  <c r="AR147" i="146"/>
  <c r="AV147" i="146" s="1"/>
  <c r="AQ147" i="146"/>
  <c r="AU147" i="146" s="1"/>
  <c r="AP147" i="146"/>
  <c r="AT147" i="146" s="1"/>
  <c r="AA147" i="146"/>
  <c r="AB147" i="146" s="1"/>
  <c r="V147" i="146"/>
  <c r="U147" i="146"/>
  <c r="S147" i="146"/>
  <c r="B147" i="146"/>
  <c r="BC147" i="146" s="1"/>
  <c r="BT144" i="146"/>
  <c r="BR144" i="146"/>
  <c r="BQ144" i="146"/>
  <c r="BP144" i="146"/>
  <c r="BJ144" i="146"/>
  <c r="BS144" i="146" s="1"/>
  <c r="AW144" i="146"/>
  <c r="AR144" i="146"/>
  <c r="AV144" i="146" s="1"/>
  <c r="AQ144" i="146"/>
  <c r="AU144" i="146" s="1"/>
  <c r="AP144" i="146"/>
  <c r="AT144" i="146" s="1"/>
  <c r="AA144" i="146"/>
  <c r="AB144" i="146" s="1"/>
  <c r="V144" i="146"/>
  <c r="U144" i="146"/>
  <c r="S144" i="146"/>
  <c r="B144" i="146"/>
  <c r="BC144" i="146" s="1"/>
  <c r="BT142" i="146"/>
  <c r="BR142" i="146"/>
  <c r="BQ142" i="146"/>
  <c r="BP142" i="146"/>
  <c r="BJ142" i="146"/>
  <c r="BS142" i="146" s="1"/>
  <c r="AW142" i="146"/>
  <c r="AR142" i="146"/>
  <c r="AV142" i="146" s="1"/>
  <c r="AQ142" i="146"/>
  <c r="AU142" i="146" s="1"/>
  <c r="AP142" i="146"/>
  <c r="AT142" i="146" s="1"/>
  <c r="AA142" i="146"/>
  <c r="AB142" i="146" s="1"/>
  <c r="S142" i="146"/>
  <c r="H142" i="146"/>
  <c r="B142" i="146"/>
  <c r="BC142" i="146" s="1"/>
  <c r="BT141" i="146"/>
  <c r="BR141" i="146"/>
  <c r="BQ141" i="146"/>
  <c r="BP141" i="146"/>
  <c r="BJ141" i="146"/>
  <c r="BS141" i="146" s="1"/>
  <c r="AW141" i="146"/>
  <c r="AR141" i="146"/>
  <c r="AV141" i="146" s="1"/>
  <c r="AQ141" i="146"/>
  <c r="AU141" i="146" s="1"/>
  <c r="AP141" i="146"/>
  <c r="AT141" i="146" s="1"/>
  <c r="AA141" i="146"/>
  <c r="AB141" i="146" s="1"/>
  <c r="S141" i="146"/>
  <c r="H141" i="146"/>
  <c r="B141" i="146"/>
  <c r="BC141" i="146" s="1"/>
  <c r="BL131" i="146"/>
  <c r="BJ136" i="146"/>
  <c r="BJ135" i="146"/>
  <c r="BJ134" i="146"/>
  <c r="BT109" i="146"/>
  <c r="BR109" i="146"/>
  <c r="BQ109" i="146"/>
  <c r="BP109" i="146"/>
  <c r="BJ109" i="146"/>
  <c r="BS109" i="146" s="1"/>
  <c r="AW109" i="146"/>
  <c r="AR109" i="146"/>
  <c r="AV109" i="146" s="1"/>
  <c r="AQ109" i="146"/>
  <c r="AU109" i="146" s="1"/>
  <c r="AP109" i="146"/>
  <c r="AT109" i="146" s="1"/>
  <c r="AA109" i="146"/>
  <c r="AB109" i="146" s="1"/>
  <c r="S109" i="146"/>
  <c r="H109" i="146"/>
  <c r="B109" i="146"/>
  <c r="BC109" i="146" s="1"/>
  <c r="BT127" i="146"/>
  <c r="BR127" i="146"/>
  <c r="BQ127" i="146"/>
  <c r="BP127" i="146"/>
  <c r="BJ127" i="146"/>
  <c r="BS127" i="146" s="1"/>
  <c r="AW127" i="146"/>
  <c r="AR127" i="146"/>
  <c r="AV127" i="146" s="1"/>
  <c r="AQ127" i="146"/>
  <c r="AU127" i="146" s="1"/>
  <c r="AP127" i="146"/>
  <c r="AT127" i="146" s="1"/>
  <c r="H127" i="146"/>
  <c r="B127" i="146"/>
  <c r="BC127" i="146" s="1"/>
  <c r="BT130" i="146"/>
  <c r="BR130" i="146"/>
  <c r="BQ130" i="146"/>
  <c r="BP130" i="146"/>
  <c r="BJ130" i="146"/>
  <c r="BS130" i="146" s="1"/>
  <c r="AW130" i="146"/>
  <c r="AR130" i="146"/>
  <c r="AV130" i="146" s="1"/>
  <c r="AQ130" i="146"/>
  <c r="AU130" i="146" s="1"/>
  <c r="AP130" i="146"/>
  <c r="AT130" i="146" s="1"/>
  <c r="AA130" i="146"/>
  <c r="AB130" i="146" s="1"/>
  <c r="V130" i="146"/>
  <c r="U130" i="146"/>
  <c r="S130" i="146"/>
  <c r="B130" i="146"/>
  <c r="BC130" i="146" s="1"/>
  <c r="BT129" i="146"/>
  <c r="BR129" i="146"/>
  <c r="BQ129" i="146"/>
  <c r="BP129" i="146"/>
  <c r="BJ129" i="146"/>
  <c r="BS129" i="146" s="1"/>
  <c r="AW129" i="146"/>
  <c r="AR129" i="146"/>
  <c r="AV129" i="146" s="1"/>
  <c r="AQ129" i="146"/>
  <c r="AU129" i="146" s="1"/>
  <c r="AP129" i="146"/>
  <c r="AT129" i="146" s="1"/>
  <c r="AA129" i="146"/>
  <c r="AB129" i="146" s="1"/>
  <c r="V129" i="146"/>
  <c r="U129" i="146"/>
  <c r="S129" i="146"/>
  <c r="B129" i="146"/>
  <c r="AZ129" i="146" s="1"/>
  <c r="BT114" i="146"/>
  <c r="BR114" i="146"/>
  <c r="BQ114" i="146"/>
  <c r="BP114" i="146"/>
  <c r="BJ114" i="146"/>
  <c r="BS114" i="146" s="1"/>
  <c r="AW114" i="146"/>
  <c r="AU114" i="146"/>
  <c r="AR114" i="146"/>
  <c r="AV114" i="146" s="1"/>
  <c r="AQ114" i="146"/>
  <c r="AP114" i="146"/>
  <c r="AT114" i="146" s="1"/>
  <c r="AA114" i="146"/>
  <c r="AB114" i="146" s="1"/>
  <c r="S114" i="146"/>
  <c r="H114" i="146"/>
  <c r="B114" i="146"/>
  <c r="BC114" i="146" s="1"/>
  <c r="BT117" i="146"/>
  <c r="BR117" i="146"/>
  <c r="BQ117" i="146"/>
  <c r="BP117" i="146"/>
  <c r="BJ117" i="146"/>
  <c r="BS117" i="146" s="1"/>
  <c r="AW117" i="146"/>
  <c r="AR117" i="146"/>
  <c r="AV117" i="146" s="1"/>
  <c r="AQ117" i="146"/>
  <c r="AU117" i="146" s="1"/>
  <c r="AP117" i="146"/>
  <c r="AT117" i="146" s="1"/>
  <c r="AA117" i="146"/>
  <c r="AB117" i="146" s="1"/>
  <c r="S117" i="146"/>
  <c r="H117" i="146"/>
  <c r="B117" i="146"/>
  <c r="BC117" i="146" s="1"/>
  <c r="BT115" i="146"/>
  <c r="BR115" i="146"/>
  <c r="BQ115" i="146"/>
  <c r="BP115" i="146"/>
  <c r="BJ115" i="146"/>
  <c r="BS115" i="146" s="1"/>
  <c r="AW115" i="146"/>
  <c r="AR115" i="146"/>
  <c r="AV115" i="146" s="1"/>
  <c r="AQ115" i="146"/>
  <c r="AU115" i="146" s="1"/>
  <c r="AP115" i="146"/>
  <c r="AT115" i="146" s="1"/>
  <c r="AA115" i="146"/>
  <c r="AB115" i="146" s="1"/>
  <c r="S115" i="146"/>
  <c r="H115" i="146"/>
  <c r="B115" i="146"/>
  <c r="BC115" i="146" s="1"/>
  <c r="BT113" i="146"/>
  <c r="BR113" i="146"/>
  <c r="BQ113" i="146"/>
  <c r="BP113" i="146"/>
  <c r="BJ113" i="146"/>
  <c r="AW113" i="146"/>
  <c r="AU113" i="146"/>
  <c r="AR113" i="146"/>
  <c r="AV113" i="146" s="1"/>
  <c r="AQ113" i="146"/>
  <c r="AP113" i="146"/>
  <c r="AT113" i="146" s="1"/>
  <c r="S113" i="146"/>
  <c r="H113" i="146"/>
  <c r="B113" i="146"/>
  <c r="BC113" i="146" s="1"/>
  <c r="BT119" i="146"/>
  <c r="BR119" i="146"/>
  <c r="BQ119" i="146"/>
  <c r="BP119" i="146"/>
  <c r="BJ119" i="146"/>
  <c r="BS119" i="146" s="1"/>
  <c r="AW119" i="146"/>
  <c r="AR119" i="146"/>
  <c r="AV119" i="146" s="1"/>
  <c r="AQ119" i="146"/>
  <c r="AU119" i="146" s="1"/>
  <c r="AP119" i="146"/>
  <c r="AT119" i="146" s="1"/>
  <c r="AA119" i="146"/>
  <c r="AB119" i="146" s="1"/>
  <c r="S119" i="146"/>
  <c r="H119" i="146"/>
  <c r="B119" i="146"/>
  <c r="BC119" i="146" s="1"/>
  <c r="H53" i="146"/>
  <c r="H56" i="146"/>
  <c r="H55" i="146"/>
  <c r="BT51" i="146"/>
  <c r="BR51" i="146"/>
  <c r="BQ51" i="146"/>
  <c r="BP51" i="146"/>
  <c r="BJ51" i="146"/>
  <c r="BS51" i="146" s="1"/>
  <c r="AW51" i="146"/>
  <c r="AR51" i="146"/>
  <c r="AV51" i="146" s="1"/>
  <c r="AQ51" i="146"/>
  <c r="AU51" i="146" s="1"/>
  <c r="AP51" i="146"/>
  <c r="AT51" i="146" s="1"/>
  <c r="H51" i="146"/>
  <c r="B51" i="146"/>
  <c r="BC51" i="146" s="1"/>
  <c r="BT50" i="146"/>
  <c r="BR50" i="146"/>
  <c r="BQ50" i="146"/>
  <c r="BP50" i="146"/>
  <c r="BJ50" i="146"/>
  <c r="BS50" i="146" s="1"/>
  <c r="AW50" i="146"/>
  <c r="AU50" i="146"/>
  <c r="AR50" i="146"/>
  <c r="AV50" i="146" s="1"/>
  <c r="AQ50" i="146"/>
  <c r="AP50" i="146"/>
  <c r="AT50" i="146" s="1"/>
  <c r="H50" i="146"/>
  <c r="B50" i="146"/>
  <c r="BC50" i="146" s="1"/>
  <c r="BT49" i="146"/>
  <c r="BR49" i="146"/>
  <c r="BQ49" i="146"/>
  <c r="BP49" i="146"/>
  <c r="BJ49" i="146"/>
  <c r="BS49" i="146" s="1"/>
  <c r="AW49" i="146"/>
  <c r="AR49" i="146"/>
  <c r="AV49" i="146" s="1"/>
  <c r="AQ49" i="146"/>
  <c r="AU49" i="146" s="1"/>
  <c r="AP49" i="146"/>
  <c r="AT49" i="146" s="1"/>
  <c r="H49" i="146"/>
  <c r="B49" i="146"/>
  <c r="BC49" i="146" s="1"/>
  <c r="BT54" i="146"/>
  <c r="BR54" i="146"/>
  <c r="BQ54" i="146"/>
  <c r="BP54" i="146"/>
  <c r="BJ54" i="146"/>
  <c r="BS54" i="146" s="1"/>
  <c r="AW54" i="146"/>
  <c r="AR54" i="146"/>
  <c r="AV54" i="146" s="1"/>
  <c r="AQ54" i="146"/>
  <c r="AU54" i="146" s="1"/>
  <c r="AP54" i="146"/>
  <c r="AT54" i="146" s="1"/>
  <c r="H54" i="146"/>
  <c r="B54" i="146"/>
  <c r="BC54" i="146" s="1"/>
  <c r="BT52" i="146"/>
  <c r="BR52" i="146"/>
  <c r="BQ52" i="146"/>
  <c r="BP52" i="146"/>
  <c r="BJ52" i="146"/>
  <c r="BS52" i="146" s="1"/>
  <c r="AR52" i="146"/>
  <c r="AV52" i="146" s="1"/>
  <c r="AQ52" i="146"/>
  <c r="AU52" i="146" s="1"/>
  <c r="AP52" i="146"/>
  <c r="AT52" i="146" s="1"/>
  <c r="AA52" i="146"/>
  <c r="AB52" i="146" s="1"/>
  <c r="S52" i="146"/>
  <c r="H52" i="146"/>
  <c r="B52" i="146"/>
  <c r="BC52" i="146" s="1"/>
  <c r="BT15" i="146"/>
  <c r="BR15" i="146"/>
  <c r="BQ15" i="146"/>
  <c r="BP15" i="146"/>
  <c r="BJ15" i="146"/>
  <c r="BS15" i="146" s="1"/>
  <c r="S15" i="146"/>
  <c r="H15" i="146"/>
  <c r="B15" i="146"/>
  <c r="BP27" i="146"/>
  <c r="BJ27" i="146"/>
  <c r="AW27" i="146"/>
  <c r="AU27" i="146"/>
  <c r="AR27" i="146"/>
  <c r="AV27" i="146" s="1"/>
  <c r="AQ27" i="146"/>
  <c r="AP27" i="146"/>
  <c r="AT27" i="146" s="1"/>
  <c r="AA27" i="146"/>
  <c r="AB27" i="146" s="1"/>
  <c r="V27" i="146"/>
  <c r="U27" i="146"/>
  <c r="S27" i="146"/>
  <c r="B27" i="146"/>
  <c r="BC27" i="146" s="1"/>
  <c r="BP26" i="146"/>
  <c r="BJ26" i="146"/>
  <c r="AW26" i="146"/>
  <c r="AR26" i="146"/>
  <c r="AV26" i="146" s="1"/>
  <c r="AQ26" i="146"/>
  <c r="AU26" i="146" s="1"/>
  <c r="AP26" i="146"/>
  <c r="AT26" i="146" s="1"/>
  <c r="B26" i="146"/>
  <c r="BC26" i="146" s="1"/>
  <c r="BT24" i="146"/>
  <c r="BR24" i="146"/>
  <c r="BQ24" i="146"/>
  <c r="BP24" i="146"/>
  <c r="BJ24" i="146"/>
  <c r="BS24" i="146" s="1"/>
  <c r="S24" i="146"/>
  <c r="H24" i="146"/>
  <c r="B24" i="146"/>
  <c r="BT23" i="146"/>
  <c r="BR23" i="146"/>
  <c r="BQ23" i="146"/>
  <c r="BP23" i="146"/>
  <c r="BJ23" i="146"/>
  <c r="BS23" i="146" s="1"/>
  <c r="S23" i="146"/>
  <c r="H23" i="146"/>
  <c r="B23" i="146"/>
  <c r="BT22" i="146"/>
  <c r="BR22" i="146"/>
  <c r="BQ22" i="146"/>
  <c r="BP22" i="146"/>
  <c r="BJ22" i="146"/>
  <c r="BS22" i="146" s="1"/>
  <c r="AW22" i="146"/>
  <c r="AR22" i="146"/>
  <c r="AV22" i="146" s="1"/>
  <c r="AQ22" i="146"/>
  <c r="AU22" i="146" s="1"/>
  <c r="AP22" i="146"/>
  <c r="AT22" i="146" s="1"/>
  <c r="AA22" i="146"/>
  <c r="AB22" i="146" s="1"/>
  <c r="S22" i="146"/>
  <c r="H22" i="146"/>
  <c r="B22" i="146"/>
  <c r="BC22" i="146" s="1"/>
  <c r="BT21" i="146"/>
  <c r="BR21" i="146"/>
  <c r="BQ21" i="146"/>
  <c r="BP21" i="146"/>
  <c r="BJ21" i="146"/>
  <c r="BS21" i="146" s="1"/>
  <c r="AW21" i="146"/>
  <c r="AR21" i="146"/>
  <c r="AV21" i="146" s="1"/>
  <c r="AQ21" i="146"/>
  <c r="AU21" i="146" s="1"/>
  <c r="AP21" i="146"/>
  <c r="AT21" i="146" s="1"/>
  <c r="AA21" i="146"/>
  <c r="AB21" i="146" s="1"/>
  <c r="S21" i="146"/>
  <c r="H21" i="146"/>
  <c r="B21" i="146"/>
  <c r="BC21" i="146" s="1"/>
  <c r="BT20" i="146"/>
  <c r="BR20" i="146"/>
  <c r="BQ20" i="146"/>
  <c r="BP20" i="146"/>
  <c r="BJ20" i="146"/>
  <c r="BS20" i="146" s="1"/>
  <c r="AW20" i="146"/>
  <c r="AR20" i="146"/>
  <c r="AV20" i="146" s="1"/>
  <c r="AQ20" i="146"/>
  <c r="AU20" i="146" s="1"/>
  <c r="AP20" i="146"/>
  <c r="AT20" i="146" s="1"/>
  <c r="AA20" i="146"/>
  <c r="AB20" i="146" s="1"/>
  <c r="S20" i="146"/>
  <c r="H20" i="146"/>
  <c r="B20" i="146"/>
  <c r="BC20" i="146" s="1"/>
  <c r="BT19" i="146"/>
  <c r="BR19" i="146"/>
  <c r="BQ19" i="146"/>
  <c r="BP19" i="146"/>
  <c r="BJ19" i="146"/>
  <c r="BS19" i="146" s="1"/>
  <c r="AW19" i="146"/>
  <c r="AR19" i="146"/>
  <c r="AV19" i="146" s="1"/>
  <c r="AQ19" i="146"/>
  <c r="AU19" i="146" s="1"/>
  <c r="AP19" i="146"/>
  <c r="AT19" i="146" s="1"/>
  <c r="AA19" i="146"/>
  <c r="AB19" i="146" s="1"/>
  <c r="S19" i="146"/>
  <c r="H19" i="146"/>
  <c r="B19" i="146"/>
  <c r="BC19" i="146" s="1"/>
  <c r="BT16" i="146"/>
  <c r="BR16" i="146"/>
  <c r="BQ16" i="146"/>
  <c r="BP16" i="146"/>
  <c r="BJ16" i="146"/>
  <c r="BS16" i="146" s="1"/>
  <c r="AW16" i="146"/>
  <c r="AR16" i="146"/>
  <c r="AV16" i="146" s="1"/>
  <c r="AQ16" i="146"/>
  <c r="AU16" i="146" s="1"/>
  <c r="AP16" i="146"/>
  <c r="AT16" i="146" s="1"/>
  <c r="AA16" i="146"/>
  <c r="AB16" i="146" s="1"/>
  <c r="S16" i="146"/>
  <c r="H16" i="146"/>
  <c r="B16" i="146"/>
  <c r="BC16" i="146" s="1"/>
  <c r="BT14" i="146"/>
  <c r="BR14" i="146"/>
  <c r="BQ14" i="146"/>
  <c r="BP14" i="146"/>
  <c r="BJ14" i="146"/>
  <c r="BS14" i="146" s="1"/>
  <c r="AW14" i="146"/>
  <c r="AR14" i="146"/>
  <c r="AV14" i="146" s="1"/>
  <c r="AQ14" i="146"/>
  <c r="AU14" i="146" s="1"/>
  <c r="AP14" i="146"/>
  <c r="AT14" i="146" s="1"/>
  <c r="AA14" i="146"/>
  <c r="AB14" i="146" s="1"/>
  <c r="S14" i="146"/>
  <c r="H14" i="146"/>
  <c r="B14" i="146"/>
  <c r="BC14" i="146" s="1"/>
  <c r="BT6" i="146"/>
  <c r="BR6" i="146"/>
  <c r="BQ6" i="146"/>
  <c r="BP6" i="146"/>
  <c r="BJ6" i="146"/>
  <c r="BS6" i="146" s="1"/>
  <c r="AW6" i="146"/>
  <c r="AR6" i="146"/>
  <c r="AV6" i="146" s="1"/>
  <c r="AQ6" i="146"/>
  <c r="AU6" i="146" s="1"/>
  <c r="AP6" i="146"/>
  <c r="AT6" i="146" s="1"/>
  <c r="AA6" i="146"/>
  <c r="AB6" i="146" s="1"/>
  <c r="S6" i="146"/>
  <c r="H6" i="146"/>
  <c r="B6" i="146"/>
  <c r="BC6" i="146" s="1"/>
  <c r="BT18" i="146"/>
  <c r="BR18" i="146"/>
  <c r="BQ18" i="146"/>
  <c r="BP18" i="146"/>
  <c r="BJ18" i="146"/>
  <c r="BS18" i="146" s="1"/>
  <c r="AW18" i="146"/>
  <c r="AR18" i="146"/>
  <c r="AV18" i="146" s="1"/>
  <c r="AQ18" i="146"/>
  <c r="AU18" i="146" s="1"/>
  <c r="AP18" i="146"/>
  <c r="AT18" i="146" s="1"/>
  <c r="AA18" i="146"/>
  <c r="AB18" i="146" s="1"/>
  <c r="S18" i="146"/>
  <c r="H18" i="146"/>
  <c r="B18" i="146"/>
  <c r="BC18" i="146" s="1"/>
  <c r="BT13" i="146"/>
  <c r="BR13" i="146"/>
  <c r="BQ13" i="146"/>
  <c r="BP13" i="146"/>
  <c r="BJ13" i="146"/>
  <c r="BS13" i="146" s="1"/>
  <c r="AW13" i="146"/>
  <c r="AR13" i="146"/>
  <c r="AV13" i="146" s="1"/>
  <c r="AQ13" i="146"/>
  <c r="AU13" i="146" s="1"/>
  <c r="AP13" i="146"/>
  <c r="AT13" i="146" s="1"/>
  <c r="AA13" i="146"/>
  <c r="AB13" i="146" s="1"/>
  <c r="S13" i="146"/>
  <c r="H13" i="146"/>
  <c r="B13" i="146"/>
  <c r="BC13" i="146" s="1"/>
  <c r="BT10" i="146"/>
  <c r="BR10" i="146"/>
  <c r="BQ10" i="146"/>
  <c r="BP10" i="146"/>
  <c r="BJ10" i="146"/>
  <c r="BS10" i="146" s="1"/>
  <c r="AW10" i="146"/>
  <c r="AR10" i="146"/>
  <c r="AV10" i="146" s="1"/>
  <c r="AQ10" i="146"/>
  <c r="AU10" i="146" s="1"/>
  <c r="AP10" i="146"/>
  <c r="AT10" i="146" s="1"/>
  <c r="AA10" i="146"/>
  <c r="AB10" i="146" s="1"/>
  <c r="S10" i="146"/>
  <c r="H10" i="146"/>
  <c r="B10" i="146"/>
  <c r="BC10" i="146" s="1"/>
  <c r="BT12" i="146"/>
  <c r="BR12" i="146"/>
  <c r="BQ12" i="146"/>
  <c r="BP12" i="146"/>
  <c r="BJ12" i="146"/>
  <c r="BS12" i="146" s="1"/>
  <c r="AW12" i="146"/>
  <c r="AR12" i="146"/>
  <c r="AV12" i="146" s="1"/>
  <c r="AQ12" i="146"/>
  <c r="AU12" i="146" s="1"/>
  <c r="AP12" i="146"/>
  <c r="AT12" i="146" s="1"/>
  <c r="AA12" i="146"/>
  <c r="AB12" i="146" s="1"/>
  <c r="S12" i="146"/>
  <c r="H12" i="146"/>
  <c r="B12" i="146"/>
  <c r="BC12" i="146" s="1"/>
  <c r="BT9" i="146"/>
  <c r="BR9" i="146"/>
  <c r="BQ9" i="146"/>
  <c r="BP9" i="146"/>
  <c r="BJ9" i="146"/>
  <c r="BS9" i="146" s="1"/>
  <c r="AW9" i="146"/>
  <c r="AR9" i="146"/>
  <c r="AV9" i="146" s="1"/>
  <c r="AQ9" i="146"/>
  <c r="AU9" i="146" s="1"/>
  <c r="AP9" i="146"/>
  <c r="AT9" i="146" s="1"/>
  <c r="H9" i="146"/>
  <c r="B9" i="146"/>
  <c r="BC9" i="146" s="1"/>
  <c r="BT8" i="146"/>
  <c r="BR8" i="146"/>
  <c r="BQ8" i="146"/>
  <c r="BP8" i="146"/>
  <c r="BJ8" i="146"/>
  <c r="BS8" i="146" s="1"/>
  <c r="AW8" i="146"/>
  <c r="AR8" i="146"/>
  <c r="AV8" i="146" s="1"/>
  <c r="AQ8" i="146"/>
  <c r="AU8" i="146" s="1"/>
  <c r="AP8" i="146"/>
  <c r="AT8" i="146" s="1"/>
  <c r="AA8" i="146"/>
  <c r="AB8" i="146" s="1"/>
  <c r="S8" i="146"/>
  <c r="H8" i="146"/>
  <c r="B8" i="146"/>
  <c r="BC8" i="146" s="1"/>
  <c r="BW5" i="146"/>
  <c r="BT5" i="146"/>
  <c r="BR5" i="146"/>
  <c r="BQ5" i="146"/>
  <c r="BP5" i="146"/>
  <c r="BJ5" i="146"/>
  <c r="BS5" i="146" s="1"/>
  <c r="AW5" i="146"/>
  <c r="AR5" i="146"/>
  <c r="AV5" i="146" s="1"/>
  <c r="AQ5" i="146"/>
  <c r="AU5" i="146" s="1"/>
  <c r="AP5" i="146"/>
  <c r="AT5" i="146" s="1"/>
  <c r="AA5" i="146"/>
  <c r="AB5" i="146" s="1"/>
  <c r="V5" i="146"/>
  <c r="S5" i="146"/>
  <c r="H5" i="146"/>
  <c r="B5" i="146"/>
  <c r="BC5" i="146" s="1"/>
  <c r="BT98" i="146"/>
  <c r="BR98" i="146"/>
  <c r="BQ98" i="146"/>
  <c r="BP98" i="146"/>
  <c r="BJ98" i="146"/>
  <c r="BS98" i="146" s="1"/>
  <c r="AW98" i="146"/>
  <c r="AR98" i="146"/>
  <c r="AV98" i="146" s="1"/>
  <c r="AQ98" i="146"/>
  <c r="AU98" i="146" s="1"/>
  <c r="AP98" i="146"/>
  <c r="AT98" i="146" s="1"/>
  <c r="AA98" i="146"/>
  <c r="AB98" i="146" s="1"/>
  <c r="S98" i="146"/>
  <c r="H98" i="146"/>
  <c r="B98" i="146"/>
  <c r="BC98" i="146" s="1"/>
  <c r="BT102" i="146"/>
  <c r="BR102" i="146"/>
  <c r="BQ102" i="146"/>
  <c r="BP102" i="146"/>
  <c r="BJ102" i="146"/>
  <c r="BS102" i="146" s="1"/>
  <c r="BH102" i="146"/>
  <c r="AW102" i="146"/>
  <c r="AR102" i="146"/>
  <c r="AV102" i="146" s="1"/>
  <c r="AQ102" i="146"/>
  <c r="AU102" i="146" s="1"/>
  <c r="AP102" i="146"/>
  <c r="AT102" i="146" s="1"/>
  <c r="AA102" i="146"/>
  <c r="AB102" i="146" s="1"/>
  <c r="V102" i="146"/>
  <c r="U102" i="146"/>
  <c r="S102" i="146"/>
  <c r="B102" i="146"/>
  <c r="BC102" i="146" s="1"/>
  <c r="BT100" i="146"/>
  <c r="BR100" i="146"/>
  <c r="BQ100" i="146"/>
  <c r="BP100" i="146"/>
  <c r="BJ100" i="146"/>
  <c r="BS100" i="146" s="1"/>
  <c r="AW100" i="146"/>
  <c r="AR100" i="146"/>
  <c r="AV100" i="146" s="1"/>
  <c r="AQ100" i="146"/>
  <c r="AU100" i="146" s="1"/>
  <c r="AP100" i="146"/>
  <c r="AT100" i="146" s="1"/>
  <c r="H100" i="146"/>
  <c r="B100" i="146"/>
  <c r="BC100" i="146" s="1"/>
  <c r="BT79" i="146"/>
  <c r="BR79" i="146"/>
  <c r="BQ79" i="146"/>
  <c r="BP79" i="146"/>
  <c r="BJ79" i="146"/>
  <c r="BS79" i="146" s="1"/>
  <c r="AW79" i="146"/>
  <c r="AR79" i="146"/>
  <c r="AV79" i="146" s="1"/>
  <c r="AQ79" i="146"/>
  <c r="AU79" i="146" s="1"/>
  <c r="AP79" i="146"/>
  <c r="AT79" i="146" s="1"/>
  <c r="H79" i="146"/>
  <c r="B79" i="146"/>
  <c r="BC79" i="146" s="1"/>
  <c r="BT99" i="146"/>
  <c r="BR99" i="146"/>
  <c r="BQ99" i="146"/>
  <c r="BP99" i="146"/>
  <c r="BJ99" i="146"/>
  <c r="BS99" i="146" s="1"/>
  <c r="AW99" i="146"/>
  <c r="AR99" i="146"/>
  <c r="AV99" i="146" s="1"/>
  <c r="AQ99" i="146"/>
  <c r="AU99" i="146" s="1"/>
  <c r="AP99" i="146"/>
  <c r="AT99" i="146" s="1"/>
  <c r="AA99" i="146"/>
  <c r="AB99" i="146" s="1"/>
  <c r="S99" i="146"/>
  <c r="H99" i="146"/>
  <c r="B99" i="146"/>
  <c r="BC99" i="146" s="1"/>
  <c r="BP96" i="146"/>
  <c r="BJ96" i="146"/>
  <c r="AW96" i="146"/>
  <c r="AR96" i="146"/>
  <c r="AV96" i="146" s="1"/>
  <c r="AQ96" i="146"/>
  <c r="AU96" i="146" s="1"/>
  <c r="AP96" i="146"/>
  <c r="AT96" i="146" s="1"/>
  <c r="AA96" i="146"/>
  <c r="AB96" i="146" s="1"/>
  <c r="S96" i="146"/>
  <c r="H96" i="146"/>
  <c r="B96" i="146"/>
  <c r="BT95" i="146"/>
  <c r="BR95" i="146"/>
  <c r="BQ95" i="146"/>
  <c r="BP95" i="146"/>
  <c r="BJ95" i="146"/>
  <c r="BS95" i="146" s="1"/>
  <c r="AW95" i="146"/>
  <c r="AR95" i="146"/>
  <c r="AV95" i="146" s="1"/>
  <c r="AQ95" i="146"/>
  <c r="AU95" i="146" s="1"/>
  <c r="AP95" i="146"/>
  <c r="AT95" i="146" s="1"/>
  <c r="AA95" i="146"/>
  <c r="AB95" i="146" s="1"/>
  <c r="S95" i="146"/>
  <c r="H95" i="146"/>
  <c r="B95" i="146"/>
  <c r="BC95" i="146" s="1"/>
  <c r="BT91" i="146"/>
  <c r="BR91" i="146"/>
  <c r="BQ91" i="146"/>
  <c r="BP91" i="146"/>
  <c r="BJ91" i="146"/>
  <c r="BS91" i="146" s="1"/>
  <c r="AW91" i="146"/>
  <c r="AU91" i="146"/>
  <c r="AR91" i="146"/>
  <c r="AV91" i="146" s="1"/>
  <c r="AQ91" i="146"/>
  <c r="AP91" i="146"/>
  <c r="AT91" i="146" s="1"/>
  <c r="H91" i="146"/>
  <c r="B91" i="146"/>
  <c r="BT84" i="146"/>
  <c r="BR84" i="146"/>
  <c r="BQ84" i="146"/>
  <c r="BP84" i="146"/>
  <c r="BJ84" i="146"/>
  <c r="BS84" i="146" s="1"/>
  <c r="BH84" i="146"/>
  <c r="AW84" i="146"/>
  <c r="AR84" i="146"/>
  <c r="AV84" i="146" s="1"/>
  <c r="AQ84" i="146"/>
  <c r="AU84" i="146" s="1"/>
  <c r="AP84" i="146"/>
  <c r="AT84" i="146" s="1"/>
  <c r="AA84" i="146"/>
  <c r="AB84" i="146" s="1"/>
  <c r="S84" i="146"/>
  <c r="H84" i="146"/>
  <c r="B84" i="146"/>
  <c r="BC84" i="146" s="1"/>
  <c r="H279" i="146"/>
  <c r="H278" i="146"/>
  <c r="H277" i="146"/>
  <c r="H276" i="146"/>
  <c r="H267" i="146"/>
  <c r="H266" i="146"/>
  <c r="H265" i="146"/>
  <c r="H264" i="146"/>
  <c r="H260" i="146"/>
  <c r="H259" i="146"/>
  <c r="H258" i="146"/>
  <c r="H253" i="146"/>
  <c r="H252" i="146"/>
  <c r="H251" i="146"/>
  <c r="H248" i="146"/>
  <c r="H247" i="146"/>
  <c r="H246" i="146"/>
  <c r="H158" i="146"/>
  <c r="H93" i="146"/>
  <c r="H92" i="146"/>
  <c r="H90" i="146"/>
  <c r="H83" i="146"/>
  <c r="H124" i="146"/>
  <c r="H111" i="146"/>
  <c r="H110" i="146"/>
  <c r="H263" i="146"/>
  <c r="H89" i="146"/>
  <c r="H88" i="146"/>
  <c r="H87" i="146"/>
  <c r="H86" i="146"/>
  <c r="H82" i="146"/>
  <c r="H81" i="146"/>
  <c r="H196" i="146"/>
  <c r="H195" i="146"/>
  <c r="H194" i="146"/>
  <c r="H193" i="146"/>
  <c r="H192" i="146"/>
  <c r="H70" i="146"/>
  <c r="H169" i="146"/>
  <c r="H168" i="146"/>
  <c r="H165" i="146"/>
  <c r="H164" i="146"/>
  <c r="H163" i="146"/>
  <c r="H161" i="146"/>
  <c r="H160" i="146"/>
  <c r="H159" i="146"/>
  <c r="H157" i="146"/>
  <c r="H155" i="146"/>
  <c r="H154" i="146"/>
  <c r="H153" i="146"/>
  <c r="H66" i="146"/>
  <c r="H221" i="146"/>
  <c r="H220" i="146"/>
  <c r="H219" i="146"/>
  <c r="H216" i="146"/>
  <c r="H213" i="146"/>
  <c r="H207" i="146"/>
  <c r="H205" i="146"/>
  <c r="H204" i="146"/>
  <c r="H203" i="146"/>
  <c r="H202" i="146"/>
  <c r="H201" i="146"/>
  <c r="H156" i="146"/>
  <c r="H140" i="146"/>
  <c r="H139" i="146"/>
  <c r="H138" i="146"/>
  <c r="H126" i="146"/>
  <c r="H123" i="146"/>
  <c r="H122" i="146"/>
  <c r="H121" i="146"/>
  <c r="H120" i="146"/>
  <c r="H118" i="146"/>
  <c r="H112" i="146"/>
  <c r="H108" i="146"/>
  <c r="H65" i="146"/>
  <c r="H215" i="146"/>
  <c r="H210" i="146"/>
  <c r="H208" i="146"/>
  <c r="H261" i="146"/>
  <c r="H257" i="146"/>
  <c r="H256" i="146"/>
  <c r="H62" i="146"/>
  <c r="H61" i="146"/>
  <c r="H60" i="146"/>
  <c r="H42" i="146"/>
  <c r="H40" i="146"/>
  <c r="H39" i="146"/>
  <c r="H17" i="146"/>
  <c r="H11" i="146"/>
  <c r="H7" i="146"/>
  <c r="H94" i="146"/>
  <c r="H85" i="146"/>
  <c r="H80" i="146"/>
  <c r="H67" i="146"/>
  <c r="H167" i="146"/>
  <c r="H166" i="146"/>
  <c r="H69" i="146"/>
  <c r="H63" i="146"/>
  <c r="B190" i="146"/>
  <c r="B189" i="146"/>
  <c r="AA196" i="146"/>
  <c r="AB196" i="146" s="1"/>
  <c r="BT70" i="146"/>
  <c r="BR70" i="146"/>
  <c r="BQ70" i="146"/>
  <c r="BP70" i="146"/>
  <c r="BJ70" i="146"/>
  <c r="BS70" i="146" s="1"/>
  <c r="B70" i="146"/>
  <c r="BC70" i="146" s="1"/>
  <c r="AW70" i="146"/>
  <c r="AR70" i="146"/>
  <c r="AV70" i="146" s="1"/>
  <c r="AQ70" i="146"/>
  <c r="AU70" i="146" s="1"/>
  <c r="AP70" i="146"/>
  <c r="AT70" i="146" s="1"/>
  <c r="AA70" i="146"/>
  <c r="AB70" i="146" s="1"/>
  <c r="S70" i="146"/>
  <c r="BT69" i="146"/>
  <c r="BR69" i="146"/>
  <c r="BQ69" i="146"/>
  <c r="BP69" i="146"/>
  <c r="BJ69" i="146"/>
  <c r="BS69" i="146" s="1"/>
  <c r="B69" i="146"/>
  <c r="BC69" i="146" s="1"/>
  <c r="AW69" i="146"/>
  <c r="AR69" i="146"/>
  <c r="AV69" i="146" s="1"/>
  <c r="AQ69" i="146"/>
  <c r="AU69" i="146" s="1"/>
  <c r="AP69" i="146"/>
  <c r="AT69" i="146" s="1"/>
  <c r="AA69" i="146"/>
  <c r="AB69" i="146" s="1"/>
  <c r="S69" i="146"/>
  <c r="G4" i="33"/>
  <c r="H13" i="33"/>
  <c r="J12" i="33"/>
  <c r="H5" i="33" a="1"/>
  <c r="F6" i="33"/>
  <c r="F4" i="33"/>
  <c r="D10" i="33"/>
  <c r="D6" i="33"/>
  <c r="J13" i="33"/>
  <c r="D18" i="33"/>
  <c r="E4" i="33"/>
  <c r="W216" i="146" l="1"/>
  <c r="W212" i="146"/>
  <c r="X212" i="146" s="1"/>
  <c r="Y212" i="146" s="1"/>
  <c r="X215" i="146"/>
  <c r="Y215" i="146" s="1"/>
  <c r="X216" i="146"/>
  <c r="Y216" i="146" s="1"/>
  <c r="W269" i="146"/>
  <c r="X269" i="146" s="1"/>
  <c r="Y269" i="146" s="1"/>
  <c r="BC15" i="146"/>
  <c r="AZ15" i="146"/>
  <c r="BC24" i="146"/>
  <c r="AZ24" i="146"/>
  <c r="BC23" i="146"/>
  <c r="AZ23" i="146"/>
  <c r="BC269" i="146"/>
  <c r="BC96" i="146"/>
  <c r="W65" i="146"/>
  <c r="X65" i="146" s="1"/>
  <c r="Y65" i="146" s="1"/>
  <c r="W222" i="146"/>
  <c r="X222" i="146" s="1"/>
  <c r="Y222" i="146" s="1"/>
  <c r="W223" i="146"/>
  <c r="X223" i="146" s="1"/>
  <c r="Y223" i="146" s="1"/>
  <c r="AX52" i="146"/>
  <c r="AY52" i="146" s="1"/>
  <c r="AZ52" i="146" s="1"/>
  <c r="BJ190" i="146"/>
  <c r="BS190" i="146" s="1"/>
  <c r="BC190" i="146"/>
  <c r="AZ190" i="146"/>
  <c r="W91" i="146"/>
  <c r="X91" i="146" s="1"/>
  <c r="Y91" i="146" s="1"/>
  <c r="AX101" i="146"/>
  <c r="AY101" i="146" s="1"/>
  <c r="AZ101" i="146" s="1"/>
  <c r="W101" i="146"/>
  <c r="X101" i="146" s="1"/>
  <c r="Y101" i="146" s="1"/>
  <c r="W60" i="146"/>
  <c r="X60" i="146" s="1"/>
  <c r="Y60" i="146" s="1"/>
  <c r="W143" i="146"/>
  <c r="X143" i="146" s="1"/>
  <c r="Y143" i="146" s="1"/>
  <c r="AX143" i="146"/>
  <c r="AY143" i="146" s="1"/>
  <c r="AZ143" i="146" s="1"/>
  <c r="W49" i="146"/>
  <c r="X49" i="146" s="1"/>
  <c r="Y49" i="146" s="1"/>
  <c r="W50" i="146"/>
  <c r="X50" i="146" s="1"/>
  <c r="Y50" i="146" s="1"/>
  <c r="W54" i="146"/>
  <c r="X54" i="146" s="1"/>
  <c r="Y54" i="146" s="1"/>
  <c r="W51" i="146"/>
  <c r="X51" i="146" s="1"/>
  <c r="Y51" i="146" s="1"/>
  <c r="W262" i="146"/>
  <c r="X262" i="146" s="1"/>
  <c r="Y262" i="146" s="1"/>
  <c r="AX262" i="146"/>
  <c r="AY262" i="146" s="1"/>
  <c r="AZ262" i="146" s="1"/>
  <c r="W238" i="146"/>
  <c r="X238" i="146" s="1"/>
  <c r="Y238" i="146" s="1"/>
  <c r="AX238" i="146"/>
  <c r="AY238" i="146" s="1"/>
  <c r="AZ238" i="146" s="1"/>
  <c r="AX255" i="146"/>
  <c r="AY255" i="146" s="1"/>
  <c r="AZ255" i="146" s="1"/>
  <c r="W255" i="146"/>
  <c r="X255" i="146" s="1"/>
  <c r="Y255" i="146" s="1"/>
  <c r="AX254" i="146"/>
  <c r="AY254" i="146" s="1"/>
  <c r="AZ254" i="146" s="1"/>
  <c r="W254" i="146"/>
  <c r="X254" i="146" s="1"/>
  <c r="Y254" i="146" s="1"/>
  <c r="W272" i="146"/>
  <c r="X272" i="146" s="1"/>
  <c r="Y272" i="146" s="1"/>
  <c r="AX272" i="146"/>
  <c r="AY272" i="146" s="1"/>
  <c r="BC272" i="146"/>
  <c r="AX268" i="146"/>
  <c r="AY268" i="146" s="1"/>
  <c r="AZ268" i="146" s="1"/>
  <c r="AX270" i="146"/>
  <c r="AY270" i="146" s="1"/>
  <c r="AZ270" i="146" s="1"/>
  <c r="AX269" i="146"/>
  <c r="AY269" i="146" s="1"/>
  <c r="AZ269" i="146" s="1"/>
  <c r="W270" i="146"/>
  <c r="X270" i="146" s="1"/>
  <c r="Y270" i="146" s="1"/>
  <c r="W273" i="146"/>
  <c r="X273" i="146" s="1"/>
  <c r="Y273" i="146" s="1"/>
  <c r="AZ273" i="146"/>
  <c r="AX273" i="146"/>
  <c r="AY273" i="146" s="1"/>
  <c r="W274" i="146"/>
  <c r="X274" i="146" s="1"/>
  <c r="Y274" i="146" s="1"/>
  <c r="AX274" i="146"/>
  <c r="AY274" i="146" s="1"/>
  <c r="BC274" i="146"/>
  <c r="W250" i="146"/>
  <c r="X250" i="146" s="1"/>
  <c r="Y250" i="146" s="1"/>
  <c r="AX250" i="146"/>
  <c r="AY250" i="146" s="1"/>
  <c r="AZ250" i="146" s="1"/>
  <c r="W249" i="146"/>
  <c r="X249" i="146" s="1"/>
  <c r="Y249" i="146" s="1"/>
  <c r="AX245" i="146"/>
  <c r="AY245" i="146" s="1"/>
  <c r="AZ245" i="146" s="1"/>
  <c r="AX249" i="146"/>
  <c r="AY249" i="146" s="1"/>
  <c r="AZ249" i="146" s="1"/>
  <c r="W245" i="146"/>
  <c r="X245" i="146" s="1"/>
  <c r="Y245" i="146" s="1"/>
  <c r="AR243" i="146"/>
  <c r="AV243" i="146" s="1"/>
  <c r="AX243" i="146" s="1"/>
  <c r="AY243" i="146" s="1"/>
  <c r="AZ243" i="146" s="1"/>
  <c r="BC241" i="146"/>
  <c r="BC242" i="146"/>
  <c r="AR244" i="146"/>
  <c r="AV244" i="146" s="1"/>
  <c r="BR243" i="146"/>
  <c r="BT243" i="146"/>
  <c r="W244" i="146"/>
  <c r="X244" i="146" s="1"/>
  <c r="Y244" i="146" s="1"/>
  <c r="BR244" i="146"/>
  <c r="BT244" i="146"/>
  <c r="W243" i="146"/>
  <c r="X243" i="146" s="1"/>
  <c r="Y243" i="146" s="1"/>
  <c r="W241" i="146"/>
  <c r="X241" i="146" s="1"/>
  <c r="Y241" i="146" s="1"/>
  <c r="W242" i="146"/>
  <c r="X242" i="146" s="1"/>
  <c r="Y242" i="146" s="1"/>
  <c r="AR242" i="146"/>
  <c r="AV242" i="146" s="1"/>
  <c r="BR242" i="146"/>
  <c r="AL242" i="146"/>
  <c r="BP242" i="146" s="1"/>
  <c r="AQ242" i="146"/>
  <c r="AU242" i="146" s="1"/>
  <c r="AJ240" i="146"/>
  <c r="BC240" i="146"/>
  <c r="AJ241" i="146"/>
  <c r="AL241" i="146"/>
  <c r="AO241" i="146"/>
  <c r="AQ241" i="146"/>
  <c r="AU241" i="146" s="1"/>
  <c r="AR241" i="146"/>
  <c r="AV241" i="146" s="1"/>
  <c r="W240" i="146"/>
  <c r="X240" i="146" s="1"/>
  <c r="Y240" i="146" s="1"/>
  <c r="AO240" i="146"/>
  <c r="BT240" i="146" s="1"/>
  <c r="AL240" i="146"/>
  <c r="AR240" i="146"/>
  <c r="AV240" i="146" s="1"/>
  <c r="AX240" i="146" s="1"/>
  <c r="AY240" i="146" s="1"/>
  <c r="AZ240" i="146" s="1"/>
  <c r="W239" i="146"/>
  <c r="X239" i="146" s="1"/>
  <c r="Y239" i="146" s="1"/>
  <c r="AR239" i="146"/>
  <c r="AV239" i="146" s="1"/>
  <c r="AX239" i="146" s="1"/>
  <c r="AY239" i="146" s="1"/>
  <c r="AZ239" i="146" s="1"/>
  <c r="BR239" i="146"/>
  <c r="H5" i="33"/>
  <c r="W9" i="146"/>
  <c r="X9" i="146" s="1"/>
  <c r="Y9" i="146" s="1"/>
  <c r="AX218" i="146"/>
  <c r="AY218" i="146" s="1"/>
  <c r="AZ218" i="146" s="1"/>
  <c r="AX217" i="146"/>
  <c r="AY217" i="146" s="1"/>
  <c r="AZ217" i="146" s="1"/>
  <c r="W218" i="146"/>
  <c r="X218" i="146" s="1"/>
  <c r="Y218" i="146" s="1"/>
  <c r="W217" i="146"/>
  <c r="X217" i="146" s="1"/>
  <c r="Y217" i="146" s="1"/>
  <c r="AX222" i="146"/>
  <c r="AY222" i="146" s="1"/>
  <c r="AZ222" i="146" s="1"/>
  <c r="AX223" i="146"/>
  <c r="AY223" i="146" s="1"/>
  <c r="AZ223" i="146" s="1"/>
  <c r="AX214" i="146"/>
  <c r="AY214" i="146" s="1"/>
  <c r="AZ214" i="146"/>
  <c r="W214" i="146"/>
  <c r="X214" i="146" s="1"/>
  <c r="Y214" i="146" s="1"/>
  <c r="AX209" i="146"/>
  <c r="AY209" i="146" s="1"/>
  <c r="W209" i="146"/>
  <c r="X209" i="146" s="1"/>
  <c r="Y209" i="146" s="1"/>
  <c r="AZ209" i="146"/>
  <c r="AX234" i="146"/>
  <c r="AY234" i="146" s="1"/>
  <c r="W234" i="146"/>
  <c r="X234" i="146" s="1"/>
  <c r="Y234" i="146" s="1"/>
  <c r="AZ234" i="146"/>
  <c r="AZ237" i="146"/>
  <c r="W237" i="146"/>
  <c r="X237" i="146" s="1"/>
  <c r="Y237" i="146" s="1"/>
  <c r="AX237" i="146"/>
  <c r="AY237" i="146" s="1"/>
  <c r="AX197" i="146"/>
  <c r="AY197" i="146" s="1"/>
  <c r="W235" i="146"/>
  <c r="X235" i="146" s="1"/>
  <c r="Y235" i="146" s="1"/>
  <c r="AX236" i="146"/>
  <c r="AY236" i="146" s="1"/>
  <c r="AZ236" i="146"/>
  <c r="W236" i="146"/>
  <c r="X236" i="146" s="1"/>
  <c r="Y236" i="146" s="1"/>
  <c r="AZ235" i="146"/>
  <c r="AX235" i="146"/>
  <c r="AY235" i="146" s="1"/>
  <c r="AX198" i="146"/>
  <c r="AY198" i="146" s="1"/>
  <c r="AZ198" i="146" s="1"/>
  <c r="W199" i="146"/>
  <c r="X199" i="146" s="1"/>
  <c r="Y199" i="146" s="1"/>
  <c r="AX199" i="146"/>
  <c r="AY199" i="146" s="1"/>
  <c r="AZ199" i="146" s="1"/>
  <c r="W198" i="146"/>
  <c r="X198" i="146" s="1"/>
  <c r="Y198" i="146" s="1"/>
  <c r="AX212" i="146"/>
  <c r="AY212" i="146" s="1"/>
  <c r="AZ212" i="146" s="1"/>
  <c r="W197" i="146"/>
  <c r="X197" i="146" s="1"/>
  <c r="Y197" i="146" s="1"/>
  <c r="AZ197" i="146"/>
  <c r="AX191" i="146"/>
  <c r="AY191" i="146" s="1"/>
  <c r="AZ191" i="146" s="1"/>
  <c r="W191" i="146"/>
  <c r="X191" i="146" s="1"/>
  <c r="Y191" i="146" s="1"/>
  <c r="AX162" i="146"/>
  <c r="AY162" i="146" s="1"/>
  <c r="AZ162" i="146" s="1"/>
  <c r="W162" i="146"/>
  <c r="X162" i="146" s="1"/>
  <c r="Y162" i="146" s="1"/>
  <c r="AX178" i="146"/>
  <c r="AY178" i="146" s="1"/>
  <c r="W177" i="146"/>
  <c r="X177" i="146" s="1"/>
  <c r="Y177" i="146" s="1"/>
  <c r="W178" i="146"/>
  <c r="X178" i="146" s="1"/>
  <c r="Y178" i="146" s="1"/>
  <c r="AX177" i="146"/>
  <c r="AY177" i="146" s="1"/>
  <c r="AZ178" i="146"/>
  <c r="AZ177" i="146"/>
  <c r="BC173" i="146"/>
  <c r="W173" i="146"/>
  <c r="X173" i="146" s="1"/>
  <c r="Y173" i="146" s="1"/>
  <c r="W176" i="146"/>
  <c r="X176" i="146" s="1"/>
  <c r="Y176" i="146" s="1"/>
  <c r="W174" i="146"/>
  <c r="X174" i="146" s="1"/>
  <c r="Y174" i="146" s="1"/>
  <c r="W175" i="146"/>
  <c r="X175" i="146" s="1"/>
  <c r="Y175" i="146" s="1"/>
  <c r="AX174" i="146"/>
  <c r="AY174" i="146" s="1"/>
  <c r="AX176" i="146"/>
  <c r="AY176" i="146" s="1"/>
  <c r="AZ176" i="146"/>
  <c r="BC174" i="146"/>
  <c r="AX173" i="146"/>
  <c r="AY173" i="146" s="1"/>
  <c r="AX175" i="146"/>
  <c r="AY175" i="146" s="1"/>
  <c r="AZ175" i="146"/>
  <c r="AX171" i="146"/>
  <c r="AY171" i="146" s="1"/>
  <c r="AZ171" i="146" s="1"/>
  <c r="AX170" i="146"/>
  <c r="AY170" i="146" s="1"/>
  <c r="AZ170" i="146" s="1"/>
  <c r="W170" i="146"/>
  <c r="X170" i="146" s="1"/>
  <c r="Y170" i="146" s="1"/>
  <c r="W171" i="146"/>
  <c r="X171" i="146" s="1"/>
  <c r="Y171" i="146" s="1"/>
  <c r="W145" i="146"/>
  <c r="X145" i="146" s="1"/>
  <c r="Y145" i="146" s="1"/>
  <c r="BC145" i="146"/>
  <c r="AX146" i="146"/>
  <c r="AY146" i="146" s="1"/>
  <c r="AX145" i="146"/>
  <c r="AY145" i="146" s="1"/>
  <c r="W146" i="146"/>
  <c r="X146" i="146" s="1"/>
  <c r="Y146" i="146" s="1"/>
  <c r="AZ146" i="146"/>
  <c r="AX137" i="146"/>
  <c r="AY137" i="146" s="1"/>
  <c r="AZ137" i="146" s="1"/>
  <c r="W137" i="146"/>
  <c r="X137" i="146" s="1"/>
  <c r="Y137" i="146" s="1"/>
  <c r="W144" i="146"/>
  <c r="X144" i="146" s="1"/>
  <c r="Y144" i="146" s="1"/>
  <c r="AX144" i="146"/>
  <c r="AY144" i="146" s="1"/>
  <c r="AX148" i="146"/>
  <c r="AY148" i="146" s="1"/>
  <c r="W147" i="146"/>
  <c r="X147" i="146" s="1"/>
  <c r="Y147" i="146" s="1"/>
  <c r="BC148" i="146"/>
  <c r="W148" i="146"/>
  <c r="X148" i="146" s="1"/>
  <c r="Y148" i="146" s="1"/>
  <c r="AZ147" i="146"/>
  <c r="W141" i="146"/>
  <c r="X141" i="146" s="1"/>
  <c r="Y141" i="146" s="1"/>
  <c r="AX147" i="146"/>
  <c r="AY147" i="146" s="1"/>
  <c r="AZ144" i="146"/>
  <c r="AX127" i="146"/>
  <c r="AY127" i="146" s="1"/>
  <c r="AZ127" i="146" s="1"/>
  <c r="AX141" i="146"/>
  <c r="AY141" i="146" s="1"/>
  <c r="AZ141" i="146" s="1"/>
  <c r="AX142" i="146"/>
  <c r="AY142" i="146" s="1"/>
  <c r="AZ142" i="146" s="1"/>
  <c r="W142" i="146"/>
  <c r="X142" i="146" s="1"/>
  <c r="Y142" i="146" s="1"/>
  <c r="AX109" i="146"/>
  <c r="AY109" i="146" s="1"/>
  <c r="AZ109" i="146" s="1"/>
  <c r="BC129" i="146"/>
  <c r="W109" i="146"/>
  <c r="X109" i="146" s="1"/>
  <c r="Y109" i="146" s="1"/>
  <c r="W129" i="146"/>
  <c r="X129" i="146" s="1"/>
  <c r="Y129" i="146" s="1"/>
  <c r="W130" i="146"/>
  <c r="X130" i="146" s="1"/>
  <c r="Y130" i="146" s="1"/>
  <c r="AX129" i="146"/>
  <c r="AY129" i="146" s="1"/>
  <c r="AX130" i="146"/>
  <c r="AY130" i="146" s="1"/>
  <c r="AZ130" i="146"/>
  <c r="AX114" i="146"/>
  <c r="AY114" i="146" s="1"/>
  <c r="AZ114" i="146" s="1"/>
  <c r="W114" i="146"/>
  <c r="X114" i="146" s="1"/>
  <c r="Y114" i="146" s="1"/>
  <c r="AX117" i="146"/>
  <c r="AY117" i="146" s="1"/>
  <c r="AZ117" i="146" s="1"/>
  <c r="W117" i="146"/>
  <c r="X117" i="146" s="1"/>
  <c r="Y117" i="146" s="1"/>
  <c r="W119" i="146"/>
  <c r="X119" i="146" s="1"/>
  <c r="Y119" i="146" s="1"/>
  <c r="AX115" i="146"/>
  <c r="AY115" i="146" s="1"/>
  <c r="AZ115" i="146" s="1"/>
  <c r="W115" i="146"/>
  <c r="X115" i="146" s="1"/>
  <c r="Y115" i="146" s="1"/>
  <c r="AX113" i="146"/>
  <c r="AY113" i="146" s="1"/>
  <c r="AZ113" i="146" s="1"/>
  <c r="W113" i="146"/>
  <c r="X113" i="146" s="1"/>
  <c r="Y113" i="146" s="1"/>
  <c r="AX119" i="146"/>
  <c r="AY119" i="146" s="1"/>
  <c r="AZ119" i="146" s="1"/>
  <c r="AX54" i="146"/>
  <c r="AY54" i="146" s="1"/>
  <c r="AZ54" i="146" s="1"/>
  <c r="AX49" i="146"/>
  <c r="AY49" i="146" s="1"/>
  <c r="AZ49" i="146" s="1"/>
  <c r="AX51" i="146"/>
  <c r="AY51" i="146" s="1"/>
  <c r="AZ51" i="146" s="1"/>
  <c r="AX50" i="146"/>
  <c r="AY50" i="146" s="1"/>
  <c r="AZ50" i="146" s="1"/>
  <c r="W52" i="146"/>
  <c r="X52" i="146" s="1"/>
  <c r="Y52" i="146" s="1"/>
  <c r="W15" i="146"/>
  <c r="X15" i="146" s="1"/>
  <c r="Y15" i="146" s="1"/>
  <c r="AX20" i="146"/>
  <c r="AY20" i="146" s="1"/>
  <c r="AZ20" i="146" s="1"/>
  <c r="AX26" i="146"/>
  <c r="AY26" i="146" s="1"/>
  <c r="AX27" i="146"/>
  <c r="AY27" i="146" s="1"/>
  <c r="W27" i="146"/>
  <c r="X27" i="146" s="1"/>
  <c r="Y27" i="146" s="1"/>
  <c r="AZ26" i="146"/>
  <c r="AZ27" i="146"/>
  <c r="W24" i="146"/>
  <c r="X24" i="146" s="1"/>
  <c r="Y24" i="146" s="1"/>
  <c r="W21" i="146"/>
  <c r="X21" i="146" s="1"/>
  <c r="Y21" i="146" s="1"/>
  <c r="AX21" i="146"/>
  <c r="AY21" i="146" s="1"/>
  <c r="AZ21" i="146" s="1"/>
  <c r="AX22" i="146"/>
  <c r="AY22" i="146" s="1"/>
  <c r="AZ22" i="146" s="1"/>
  <c r="W23" i="146"/>
  <c r="X23" i="146" s="1"/>
  <c r="Y23" i="146" s="1"/>
  <c r="W22" i="146"/>
  <c r="X22" i="146" s="1"/>
  <c r="Y22" i="146" s="1"/>
  <c r="W20" i="146"/>
  <c r="X20" i="146" s="1"/>
  <c r="Y20" i="146" s="1"/>
  <c r="AX19" i="146"/>
  <c r="AY19" i="146" s="1"/>
  <c r="AZ19" i="146" s="1"/>
  <c r="W19" i="146"/>
  <c r="X19" i="146" s="1"/>
  <c r="Y19" i="146" s="1"/>
  <c r="W16" i="146"/>
  <c r="X16" i="146" s="1"/>
  <c r="Y16" i="146" s="1"/>
  <c r="AX16" i="146"/>
  <c r="AY16" i="146" s="1"/>
  <c r="AZ16" i="146" s="1"/>
  <c r="AX14" i="146"/>
  <c r="AY14" i="146" s="1"/>
  <c r="AZ14" i="146" s="1"/>
  <c r="W14" i="146"/>
  <c r="X14" i="146" s="1"/>
  <c r="Y14" i="146" s="1"/>
  <c r="AX6" i="146"/>
  <c r="AY6" i="146" s="1"/>
  <c r="AZ6" i="146" s="1"/>
  <c r="W6" i="146"/>
  <c r="X6" i="146" s="1"/>
  <c r="Y6" i="146" s="1"/>
  <c r="AX18" i="146"/>
  <c r="AY18" i="146" s="1"/>
  <c r="AZ18" i="146" s="1"/>
  <c r="W18" i="146"/>
  <c r="X18" i="146" s="1"/>
  <c r="Y18" i="146" s="1"/>
  <c r="AX13" i="146"/>
  <c r="AY13" i="146" s="1"/>
  <c r="AZ13" i="146" s="1"/>
  <c r="W13" i="146"/>
  <c r="X13" i="146" s="1"/>
  <c r="Y13" i="146" s="1"/>
  <c r="AX10" i="146"/>
  <c r="AY10" i="146" s="1"/>
  <c r="AZ10" i="146" s="1"/>
  <c r="W10" i="146"/>
  <c r="X10" i="146" s="1"/>
  <c r="Y10" i="146" s="1"/>
  <c r="AX12" i="146"/>
  <c r="AY12" i="146" s="1"/>
  <c r="AZ12" i="146" s="1"/>
  <c r="W12" i="146"/>
  <c r="X12" i="146" s="1"/>
  <c r="Y12" i="146" s="1"/>
  <c r="AX9" i="146"/>
  <c r="AY9" i="146" s="1"/>
  <c r="AZ9" i="146" s="1"/>
  <c r="AX8" i="146"/>
  <c r="AY8" i="146" s="1"/>
  <c r="AZ8" i="146" s="1"/>
  <c r="W8" i="146"/>
  <c r="X8" i="146" s="1"/>
  <c r="Y8" i="146" s="1"/>
  <c r="AX5" i="146"/>
  <c r="AY5" i="146" s="1"/>
  <c r="AZ5" i="146" s="1"/>
  <c r="W5" i="146"/>
  <c r="X5" i="146" s="1"/>
  <c r="Y5" i="146" s="1"/>
  <c r="AX102" i="146"/>
  <c r="AY102" i="146" s="1"/>
  <c r="AX98" i="146"/>
  <c r="AY98" i="146" s="1"/>
  <c r="AZ98" i="146" s="1"/>
  <c r="W98" i="146"/>
  <c r="X98" i="146" s="1"/>
  <c r="Y98" i="146" s="1"/>
  <c r="W102" i="146"/>
  <c r="X102" i="146" s="1"/>
  <c r="Y102" i="146" s="1"/>
  <c r="AZ102" i="146"/>
  <c r="AX100" i="146"/>
  <c r="AY100" i="146" s="1"/>
  <c r="AZ100" i="146" s="1"/>
  <c r="AX79" i="146"/>
  <c r="AY79" i="146" s="1"/>
  <c r="AZ79" i="146" s="1"/>
  <c r="W96" i="146"/>
  <c r="X96" i="146" s="1"/>
  <c r="Y96" i="146" s="1"/>
  <c r="AX99" i="146"/>
  <c r="AY99" i="146" s="1"/>
  <c r="AZ99" i="146" s="1"/>
  <c r="W99" i="146"/>
  <c r="X99" i="146" s="1"/>
  <c r="Y99" i="146" s="1"/>
  <c r="AX96" i="146"/>
  <c r="AY96" i="146" s="1"/>
  <c r="AZ96" i="146" s="1"/>
  <c r="W95" i="146"/>
  <c r="X95" i="146" s="1"/>
  <c r="Y95" i="146" s="1"/>
  <c r="AX91" i="146"/>
  <c r="AY91" i="146" s="1"/>
  <c r="AZ91" i="146" s="1"/>
  <c r="AX95" i="146"/>
  <c r="AY95" i="146" s="1"/>
  <c r="AZ95" i="146" s="1"/>
  <c r="BC91" i="146"/>
  <c r="AX84" i="146"/>
  <c r="AY84" i="146" s="1"/>
  <c r="AZ84" i="146" s="1"/>
  <c r="W84" i="146"/>
  <c r="X84" i="146" s="1"/>
  <c r="Y84" i="146" s="1"/>
  <c r="W70" i="146"/>
  <c r="X70" i="146" s="1"/>
  <c r="Y70" i="146" s="1"/>
  <c r="AX70" i="146"/>
  <c r="AY70" i="146" s="1"/>
  <c r="AZ70" i="146" s="1"/>
  <c r="AX69" i="146"/>
  <c r="AY69" i="146" s="1"/>
  <c r="AZ69" i="146" s="1"/>
  <c r="W69" i="146"/>
  <c r="X69" i="146" s="1"/>
  <c r="Y69" i="146" s="1"/>
  <c r="B59" i="146"/>
  <c r="BC59" i="146" s="1"/>
  <c r="B7" i="146"/>
  <c r="U7" i="146"/>
  <c r="S7" i="146"/>
  <c r="AA7" i="146"/>
  <c r="AB7" i="146" s="1"/>
  <c r="AP7" i="146"/>
  <c r="AT7" i="146" s="1"/>
  <c r="AQ7" i="146"/>
  <c r="AU7" i="146" s="1"/>
  <c r="AR7" i="146"/>
  <c r="AV7" i="146" s="1"/>
  <c r="AW7" i="146"/>
  <c r="BJ7" i="146"/>
  <c r="BS7" i="146" s="1"/>
  <c r="BP7" i="146"/>
  <c r="BQ7" i="146"/>
  <c r="BR7" i="146"/>
  <c r="BT7" i="146"/>
  <c r="B11" i="146"/>
  <c r="BC11" i="146" s="1"/>
  <c r="U11" i="146"/>
  <c r="S11" i="146"/>
  <c r="AA11" i="146"/>
  <c r="AB11" i="146" s="1"/>
  <c r="AP11" i="146"/>
  <c r="AT11" i="146" s="1"/>
  <c r="AQ11" i="146"/>
  <c r="AU11" i="146" s="1"/>
  <c r="AR11" i="146"/>
  <c r="AV11" i="146" s="1"/>
  <c r="AW11" i="146"/>
  <c r="BJ11" i="146"/>
  <c r="BS11" i="146" s="1"/>
  <c r="BP11" i="146"/>
  <c r="BQ11" i="146"/>
  <c r="BR11" i="146"/>
  <c r="BT11" i="146"/>
  <c r="B17" i="146"/>
  <c r="U17" i="146"/>
  <c r="S17" i="146"/>
  <c r="AA17" i="146"/>
  <c r="AB17" i="146" s="1"/>
  <c r="AP17" i="146"/>
  <c r="AT17" i="146" s="1"/>
  <c r="AQ17" i="146"/>
  <c r="AU17" i="146" s="1"/>
  <c r="AR17" i="146"/>
  <c r="AV17" i="146" s="1"/>
  <c r="AW17" i="146"/>
  <c r="BJ17" i="146"/>
  <c r="BS17" i="146" s="1"/>
  <c r="BP17" i="146"/>
  <c r="BQ17" i="146"/>
  <c r="BR17" i="146"/>
  <c r="BT17" i="146"/>
  <c r="B28" i="146"/>
  <c r="BC28" i="146" s="1"/>
  <c r="S28" i="146"/>
  <c r="U28" i="146"/>
  <c r="V28" i="146"/>
  <c r="AA28" i="146"/>
  <c r="AB28" i="146" s="1"/>
  <c r="AP28" i="146"/>
  <c r="AT28" i="146" s="1"/>
  <c r="AQ28" i="146"/>
  <c r="AR28" i="146"/>
  <c r="AV28" i="146" s="1"/>
  <c r="AU28" i="146"/>
  <c r="AW28" i="146"/>
  <c r="BJ28" i="146"/>
  <c r="BS28" i="146" s="1"/>
  <c r="BP28" i="146"/>
  <c r="BQ28" i="146"/>
  <c r="BR28" i="146"/>
  <c r="BT28" i="146"/>
  <c r="B29" i="146"/>
  <c r="BC29" i="146" s="1"/>
  <c r="S29" i="146"/>
  <c r="U29" i="146"/>
  <c r="V29" i="146"/>
  <c r="AA29" i="146"/>
  <c r="AB29" i="146" s="1"/>
  <c r="AP29" i="146"/>
  <c r="AT29" i="146" s="1"/>
  <c r="AQ29" i="146"/>
  <c r="AU29" i="146" s="1"/>
  <c r="AR29" i="146"/>
  <c r="AV29" i="146" s="1"/>
  <c r="AW29" i="146"/>
  <c r="BJ29" i="146"/>
  <c r="BS29" i="146" s="1"/>
  <c r="BP29" i="146"/>
  <c r="BQ29" i="146"/>
  <c r="BR29" i="146"/>
  <c r="BT29" i="146"/>
  <c r="B30" i="146"/>
  <c r="AZ30" i="146" s="1"/>
  <c r="S30" i="146"/>
  <c r="U30" i="146"/>
  <c r="V30" i="146"/>
  <c r="AA30" i="146"/>
  <c r="AB30" i="146" s="1"/>
  <c r="AP30" i="146"/>
  <c r="AT30" i="146" s="1"/>
  <c r="AQ30" i="146"/>
  <c r="AU30" i="146" s="1"/>
  <c r="AR30" i="146"/>
  <c r="AV30" i="146" s="1"/>
  <c r="AW30" i="146"/>
  <c r="BJ30" i="146"/>
  <c r="BS30" i="146" s="1"/>
  <c r="BP30" i="146"/>
  <c r="BQ30" i="146"/>
  <c r="BR30" i="146"/>
  <c r="BT30" i="146"/>
  <c r="B31" i="146"/>
  <c r="BC31" i="146" s="1"/>
  <c r="S31" i="146"/>
  <c r="U31" i="146"/>
  <c r="V31" i="146"/>
  <c r="AA31" i="146"/>
  <c r="AP31" i="146"/>
  <c r="AT31" i="146" s="1"/>
  <c r="AQ31" i="146"/>
  <c r="AR31" i="146"/>
  <c r="AV31" i="146" s="1"/>
  <c r="AU31" i="146"/>
  <c r="AW31" i="146"/>
  <c r="BJ31" i="146"/>
  <c r="BS31" i="146" s="1"/>
  <c r="BP31" i="146"/>
  <c r="BQ31" i="146"/>
  <c r="BR31" i="146"/>
  <c r="BT31" i="146"/>
  <c r="B32" i="146"/>
  <c r="AZ32" i="146" s="1"/>
  <c r="S32" i="146"/>
  <c r="U32" i="146"/>
  <c r="V32" i="146"/>
  <c r="AA32" i="146"/>
  <c r="AB32" i="146" s="1"/>
  <c r="AP32" i="146"/>
  <c r="AT32" i="146" s="1"/>
  <c r="AQ32" i="146"/>
  <c r="AU32" i="146" s="1"/>
  <c r="AR32" i="146"/>
  <c r="AV32" i="146" s="1"/>
  <c r="AW32" i="146"/>
  <c r="BJ32" i="146"/>
  <c r="BS32" i="146" s="1"/>
  <c r="BP32" i="146"/>
  <c r="BQ32" i="146"/>
  <c r="BR32" i="146"/>
  <c r="BT32" i="146"/>
  <c r="B33" i="146"/>
  <c r="S33" i="146"/>
  <c r="U33" i="146"/>
  <c r="V33" i="146"/>
  <c r="AA33" i="146"/>
  <c r="AB33" i="146" s="1"/>
  <c r="AP33" i="146"/>
  <c r="AQ33" i="146"/>
  <c r="AR33" i="146"/>
  <c r="AV33" i="146" s="1"/>
  <c r="AT33" i="146"/>
  <c r="AU33" i="146"/>
  <c r="AW33" i="146"/>
  <c r="BJ33" i="146"/>
  <c r="BS33" i="146" s="1"/>
  <c r="BP33" i="146"/>
  <c r="BQ33" i="146"/>
  <c r="BR33" i="146"/>
  <c r="BT33" i="146"/>
  <c r="B34" i="146"/>
  <c r="BC34" i="146" s="1"/>
  <c r="AP34" i="146"/>
  <c r="AT34" i="146" s="1"/>
  <c r="AQ34" i="146"/>
  <c r="AU34" i="146" s="1"/>
  <c r="AR34" i="146"/>
  <c r="AV34" i="146" s="1"/>
  <c r="AW34" i="146"/>
  <c r="BP34" i="146"/>
  <c r="BQ34" i="146"/>
  <c r="BR34" i="146"/>
  <c r="BS34" i="146"/>
  <c r="BT34" i="146"/>
  <c r="B35" i="146"/>
  <c r="AZ35" i="146" s="1"/>
  <c r="AP35" i="146"/>
  <c r="AT35" i="146" s="1"/>
  <c r="AQ35" i="146"/>
  <c r="AU35" i="146" s="1"/>
  <c r="AR35" i="146"/>
  <c r="AV35" i="146" s="1"/>
  <c r="AW35" i="146"/>
  <c r="BP35" i="146"/>
  <c r="BQ35" i="146"/>
  <c r="BR35" i="146"/>
  <c r="BS35" i="146"/>
  <c r="BT35" i="146"/>
  <c r="B36" i="146"/>
  <c r="AZ36" i="146" s="1"/>
  <c r="S36" i="146"/>
  <c r="U36" i="146"/>
  <c r="V36" i="146"/>
  <c r="AA36" i="146"/>
  <c r="AB36" i="146" s="1"/>
  <c r="AP36" i="146"/>
  <c r="AT36" i="146" s="1"/>
  <c r="AQ36" i="146"/>
  <c r="AR36" i="146"/>
  <c r="AV36" i="146" s="1"/>
  <c r="AU36" i="146"/>
  <c r="AW36" i="146"/>
  <c r="BJ36" i="146"/>
  <c r="BS36" i="146" s="1"/>
  <c r="BP36" i="146"/>
  <c r="BQ36" i="146"/>
  <c r="BR36" i="146"/>
  <c r="BT36" i="146"/>
  <c r="B37" i="146"/>
  <c r="AZ37" i="146" s="1"/>
  <c r="S37" i="146"/>
  <c r="U37" i="146"/>
  <c r="V37" i="146"/>
  <c r="AA37" i="146"/>
  <c r="AB37" i="146" s="1"/>
  <c r="AP37" i="146"/>
  <c r="AT37" i="146" s="1"/>
  <c r="AQ37" i="146"/>
  <c r="AU37" i="146" s="1"/>
  <c r="AR37" i="146"/>
  <c r="AV37" i="146" s="1"/>
  <c r="AW37" i="146"/>
  <c r="BJ37" i="146"/>
  <c r="BS37" i="146" s="1"/>
  <c r="BP37" i="146"/>
  <c r="BQ37" i="146"/>
  <c r="BR37" i="146"/>
  <c r="BT37" i="146"/>
  <c r="B38" i="146"/>
  <c r="AZ38" i="146" s="1"/>
  <c r="S38" i="146"/>
  <c r="U38" i="146"/>
  <c r="V38" i="146"/>
  <c r="AA38" i="146"/>
  <c r="AB38" i="146" s="1"/>
  <c r="AP38" i="146"/>
  <c r="AQ38" i="146"/>
  <c r="AR38" i="146"/>
  <c r="AV38" i="146" s="1"/>
  <c r="AT38" i="146"/>
  <c r="AU38" i="146"/>
  <c r="AW38" i="146"/>
  <c r="BJ38" i="146"/>
  <c r="BS38" i="146" s="1"/>
  <c r="BP38" i="146"/>
  <c r="BQ38" i="146"/>
  <c r="BR38" i="146"/>
  <c r="BT38" i="146"/>
  <c r="B39" i="146"/>
  <c r="BC39" i="146" s="1"/>
  <c r="AP39" i="146"/>
  <c r="AT39" i="146" s="1"/>
  <c r="AQ39" i="146"/>
  <c r="AU39" i="146" s="1"/>
  <c r="AR39" i="146"/>
  <c r="AV39" i="146" s="1"/>
  <c r="AW39" i="146"/>
  <c r="BJ39" i="146"/>
  <c r="BS39" i="146" s="1"/>
  <c r="BP39" i="146"/>
  <c r="BQ39" i="146"/>
  <c r="BR39" i="146"/>
  <c r="BT39" i="146"/>
  <c r="B40" i="146"/>
  <c r="BC40" i="146" s="1"/>
  <c r="AP40" i="146"/>
  <c r="AT40" i="146" s="1"/>
  <c r="AQ40" i="146"/>
  <c r="AU40" i="146" s="1"/>
  <c r="AR40" i="146"/>
  <c r="AV40" i="146" s="1"/>
  <c r="AW40" i="146"/>
  <c r="BJ40" i="146"/>
  <c r="BS40" i="146" s="1"/>
  <c r="BP40" i="146"/>
  <c r="BQ40" i="146"/>
  <c r="BR40" i="146"/>
  <c r="BT40" i="146"/>
  <c r="B41" i="146"/>
  <c r="BC41" i="146" s="1"/>
  <c r="Q41" i="146"/>
  <c r="U41" i="146" s="1"/>
  <c r="S41" i="146"/>
  <c r="V41" i="146"/>
  <c r="AA41" i="146"/>
  <c r="AB41" i="146" s="1"/>
  <c r="AP41" i="146"/>
  <c r="AT41" i="146" s="1"/>
  <c r="AQ41" i="146"/>
  <c r="AU41" i="146" s="1"/>
  <c r="AR41" i="146"/>
  <c r="AV41" i="146" s="1"/>
  <c r="AW41" i="146"/>
  <c r="BJ41" i="146"/>
  <c r="BS41" i="146" s="1"/>
  <c r="BP41" i="146"/>
  <c r="BQ41" i="146"/>
  <c r="BR41" i="146"/>
  <c r="BT41" i="146"/>
  <c r="BW41" i="146"/>
  <c r="B42" i="146"/>
  <c r="BC42" i="146" s="1"/>
  <c r="Q42" i="146"/>
  <c r="U42" i="146" s="1"/>
  <c r="S42" i="146"/>
  <c r="V42" i="146"/>
  <c r="AA42" i="146"/>
  <c r="AB42" i="146" s="1"/>
  <c r="AP42" i="146"/>
  <c r="AT42" i="146" s="1"/>
  <c r="AQ42" i="146"/>
  <c r="AU42" i="146" s="1"/>
  <c r="AR42" i="146"/>
  <c r="AV42" i="146" s="1"/>
  <c r="AW42" i="146"/>
  <c r="BJ42" i="146"/>
  <c r="BS42" i="146" s="1"/>
  <c r="BP42" i="146"/>
  <c r="BQ42" i="146"/>
  <c r="BR42" i="146"/>
  <c r="BT42" i="146"/>
  <c r="BW42" i="146"/>
  <c r="B43" i="146"/>
  <c r="BC43" i="146" s="1"/>
  <c r="Q43" i="146"/>
  <c r="U43" i="146" s="1"/>
  <c r="S43" i="146"/>
  <c r="V43" i="146"/>
  <c r="AA43" i="146"/>
  <c r="AB43" i="146" s="1"/>
  <c r="AP43" i="146"/>
  <c r="AT43" i="146" s="1"/>
  <c r="AQ43" i="146"/>
  <c r="AU43" i="146" s="1"/>
  <c r="AR43" i="146"/>
  <c r="AV43" i="146" s="1"/>
  <c r="AW43" i="146"/>
  <c r="BJ43" i="146"/>
  <c r="BS43" i="146" s="1"/>
  <c r="BP43" i="146"/>
  <c r="BQ43" i="146"/>
  <c r="BR43" i="146"/>
  <c r="BT43" i="146"/>
  <c r="BW43" i="146"/>
  <c r="B44" i="146"/>
  <c r="BC44" i="146" s="1"/>
  <c r="S44" i="146"/>
  <c r="U44" i="146"/>
  <c r="V44" i="146"/>
  <c r="AA44" i="146"/>
  <c r="AB44" i="146" s="1"/>
  <c r="AP44" i="146"/>
  <c r="AQ44" i="146"/>
  <c r="AR44" i="146"/>
  <c r="AV44" i="146" s="1"/>
  <c r="AT44" i="146"/>
  <c r="AU44" i="146"/>
  <c r="AW44" i="146"/>
  <c r="BJ44" i="146"/>
  <c r="BS44" i="146" s="1"/>
  <c r="BP44" i="146"/>
  <c r="BQ44" i="146"/>
  <c r="BR44" i="146"/>
  <c r="BT44" i="146"/>
  <c r="B45" i="146"/>
  <c r="AZ45" i="146" s="1"/>
  <c r="S45" i="146"/>
  <c r="U45" i="146"/>
  <c r="V45" i="146"/>
  <c r="AA45" i="146"/>
  <c r="AB45" i="146" s="1"/>
  <c r="AP45" i="146"/>
  <c r="AQ45" i="146"/>
  <c r="AR45" i="146"/>
  <c r="AV45" i="146" s="1"/>
  <c r="AT45" i="146"/>
  <c r="AU45" i="146"/>
  <c r="AW45" i="146"/>
  <c r="BJ45" i="146"/>
  <c r="BS45" i="146" s="1"/>
  <c r="BP45" i="146"/>
  <c r="BQ45" i="146"/>
  <c r="BR45" i="146"/>
  <c r="BT45" i="146"/>
  <c r="B46" i="146"/>
  <c r="AZ46" i="146" s="1"/>
  <c r="S46" i="146"/>
  <c r="U46" i="146"/>
  <c r="V46" i="146"/>
  <c r="AA46" i="146"/>
  <c r="AB46" i="146" s="1"/>
  <c r="AP46" i="146"/>
  <c r="AQ46" i="146"/>
  <c r="AR46" i="146"/>
  <c r="AV46" i="146" s="1"/>
  <c r="AT46" i="146"/>
  <c r="AU46" i="146"/>
  <c r="AW46" i="146"/>
  <c r="BJ46" i="146"/>
  <c r="BS46" i="146" s="1"/>
  <c r="BP46" i="146"/>
  <c r="BQ46" i="146"/>
  <c r="BR46" i="146"/>
  <c r="BT46" i="146"/>
  <c r="B47" i="146"/>
  <c r="BC47" i="146" s="1"/>
  <c r="S47" i="146"/>
  <c r="U47" i="146"/>
  <c r="V47" i="146"/>
  <c r="AA47" i="146"/>
  <c r="AB47" i="146" s="1"/>
  <c r="AP47" i="146"/>
  <c r="AQ47" i="146"/>
  <c r="AR47" i="146"/>
  <c r="AV47" i="146" s="1"/>
  <c r="AT47" i="146"/>
  <c r="AU47" i="146"/>
  <c r="AW47" i="146"/>
  <c r="BJ47" i="146"/>
  <c r="BS47" i="146" s="1"/>
  <c r="BP47" i="146"/>
  <c r="BQ47" i="146"/>
  <c r="BR47" i="146"/>
  <c r="BT47" i="146"/>
  <c r="B48" i="146"/>
  <c r="AZ48" i="146" s="1"/>
  <c r="S48" i="146"/>
  <c r="U48" i="146"/>
  <c r="V48" i="146"/>
  <c r="AA48" i="146"/>
  <c r="AB48" i="146" s="1"/>
  <c r="AP48" i="146"/>
  <c r="AT48" i="146" s="1"/>
  <c r="AQ48" i="146"/>
  <c r="AR48" i="146"/>
  <c r="AV48" i="146" s="1"/>
  <c r="AU48" i="146"/>
  <c r="AW48" i="146"/>
  <c r="BJ48" i="146"/>
  <c r="BS48" i="146" s="1"/>
  <c r="BP48" i="146"/>
  <c r="BQ48" i="146"/>
  <c r="BR48" i="146"/>
  <c r="BT48" i="146"/>
  <c r="B53" i="146"/>
  <c r="BC53" i="146" s="1"/>
  <c r="Q53" i="146"/>
  <c r="AP53" i="146"/>
  <c r="AT53" i="146" s="1"/>
  <c r="AQ53" i="146"/>
  <c r="AU53" i="146" s="1"/>
  <c r="AR53" i="146"/>
  <c r="AV53" i="146" s="1"/>
  <c r="AW53" i="146"/>
  <c r="BJ53" i="146"/>
  <c r="BS53" i="146" s="1"/>
  <c r="BP53" i="146"/>
  <c r="BQ53" i="146"/>
  <c r="BR53" i="146"/>
  <c r="BT53" i="146"/>
  <c r="B55" i="146"/>
  <c r="BC55" i="146" s="1"/>
  <c r="AP55" i="146"/>
  <c r="AT55" i="146" s="1"/>
  <c r="AQ55" i="146"/>
  <c r="AU55" i="146" s="1"/>
  <c r="AR55" i="146"/>
  <c r="AV55" i="146" s="1"/>
  <c r="AW55" i="146"/>
  <c r="BJ55" i="146"/>
  <c r="BS55" i="146" s="1"/>
  <c r="BP55" i="146"/>
  <c r="BQ55" i="146"/>
  <c r="BR55" i="146"/>
  <c r="BT55" i="146"/>
  <c r="B56" i="146"/>
  <c r="AZ56" i="146" s="1"/>
  <c r="AP56" i="146"/>
  <c r="AT56" i="146" s="1"/>
  <c r="AQ56" i="146"/>
  <c r="AR56" i="146"/>
  <c r="AV56" i="146" s="1"/>
  <c r="AU56" i="146"/>
  <c r="AW56" i="146"/>
  <c r="BJ56" i="146"/>
  <c r="BS56" i="146" s="1"/>
  <c r="BP56" i="146"/>
  <c r="BQ56" i="146"/>
  <c r="BR56" i="146"/>
  <c r="BT56" i="146"/>
  <c r="Q59" i="146"/>
  <c r="AP59" i="146"/>
  <c r="AT59" i="146" s="1"/>
  <c r="AQ59" i="146"/>
  <c r="AU59" i="146" s="1"/>
  <c r="AR59" i="146"/>
  <c r="AV59" i="146" s="1"/>
  <c r="AW59" i="146"/>
  <c r="BJ59" i="146"/>
  <c r="BS59" i="146" s="1"/>
  <c r="BP59" i="146"/>
  <c r="BQ59" i="146"/>
  <c r="BR59" i="146"/>
  <c r="BT59" i="146"/>
  <c r="BW59" i="146"/>
  <c r="B60" i="146"/>
  <c r="BC60" i="146" s="1"/>
  <c r="AP60" i="146"/>
  <c r="AT60" i="146" s="1"/>
  <c r="AQ60" i="146"/>
  <c r="AR60" i="146"/>
  <c r="AV60" i="146" s="1"/>
  <c r="AU60" i="146"/>
  <c r="AW60" i="146"/>
  <c r="BJ60" i="146"/>
  <c r="BP60" i="146"/>
  <c r="BQ60" i="146"/>
  <c r="BR60" i="146"/>
  <c r="BT60" i="146"/>
  <c r="B61" i="146"/>
  <c r="BC61" i="146" s="1"/>
  <c r="Q61" i="146"/>
  <c r="U61" i="146" s="1"/>
  <c r="S61" i="146"/>
  <c r="V61" i="146"/>
  <c r="AA61" i="146"/>
  <c r="AB61" i="146" s="1"/>
  <c r="AP61" i="146"/>
  <c r="AT61" i="146" s="1"/>
  <c r="AQ61" i="146"/>
  <c r="AU61" i="146" s="1"/>
  <c r="AR61" i="146"/>
  <c r="AV61" i="146" s="1"/>
  <c r="AW61" i="146"/>
  <c r="BJ61" i="146"/>
  <c r="BS61" i="146" s="1"/>
  <c r="BP61" i="146"/>
  <c r="BQ61" i="146"/>
  <c r="BR61" i="146"/>
  <c r="BT61" i="146"/>
  <c r="BW61" i="146"/>
  <c r="B62" i="146"/>
  <c r="BC62" i="146" s="1"/>
  <c r="U62" i="146"/>
  <c r="S62" i="146"/>
  <c r="AA62" i="146"/>
  <c r="AB62" i="146" s="1"/>
  <c r="AP62" i="146"/>
  <c r="AT62" i="146" s="1"/>
  <c r="AQ62" i="146"/>
  <c r="AU62" i="146" s="1"/>
  <c r="AR62" i="146"/>
  <c r="AV62" i="146" s="1"/>
  <c r="AW62" i="146"/>
  <c r="BJ62" i="146"/>
  <c r="BS62" i="146" s="1"/>
  <c r="BP62" i="146"/>
  <c r="BQ62" i="146"/>
  <c r="BR62" i="146"/>
  <c r="BT62" i="146"/>
  <c r="B63" i="146"/>
  <c r="BC63" i="146" s="1"/>
  <c r="U63" i="146"/>
  <c r="S63" i="146"/>
  <c r="AA63" i="146"/>
  <c r="AB63" i="146" s="1"/>
  <c r="AP63" i="146"/>
  <c r="AT63" i="146" s="1"/>
  <c r="AQ63" i="146"/>
  <c r="AU63" i="146" s="1"/>
  <c r="AR63" i="146"/>
  <c r="AV63" i="146" s="1"/>
  <c r="AW63" i="146"/>
  <c r="BJ63" i="146"/>
  <c r="BS63" i="146" s="1"/>
  <c r="BP63" i="146"/>
  <c r="BQ63" i="146"/>
  <c r="BR63" i="146"/>
  <c r="BT63" i="146"/>
  <c r="B64" i="146"/>
  <c r="BC64" i="146" s="1"/>
  <c r="Q64" i="146"/>
  <c r="U64" i="146" s="1"/>
  <c r="S64" i="146"/>
  <c r="V64" i="146"/>
  <c r="AA64" i="146"/>
  <c r="AB64" i="146" s="1"/>
  <c r="AP64" i="146"/>
  <c r="AT64" i="146" s="1"/>
  <c r="AQ64" i="146"/>
  <c r="AU64" i="146" s="1"/>
  <c r="AR64" i="146"/>
  <c r="AV64" i="146" s="1"/>
  <c r="AW64" i="146"/>
  <c r="BJ64" i="146"/>
  <c r="BS64" i="146" s="1"/>
  <c r="BP64" i="146"/>
  <c r="BQ64" i="146"/>
  <c r="BR64" i="146"/>
  <c r="BT64" i="146"/>
  <c r="BW64" i="146"/>
  <c r="B65" i="146"/>
  <c r="BC65" i="146" s="1"/>
  <c r="AP65" i="146"/>
  <c r="AT65" i="146" s="1"/>
  <c r="AQ65" i="146"/>
  <c r="AU65" i="146" s="1"/>
  <c r="AR65" i="146"/>
  <c r="AV65" i="146" s="1"/>
  <c r="AW65" i="146"/>
  <c r="BJ65" i="146"/>
  <c r="BS65" i="146" s="1"/>
  <c r="BP65" i="146"/>
  <c r="BQ65" i="146"/>
  <c r="BR65" i="146"/>
  <c r="BT65" i="146"/>
  <c r="B66" i="146"/>
  <c r="BC66" i="146" s="1"/>
  <c r="U66" i="146"/>
  <c r="S66" i="146"/>
  <c r="AA66" i="146"/>
  <c r="AB66" i="146" s="1"/>
  <c r="AP66" i="146"/>
  <c r="AT66" i="146" s="1"/>
  <c r="AQ66" i="146"/>
  <c r="AU66" i="146" s="1"/>
  <c r="AR66" i="146"/>
  <c r="AV66" i="146" s="1"/>
  <c r="AW66" i="146"/>
  <c r="BJ66" i="146"/>
  <c r="BS66" i="146" s="1"/>
  <c r="BP66" i="146"/>
  <c r="BQ66" i="146"/>
  <c r="BR66" i="146"/>
  <c r="BT66" i="146"/>
  <c r="B67" i="146"/>
  <c r="BC67" i="146" s="1"/>
  <c r="AP67" i="146"/>
  <c r="AT67" i="146" s="1"/>
  <c r="AQ67" i="146"/>
  <c r="AU67" i="146" s="1"/>
  <c r="AR67" i="146"/>
  <c r="AV67" i="146" s="1"/>
  <c r="AW67" i="146"/>
  <c r="BJ67" i="146"/>
  <c r="BS67" i="146" s="1"/>
  <c r="BP67" i="146"/>
  <c r="BQ67" i="146"/>
  <c r="BR67" i="146"/>
  <c r="BT67" i="146"/>
  <c r="B68" i="146"/>
  <c r="AZ68" i="146" s="1"/>
  <c r="S68" i="146"/>
  <c r="U68" i="146"/>
  <c r="V68" i="146"/>
  <c r="AA68" i="146"/>
  <c r="AB68" i="146" s="1"/>
  <c r="AP68" i="146"/>
  <c r="AT68" i="146" s="1"/>
  <c r="AQ68" i="146"/>
  <c r="AU68" i="146" s="1"/>
  <c r="AR68" i="146"/>
  <c r="AV68" i="146" s="1"/>
  <c r="AW68" i="146"/>
  <c r="BJ68" i="146"/>
  <c r="BS68" i="146" s="1"/>
  <c r="BP68" i="146"/>
  <c r="BQ68" i="146"/>
  <c r="BR68" i="146"/>
  <c r="BT68" i="146"/>
  <c r="B80" i="146"/>
  <c r="BC80" i="146" s="1"/>
  <c r="U80" i="146"/>
  <c r="S80" i="146"/>
  <c r="AA80" i="146"/>
  <c r="AB80" i="146" s="1"/>
  <c r="AP80" i="146"/>
  <c r="AT80" i="146" s="1"/>
  <c r="AQ80" i="146"/>
  <c r="AU80" i="146" s="1"/>
  <c r="AR80" i="146"/>
  <c r="AV80" i="146" s="1"/>
  <c r="AW80" i="146"/>
  <c r="BJ80" i="146"/>
  <c r="BS80" i="146" s="1"/>
  <c r="BP80" i="146"/>
  <c r="BQ80" i="146"/>
  <c r="BR80" i="146"/>
  <c r="BT80" i="146"/>
  <c r="B81" i="146"/>
  <c r="BC81" i="146" s="1"/>
  <c r="U81" i="146"/>
  <c r="S81" i="146"/>
  <c r="AA81" i="146"/>
  <c r="AB81" i="146" s="1"/>
  <c r="AP81" i="146"/>
  <c r="AT81" i="146" s="1"/>
  <c r="AQ81" i="146"/>
  <c r="AR81" i="146"/>
  <c r="AV81" i="146" s="1"/>
  <c r="AU81" i="146"/>
  <c r="AW81" i="146"/>
  <c r="BJ81" i="146"/>
  <c r="BS81" i="146" s="1"/>
  <c r="BP81" i="146"/>
  <c r="BQ81" i="146"/>
  <c r="BR81" i="146"/>
  <c r="BT81" i="146"/>
  <c r="B82" i="146"/>
  <c r="BC82" i="146" s="1"/>
  <c r="U82" i="146"/>
  <c r="S82" i="146"/>
  <c r="AA82" i="146"/>
  <c r="AB82" i="146" s="1"/>
  <c r="AP82" i="146"/>
  <c r="AT82" i="146" s="1"/>
  <c r="AQ82" i="146"/>
  <c r="AR82" i="146"/>
  <c r="AW82" i="146"/>
  <c r="BJ82" i="146"/>
  <c r="BP82" i="146"/>
  <c r="BQ82" i="146"/>
  <c r="BR82" i="146"/>
  <c r="BT82" i="146"/>
  <c r="B83" i="146"/>
  <c r="BC83" i="146" s="1"/>
  <c r="AP83" i="146"/>
  <c r="AT83" i="146" s="1"/>
  <c r="AQ83" i="146"/>
  <c r="AR83" i="146"/>
  <c r="AV83" i="146" s="1"/>
  <c r="AU83" i="146"/>
  <c r="AW83" i="146"/>
  <c r="BJ83" i="146"/>
  <c r="BP83" i="146"/>
  <c r="BQ83" i="146"/>
  <c r="BR83" i="146"/>
  <c r="BT83" i="146"/>
  <c r="B85" i="146"/>
  <c r="BC85" i="146" s="1"/>
  <c r="S85" i="146"/>
  <c r="U85" i="146"/>
  <c r="AA85" i="146"/>
  <c r="AB85" i="146" s="1"/>
  <c r="AP85" i="146"/>
  <c r="AT85" i="146" s="1"/>
  <c r="AQ85" i="146"/>
  <c r="AU85" i="146" s="1"/>
  <c r="AR85" i="146"/>
  <c r="AV85" i="146" s="1"/>
  <c r="AW85" i="146"/>
  <c r="BJ85" i="146"/>
  <c r="BS85" i="146" s="1"/>
  <c r="BP85" i="146"/>
  <c r="BQ85" i="146"/>
  <c r="BR85" i="146"/>
  <c r="BT85" i="146"/>
  <c r="B86" i="146"/>
  <c r="BC86" i="146" s="1"/>
  <c r="U86" i="146"/>
  <c r="S86" i="146"/>
  <c r="AA86" i="146"/>
  <c r="AB86" i="146" s="1"/>
  <c r="AP86" i="146"/>
  <c r="AT86" i="146" s="1"/>
  <c r="AQ86" i="146"/>
  <c r="AR86" i="146"/>
  <c r="AV86" i="146" s="1"/>
  <c r="AU86" i="146"/>
  <c r="AW86" i="146"/>
  <c r="BJ86" i="146"/>
  <c r="BS86" i="146" s="1"/>
  <c r="BP86" i="146"/>
  <c r="BQ86" i="146"/>
  <c r="BR86" i="146"/>
  <c r="BT86" i="146"/>
  <c r="B87" i="146"/>
  <c r="BC87" i="146" s="1"/>
  <c r="U87" i="146"/>
  <c r="S87" i="146"/>
  <c r="AA87" i="146"/>
  <c r="AB87" i="146" s="1"/>
  <c r="AP87" i="146"/>
  <c r="AT87" i="146" s="1"/>
  <c r="AQ87" i="146"/>
  <c r="AU87" i="146" s="1"/>
  <c r="AR87" i="146"/>
  <c r="AV87" i="146" s="1"/>
  <c r="AW87" i="146"/>
  <c r="BJ87" i="146"/>
  <c r="BS87" i="146" s="1"/>
  <c r="BP87" i="146"/>
  <c r="BQ87" i="146"/>
  <c r="BR87" i="146"/>
  <c r="BT87" i="146"/>
  <c r="B88" i="146"/>
  <c r="BC88" i="146" s="1"/>
  <c r="U88" i="146"/>
  <c r="S88" i="146"/>
  <c r="AA88" i="146"/>
  <c r="AB88" i="146" s="1"/>
  <c r="AP88" i="146"/>
  <c r="AT88" i="146" s="1"/>
  <c r="AQ88" i="146"/>
  <c r="AU88" i="146" s="1"/>
  <c r="AR88" i="146"/>
  <c r="AV88" i="146" s="1"/>
  <c r="AW88" i="146"/>
  <c r="BJ88" i="146"/>
  <c r="BS88" i="146" s="1"/>
  <c r="BP88" i="146"/>
  <c r="BQ88" i="146"/>
  <c r="BR88" i="146"/>
  <c r="BT88" i="146"/>
  <c r="B89" i="146"/>
  <c r="BC89" i="146" s="1"/>
  <c r="U89" i="146"/>
  <c r="S89" i="146"/>
  <c r="AA89" i="146"/>
  <c r="AB89" i="146" s="1"/>
  <c r="AP89" i="146"/>
  <c r="AT89" i="146" s="1"/>
  <c r="AQ89" i="146"/>
  <c r="AU89" i="146" s="1"/>
  <c r="AR89" i="146"/>
  <c r="AV89" i="146" s="1"/>
  <c r="AW89" i="146"/>
  <c r="BJ89" i="146"/>
  <c r="BS89" i="146" s="1"/>
  <c r="BP89" i="146"/>
  <c r="BQ89" i="146"/>
  <c r="BR89" i="146"/>
  <c r="BT89" i="146"/>
  <c r="B90" i="146"/>
  <c r="BC90" i="146" s="1"/>
  <c r="U90" i="146"/>
  <c r="S90" i="146"/>
  <c r="AA90" i="146"/>
  <c r="AB90" i="146" s="1"/>
  <c r="AP90" i="146"/>
  <c r="AT90" i="146" s="1"/>
  <c r="AQ90" i="146"/>
  <c r="AR90" i="146"/>
  <c r="AV90" i="146" s="1"/>
  <c r="AU90" i="146"/>
  <c r="AW90" i="146"/>
  <c r="BJ90" i="146"/>
  <c r="BP90" i="146"/>
  <c r="BQ90" i="146"/>
  <c r="BR90" i="146"/>
  <c r="BT90" i="146"/>
  <c r="B92" i="146"/>
  <c r="BC92" i="146" s="1"/>
  <c r="AP92" i="146"/>
  <c r="AT92" i="146" s="1"/>
  <c r="AQ92" i="146"/>
  <c r="AR92" i="146"/>
  <c r="AV92" i="146" s="1"/>
  <c r="AU92" i="146"/>
  <c r="AW92" i="146"/>
  <c r="BJ92" i="146"/>
  <c r="BS92" i="146" s="1"/>
  <c r="BP92" i="146"/>
  <c r="BQ92" i="146"/>
  <c r="BR92" i="146"/>
  <c r="BT92" i="146"/>
  <c r="B93" i="146"/>
  <c r="BC93" i="146" s="1"/>
  <c r="AP93" i="146"/>
  <c r="AT93" i="146" s="1"/>
  <c r="AQ93" i="146"/>
  <c r="AU93" i="146" s="1"/>
  <c r="AR93" i="146"/>
  <c r="AV93" i="146" s="1"/>
  <c r="AW93" i="146"/>
  <c r="BJ93" i="146"/>
  <c r="BS93" i="146" s="1"/>
  <c r="BP93" i="146"/>
  <c r="BQ93" i="146"/>
  <c r="BR93" i="146"/>
  <c r="BT93" i="146"/>
  <c r="B94" i="146"/>
  <c r="BC94" i="146" s="1"/>
  <c r="AP94" i="146"/>
  <c r="AT94" i="146" s="1"/>
  <c r="AQ94" i="146"/>
  <c r="AU94" i="146" s="1"/>
  <c r="AR94" i="146"/>
  <c r="AV94" i="146" s="1"/>
  <c r="AW94" i="146"/>
  <c r="BJ94" i="146"/>
  <c r="BS94" i="146" s="1"/>
  <c r="BP94" i="146"/>
  <c r="BQ94" i="146"/>
  <c r="BR94" i="146"/>
  <c r="BT94" i="146"/>
  <c r="B97" i="146"/>
  <c r="AP97" i="146"/>
  <c r="AT97" i="146" s="1"/>
  <c r="AQ97" i="146"/>
  <c r="AR97" i="146"/>
  <c r="AV97" i="146" s="1"/>
  <c r="AU97" i="146"/>
  <c r="AW97" i="146"/>
  <c r="BP97" i="146"/>
  <c r="BQ97" i="146"/>
  <c r="BR97" i="146"/>
  <c r="BS97" i="146"/>
  <c r="BT97" i="146"/>
  <c r="B103" i="146"/>
  <c r="S103" i="146"/>
  <c r="U103" i="146"/>
  <c r="V103" i="146"/>
  <c r="AA103" i="146"/>
  <c r="AB103" i="146" s="1"/>
  <c r="AP103" i="146"/>
  <c r="AQ103" i="146"/>
  <c r="AR103" i="146"/>
  <c r="AV103" i="146" s="1"/>
  <c r="AT103" i="146"/>
  <c r="AU103" i="146"/>
  <c r="AW103" i="146"/>
  <c r="BJ103" i="146"/>
  <c r="BS103" i="146" s="1"/>
  <c r="BP103" i="146"/>
  <c r="BQ103" i="146"/>
  <c r="BR103" i="146"/>
  <c r="BT103" i="146"/>
  <c r="B104" i="146"/>
  <c r="S104" i="146"/>
  <c r="U104" i="146"/>
  <c r="V104" i="146"/>
  <c r="AA104" i="146"/>
  <c r="AB104" i="146" s="1"/>
  <c r="AP104" i="146"/>
  <c r="AQ104" i="146"/>
  <c r="AR104" i="146"/>
  <c r="AV104" i="146" s="1"/>
  <c r="AT104" i="146"/>
  <c r="AU104" i="146"/>
  <c r="AW104" i="146"/>
  <c r="BJ104" i="146"/>
  <c r="BS104" i="146" s="1"/>
  <c r="BP104" i="146"/>
  <c r="BQ104" i="146"/>
  <c r="BR104" i="146"/>
  <c r="BT104" i="146"/>
  <c r="B105" i="146"/>
  <c r="BC105" i="146" s="1"/>
  <c r="S105" i="146"/>
  <c r="U105" i="146"/>
  <c r="V105" i="146"/>
  <c r="AA105" i="146"/>
  <c r="AB105" i="146" s="1"/>
  <c r="AP105" i="146"/>
  <c r="AT105" i="146" s="1"/>
  <c r="AQ105" i="146"/>
  <c r="AU105" i="146" s="1"/>
  <c r="AR105" i="146"/>
  <c r="AV105" i="146" s="1"/>
  <c r="AW105" i="146"/>
  <c r="BJ105" i="146"/>
  <c r="BS105" i="146" s="1"/>
  <c r="BP105" i="146"/>
  <c r="BQ105" i="146"/>
  <c r="BR105" i="146"/>
  <c r="BT105" i="146"/>
  <c r="B106" i="146"/>
  <c r="AZ106" i="146" s="1"/>
  <c r="S106" i="146"/>
  <c r="U106" i="146"/>
  <c r="V106" i="146"/>
  <c r="AA106" i="146"/>
  <c r="AB106" i="146" s="1"/>
  <c r="AP106" i="146"/>
  <c r="AT106" i="146" s="1"/>
  <c r="AQ106" i="146"/>
  <c r="AR106" i="146"/>
  <c r="AV106" i="146" s="1"/>
  <c r="AU106" i="146"/>
  <c r="AW106" i="146"/>
  <c r="BJ106" i="146"/>
  <c r="BS106" i="146" s="1"/>
  <c r="BP106" i="146"/>
  <c r="BQ106" i="146"/>
  <c r="BR106" i="146"/>
  <c r="BT106" i="146"/>
  <c r="B107" i="146"/>
  <c r="BC107" i="146" s="1"/>
  <c r="S107" i="146"/>
  <c r="U107" i="146"/>
  <c r="V107" i="146"/>
  <c r="AA107" i="146"/>
  <c r="AB107" i="146" s="1"/>
  <c r="AP107" i="146"/>
  <c r="AT107" i="146" s="1"/>
  <c r="AQ107" i="146"/>
  <c r="AR107" i="146"/>
  <c r="AV107" i="146" s="1"/>
  <c r="AU107" i="146"/>
  <c r="AW107" i="146"/>
  <c r="BJ107" i="146"/>
  <c r="BS107" i="146" s="1"/>
  <c r="BP107" i="146"/>
  <c r="BQ107" i="146"/>
  <c r="BR107" i="146"/>
  <c r="BT107" i="146"/>
  <c r="B108" i="146"/>
  <c r="U108" i="146"/>
  <c r="S108" i="146"/>
  <c r="AA108" i="146"/>
  <c r="AB108" i="146" s="1"/>
  <c r="AP108" i="146"/>
  <c r="AT108" i="146" s="1"/>
  <c r="AQ108" i="146"/>
  <c r="AU108" i="146" s="1"/>
  <c r="AR108" i="146"/>
  <c r="AV108" i="146" s="1"/>
  <c r="AW108" i="146"/>
  <c r="BJ108" i="146"/>
  <c r="BS108" i="146" s="1"/>
  <c r="BP108" i="146"/>
  <c r="BQ108" i="146"/>
  <c r="BR108" i="146"/>
  <c r="BT108" i="146"/>
  <c r="B110" i="146"/>
  <c r="U110" i="146"/>
  <c r="S110" i="146"/>
  <c r="AA110" i="146"/>
  <c r="AB110" i="146" s="1"/>
  <c r="AP110" i="146"/>
  <c r="AT110" i="146" s="1"/>
  <c r="AQ110" i="146"/>
  <c r="AU110" i="146" s="1"/>
  <c r="AR110" i="146"/>
  <c r="AV110" i="146" s="1"/>
  <c r="AW110" i="146"/>
  <c r="BJ110" i="146"/>
  <c r="BS110" i="146" s="1"/>
  <c r="BP110" i="146"/>
  <c r="BQ110" i="146"/>
  <c r="BR110" i="146"/>
  <c r="BT110" i="146"/>
  <c r="B111" i="146"/>
  <c r="BC111" i="146" s="1"/>
  <c r="U111" i="146"/>
  <c r="S111" i="146"/>
  <c r="AA111" i="146"/>
  <c r="AB111" i="146" s="1"/>
  <c r="AP111" i="146"/>
  <c r="AT111" i="146" s="1"/>
  <c r="AQ111" i="146"/>
  <c r="AU111" i="146" s="1"/>
  <c r="AR111" i="146"/>
  <c r="AV111" i="146" s="1"/>
  <c r="AW111" i="146"/>
  <c r="BJ111" i="146"/>
  <c r="BS111" i="146" s="1"/>
  <c r="BP111" i="146"/>
  <c r="BQ111" i="146"/>
  <c r="BR111" i="146"/>
  <c r="BT111" i="146"/>
  <c r="B112" i="146"/>
  <c r="BC112" i="146" s="1"/>
  <c r="U112" i="146"/>
  <c r="S112" i="146"/>
  <c r="AP112" i="146"/>
  <c r="AT112" i="146" s="1"/>
  <c r="AQ112" i="146"/>
  <c r="AR112" i="146"/>
  <c r="AV112" i="146" s="1"/>
  <c r="AU112" i="146"/>
  <c r="AW112" i="146"/>
  <c r="BJ112" i="146"/>
  <c r="BP112" i="146"/>
  <c r="BQ112" i="146"/>
  <c r="BR112" i="146"/>
  <c r="BT112" i="146"/>
  <c r="B116" i="146"/>
  <c r="S116" i="146"/>
  <c r="U116" i="146"/>
  <c r="V116" i="146"/>
  <c r="AA116" i="146"/>
  <c r="AB116" i="146" s="1"/>
  <c r="AP116" i="146"/>
  <c r="AT116" i="146" s="1"/>
  <c r="AQ116" i="146"/>
  <c r="AU116" i="146" s="1"/>
  <c r="AR116" i="146"/>
  <c r="AV116" i="146" s="1"/>
  <c r="AW116" i="146"/>
  <c r="BJ116" i="146"/>
  <c r="BS116" i="146" s="1"/>
  <c r="BP116" i="146"/>
  <c r="BQ116" i="146"/>
  <c r="BR116" i="146"/>
  <c r="BT116" i="146"/>
  <c r="B118" i="146"/>
  <c r="BC118" i="146" s="1"/>
  <c r="U118" i="146"/>
  <c r="S118" i="146"/>
  <c r="AA118" i="146"/>
  <c r="AB118" i="146" s="1"/>
  <c r="AP118" i="146"/>
  <c r="AT118" i="146" s="1"/>
  <c r="AQ118" i="146"/>
  <c r="AU118" i="146" s="1"/>
  <c r="AR118" i="146"/>
  <c r="AV118" i="146" s="1"/>
  <c r="AW118" i="146"/>
  <c r="BJ118" i="146"/>
  <c r="BS118" i="146" s="1"/>
  <c r="BP118" i="146"/>
  <c r="BQ118" i="146"/>
  <c r="BR118" i="146"/>
  <c r="BT118" i="146"/>
  <c r="B120" i="146"/>
  <c r="U120" i="146"/>
  <c r="S120" i="146"/>
  <c r="AA120" i="146"/>
  <c r="AB120" i="146" s="1"/>
  <c r="AP120" i="146"/>
  <c r="AT120" i="146" s="1"/>
  <c r="AQ120" i="146"/>
  <c r="AU120" i="146" s="1"/>
  <c r="AR120" i="146"/>
  <c r="AV120" i="146" s="1"/>
  <c r="AW120" i="146"/>
  <c r="BJ120" i="146"/>
  <c r="BS120" i="146" s="1"/>
  <c r="BP120" i="146"/>
  <c r="BQ120" i="146"/>
  <c r="BR120" i="146"/>
  <c r="BT120" i="146"/>
  <c r="B121" i="146"/>
  <c r="U121" i="146"/>
  <c r="S121" i="146"/>
  <c r="AA121" i="146"/>
  <c r="AB121" i="146" s="1"/>
  <c r="AP121" i="146"/>
  <c r="AT121" i="146" s="1"/>
  <c r="AQ121" i="146"/>
  <c r="AU121" i="146" s="1"/>
  <c r="AR121" i="146"/>
  <c r="AV121" i="146" s="1"/>
  <c r="AW121" i="146"/>
  <c r="BJ121" i="146"/>
  <c r="BS121" i="146" s="1"/>
  <c r="BP121" i="146"/>
  <c r="BQ121" i="146"/>
  <c r="BR121" i="146"/>
  <c r="BT121" i="146"/>
  <c r="B122" i="146"/>
  <c r="BC122" i="146" s="1"/>
  <c r="U122" i="146"/>
  <c r="S122" i="146"/>
  <c r="AA122" i="146"/>
  <c r="AB122" i="146" s="1"/>
  <c r="AP122" i="146"/>
  <c r="AT122" i="146" s="1"/>
  <c r="AQ122" i="146"/>
  <c r="AU122" i="146" s="1"/>
  <c r="AR122" i="146"/>
  <c r="AV122" i="146" s="1"/>
  <c r="AW122" i="146"/>
  <c r="BJ122" i="146"/>
  <c r="BS122" i="146" s="1"/>
  <c r="BP122" i="146"/>
  <c r="BQ122" i="146"/>
  <c r="BR122" i="146"/>
  <c r="BT122" i="146"/>
  <c r="B123" i="146"/>
  <c r="U123" i="146"/>
  <c r="S123" i="146"/>
  <c r="AA123" i="146"/>
  <c r="AB123" i="146" s="1"/>
  <c r="AP123" i="146"/>
  <c r="AT123" i="146" s="1"/>
  <c r="AQ123" i="146"/>
  <c r="AU123" i="146" s="1"/>
  <c r="AR123" i="146"/>
  <c r="AV123" i="146" s="1"/>
  <c r="AW123" i="146"/>
  <c r="BJ123" i="146"/>
  <c r="BS123" i="146" s="1"/>
  <c r="BP123" i="146"/>
  <c r="BQ123" i="146"/>
  <c r="BR123" i="146"/>
  <c r="BT123" i="146"/>
  <c r="B124" i="146"/>
  <c r="BC124" i="146" s="1"/>
  <c r="U124" i="146"/>
  <c r="S124" i="146"/>
  <c r="AA124" i="146"/>
  <c r="AB124" i="146" s="1"/>
  <c r="AP124" i="146"/>
  <c r="AT124" i="146" s="1"/>
  <c r="AQ124" i="146"/>
  <c r="AU124" i="146" s="1"/>
  <c r="AR124" i="146"/>
  <c r="AV124" i="146" s="1"/>
  <c r="AW124" i="146"/>
  <c r="BJ124" i="146"/>
  <c r="BS124" i="146" s="1"/>
  <c r="BP124" i="146"/>
  <c r="BQ124" i="146"/>
  <c r="BR124" i="146"/>
  <c r="BT124" i="146"/>
  <c r="B125" i="146"/>
  <c r="AZ125" i="146" s="1"/>
  <c r="S125" i="146"/>
  <c r="U125" i="146"/>
  <c r="V125" i="146"/>
  <c r="AA125" i="146"/>
  <c r="AB125" i="146" s="1"/>
  <c r="AP125" i="146"/>
  <c r="AT125" i="146" s="1"/>
  <c r="AQ125" i="146"/>
  <c r="AU125" i="146" s="1"/>
  <c r="AR125" i="146"/>
  <c r="AV125" i="146" s="1"/>
  <c r="AW125" i="146"/>
  <c r="BJ125" i="146"/>
  <c r="BS125" i="146" s="1"/>
  <c r="BP125" i="146"/>
  <c r="BQ125" i="146"/>
  <c r="BR125" i="146"/>
  <c r="BT125" i="146"/>
  <c r="B126" i="146"/>
  <c r="U126" i="146"/>
  <c r="S126" i="146"/>
  <c r="AA126" i="146"/>
  <c r="AB126" i="146" s="1"/>
  <c r="AP126" i="146"/>
  <c r="AT126" i="146" s="1"/>
  <c r="AQ126" i="146"/>
  <c r="AU126" i="146" s="1"/>
  <c r="AV126" i="146"/>
  <c r="AW126" i="146"/>
  <c r="BJ126" i="146"/>
  <c r="BS126" i="146" s="1"/>
  <c r="BP126" i="146"/>
  <c r="BQ126" i="146"/>
  <c r="BR126" i="146"/>
  <c r="BT126" i="146"/>
  <c r="B131" i="146"/>
  <c r="S131" i="146"/>
  <c r="U131" i="146"/>
  <c r="V131" i="146"/>
  <c r="AA131" i="146"/>
  <c r="AB131" i="146" s="1"/>
  <c r="AP131" i="146"/>
  <c r="AT131" i="146" s="1"/>
  <c r="AQ131" i="146"/>
  <c r="AU131" i="146" s="1"/>
  <c r="AR131" i="146"/>
  <c r="AV131" i="146" s="1"/>
  <c r="AW131" i="146"/>
  <c r="BJ131" i="146"/>
  <c r="BS131" i="146" s="1"/>
  <c r="BP131" i="146"/>
  <c r="BQ131" i="146"/>
  <c r="BR131" i="146"/>
  <c r="BT131" i="146"/>
  <c r="B132" i="146"/>
  <c r="AZ132" i="146" s="1"/>
  <c r="S132" i="146"/>
  <c r="U132" i="146"/>
  <c r="V132" i="146"/>
  <c r="AA132" i="146"/>
  <c r="AB132" i="146" s="1"/>
  <c r="AP132" i="146"/>
  <c r="AT132" i="146" s="1"/>
  <c r="AQ132" i="146"/>
  <c r="AU132" i="146" s="1"/>
  <c r="AR132" i="146"/>
  <c r="AV132" i="146" s="1"/>
  <c r="AW132" i="146"/>
  <c r="BJ132" i="146"/>
  <c r="BS132" i="146" s="1"/>
  <c r="BP132" i="146"/>
  <c r="BQ132" i="146"/>
  <c r="BR132" i="146"/>
  <c r="BT132" i="146"/>
  <c r="B133" i="146"/>
  <c r="AZ133" i="146" s="1"/>
  <c r="S133" i="146"/>
  <c r="U133" i="146"/>
  <c r="V133" i="146"/>
  <c r="AA133" i="146"/>
  <c r="AB133" i="146" s="1"/>
  <c r="AP133" i="146"/>
  <c r="AT133" i="146" s="1"/>
  <c r="AQ133" i="146"/>
  <c r="AU133" i="146" s="1"/>
  <c r="AR133" i="146"/>
  <c r="AV133" i="146" s="1"/>
  <c r="AW133" i="146"/>
  <c r="BJ133" i="146"/>
  <c r="BS133" i="146" s="1"/>
  <c r="BP133" i="146"/>
  <c r="BQ133" i="146"/>
  <c r="BR133" i="146"/>
  <c r="BT133" i="146"/>
  <c r="B134" i="146"/>
  <c r="AP134" i="146"/>
  <c r="AT134" i="146" s="1"/>
  <c r="AQ134" i="146"/>
  <c r="AU134" i="146" s="1"/>
  <c r="AR134" i="146"/>
  <c r="AV134" i="146" s="1"/>
  <c r="AW134" i="146"/>
  <c r="BP134" i="146"/>
  <c r="BQ134" i="146"/>
  <c r="BR134" i="146"/>
  <c r="BS134" i="146"/>
  <c r="BT134" i="146"/>
  <c r="B135" i="146"/>
  <c r="AP135" i="146"/>
  <c r="AT135" i="146" s="1"/>
  <c r="AQ135" i="146"/>
  <c r="AU135" i="146" s="1"/>
  <c r="AR135" i="146"/>
  <c r="AV135" i="146" s="1"/>
  <c r="AW135" i="146"/>
  <c r="BP135" i="146"/>
  <c r="BQ135" i="146"/>
  <c r="BR135" i="146"/>
  <c r="BS135" i="146"/>
  <c r="BT135" i="146"/>
  <c r="B136" i="146"/>
  <c r="BC136" i="146" s="1"/>
  <c r="AP136" i="146"/>
  <c r="AT136" i="146" s="1"/>
  <c r="AQ136" i="146"/>
  <c r="AU136" i="146" s="1"/>
  <c r="AR136" i="146"/>
  <c r="AV136" i="146" s="1"/>
  <c r="AW136" i="146"/>
  <c r="BP136" i="146"/>
  <c r="BQ136" i="146"/>
  <c r="BR136" i="146"/>
  <c r="BS136" i="146"/>
  <c r="BT136" i="146"/>
  <c r="B138" i="146"/>
  <c r="BC138" i="146" s="1"/>
  <c r="U138" i="146"/>
  <c r="S138" i="146"/>
  <c r="AA138" i="146"/>
  <c r="AB138" i="146" s="1"/>
  <c r="AP138" i="146"/>
  <c r="AT138" i="146" s="1"/>
  <c r="AQ138" i="146"/>
  <c r="AR138" i="146"/>
  <c r="AV138" i="146" s="1"/>
  <c r="AU138" i="146"/>
  <c r="AW138" i="146"/>
  <c r="BJ138" i="146"/>
  <c r="BS138" i="146" s="1"/>
  <c r="BP138" i="146"/>
  <c r="BQ138" i="146"/>
  <c r="BR138" i="146"/>
  <c r="BT138" i="146"/>
  <c r="B139" i="146"/>
  <c r="BC139" i="146" s="1"/>
  <c r="U139" i="146"/>
  <c r="S139" i="146"/>
  <c r="AA139" i="146"/>
  <c r="AB139" i="146" s="1"/>
  <c r="AP139" i="146"/>
  <c r="AT139" i="146" s="1"/>
  <c r="AQ139" i="146"/>
  <c r="AU139" i="146" s="1"/>
  <c r="AR139" i="146"/>
  <c r="AV139" i="146" s="1"/>
  <c r="AW139" i="146"/>
  <c r="BJ139" i="146"/>
  <c r="BS139" i="146" s="1"/>
  <c r="BP139" i="146"/>
  <c r="BQ139" i="146"/>
  <c r="BR139" i="146"/>
  <c r="BT139" i="146"/>
  <c r="B140" i="146"/>
  <c r="BC140" i="146" s="1"/>
  <c r="U140" i="146"/>
  <c r="S140" i="146"/>
  <c r="AA140" i="146"/>
  <c r="AB140" i="146" s="1"/>
  <c r="AP140" i="146"/>
  <c r="AT140" i="146" s="1"/>
  <c r="AQ140" i="146"/>
  <c r="AU140" i="146" s="1"/>
  <c r="AR140" i="146"/>
  <c r="AV140" i="146" s="1"/>
  <c r="AW140" i="146"/>
  <c r="BJ140" i="146"/>
  <c r="BS140" i="146" s="1"/>
  <c r="BP140" i="146"/>
  <c r="BQ140" i="146"/>
  <c r="BR140" i="146"/>
  <c r="BT140" i="146"/>
  <c r="B149" i="146"/>
  <c r="AZ149" i="146" s="1"/>
  <c r="S149" i="146"/>
  <c r="U149" i="146"/>
  <c r="V149" i="146"/>
  <c r="AA149" i="146"/>
  <c r="AB149" i="146" s="1"/>
  <c r="AP149" i="146"/>
  <c r="AT149" i="146" s="1"/>
  <c r="AQ149" i="146"/>
  <c r="AU149" i="146" s="1"/>
  <c r="AR149" i="146"/>
  <c r="AV149" i="146" s="1"/>
  <c r="AW149" i="146"/>
  <c r="BJ149" i="146"/>
  <c r="BS149" i="146" s="1"/>
  <c r="BP149" i="146"/>
  <c r="BQ149" i="146"/>
  <c r="BR149" i="146"/>
  <c r="BT149" i="146"/>
  <c r="B150" i="146"/>
  <c r="AZ150" i="146" s="1"/>
  <c r="S150" i="146"/>
  <c r="U150" i="146"/>
  <c r="V150" i="146"/>
  <c r="AA150" i="146"/>
  <c r="AB150" i="146" s="1"/>
  <c r="AP150" i="146"/>
  <c r="AT150" i="146" s="1"/>
  <c r="AQ150" i="146"/>
  <c r="AU150" i="146" s="1"/>
  <c r="AR150" i="146"/>
  <c r="AV150" i="146" s="1"/>
  <c r="AW150" i="146"/>
  <c r="BJ150" i="146"/>
  <c r="BS150" i="146" s="1"/>
  <c r="BP150" i="146"/>
  <c r="BQ150" i="146"/>
  <c r="BR150" i="146"/>
  <c r="BT150" i="146"/>
  <c r="B151" i="146"/>
  <c r="AZ151" i="146" s="1"/>
  <c r="S151" i="146"/>
  <c r="U151" i="146"/>
  <c r="V151" i="146"/>
  <c r="AA151" i="146"/>
  <c r="AB151" i="146" s="1"/>
  <c r="AP151" i="146"/>
  <c r="AT151" i="146" s="1"/>
  <c r="AQ151" i="146"/>
  <c r="AU151" i="146" s="1"/>
  <c r="AR151" i="146"/>
  <c r="AV151" i="146" s="1"/>
  <c r="AW151" i="146"/>
  <c r="BJ151" i="146"/>
  <c r="BS151" i="146" s="1"/>
  <c r="BP151" i="146"/>
  <c r="BQ151" i="146"/>
  <c r="BR151" i="146"/>
  <c r="BT151" i="146"/>
  <c r="B152" i="146"/>
  <c r="AZ152" i="146" s="1"/>
  <c r="S152" i="146"/>
  <c r="U152" i="146"/>
  <c r="V152" i="146"/>
  <c r="AA152" i="146"/>
  <c r="AB152" i="146" s="1"/>
  <c r="AP152" i="146"/>
  <c r="AT152" i="146" s="1"/>
  <c r="AQ152" i="146"/>
  <c r="AU152" i="146" s="1"/>
  <c r="AR152" i="146"/>
  <c r="AV152" i="146" s="1"/>
  <c r="AW152" i="146"/>
  <c r="BJ152" i="146"/>
  <c r="BS152" i="146" s="1"/>
  <c r="BP152" i="146"/>
  <c r="BQ152" i="146"/>
  <c r="BR152" i="146"/>
  <c r="BT152" i="146"/>
  <c r="B153" i="146"/>
  <c r="BC153" i="146" s="1"/>
  <c r="U153" i="146"/>
  <c r="S153" i="146"/>
  <c r="AA153" i="146"/>
  <c r="AB153" i="146" s="1"/>
  <c r="AP153" i="146"/>
  <c r="AT153" i="146" s="1"/>
  <c r="AQ153" i="146"/>
  <c r="AU153" i="146" s="1"/>
  <c r="AR153" i="146"/>
  <c r="AV153" i="146" s="1"/>
  <c r="AW153" i="146"/>
  <c r="BJ153" i="146"/>
  <c r="BS153" i="146" s="1"/>
  <c r="BP153" i="146"/>
  <c r="BQ153" i="146"/>
  <c r="BR153" i="146"/>
  <c r="BT153" i="146"/>
  <c r="B154" i="146"/>
  <c r="BC154" i="146" s="1"/>
  <c r="U154" i="146"/>
  <c r="S154" i="146"/>
  <c r="AA154" i="146"/>
  <c r="AB154" i="146" s="1"/>
  <c r="AP154" i="146"/>
  <c r="AT154" i="146" s="1"/>
  <c r="AQ154" i="146"/>
  <c r="AU154" i="146" s="1"/>
  <c r="AR154" i="146"/>
  <c r="AV154" i="146" s="1"/>
  <c r="AW154" i="146"/>
  <c r="BJ154" i="146"/>
  <c r="BS154" i="146" s="1"/>
  <c r="BP154" i="146"/>
  <c r="BQ154" i="146"/>
  <c r="BR154" i="146"/>
  <c r="BT154" i="146"/>
  <c r="B155" i="146"/>
  <c r="BC155" i="146" s="1"/>
  <c r="U155" i="146"/>
  <c r="S155" i="146"/>
  <c r="AA155" i="146"/>
  <c r="AB155" i="146" s="1"/>
  <c r="AP155" i="146"/>
  <c r="AT155" i="146" s="1"/>
  <c r="AQ155" i="146"/>
  <c r="AU155" i="146" s="1"/>
  <c r="AR155" i="146"/>
  <c r="AV155" i="146" s="1"/>
  <c r="AW155" i="146"/>
  <c r="BJ155" i="146"/>
  <c r="BS155" i="146" s="1"/>
  <c r="BP155" i="146"/>
  <c r="BQ155" i="146"/>
  <c r="BR155" i="146"/>
  <c r="BT155" i="146"/>
  <c r="B156" i="146"/>
  <c r="U156" i="146"/>
  <c r="S156" i="146"/>
  <c r="AA156" i="146"/>
  <c r="AB156" i="146" s="1"/>
  <c r="AP156" i="146"/>
  <c r="AT156" i="146" s="1"/>
  <c r="AQ156" i="146"/>
  <c r="AU156" i="146" s="1"/>
  <c r="AR156" i="146"/>
  <c r="AV156" i="146" s="1"/>
  <c r="AW156" i="146"/>
  <c r="BJ156" i="146"/>
  <c r="BS156" i="146" s="1"/>
  <c r="BP156" i="146"/>
  <c r="BQ156" i="146"/>
  <c r="BR156" i="146"/>
  <c r="BT156" i="146"/>
  <c r="B157" i="146"/>
  <c r="U157" i="146"/>
  <c r="S157" i="146"/>
  <c r="AA157" i="146"/>
  <c r="AB157" i="146" s="1"/>
  <c r="AP157" i="146"/>
  <c r="AT157" i="146" s="1"/>
  <c r="AQ157" i="146"/>
  <c r="AR157" i="146"/>
  <c r="AV157" i="146" s="1"/>
  <c r="AU157" i="146"/>
  <c r="AW157" i="146"/>
  <c r="BJ157" i="146"/>
  <c r="BS157" i="146" s="1"/>
  <c r="BP157" i="146"/>
  <c r="BQ157" i="146"/>
  <c r="BR157" i="146"/>
  <c r="BT157" i="146"/>
  <c r="B158" i="146"/>
  <c r="BC158" i="146" s="1"/>
  <c r="U158" i="146"/>
  <c r="S158" i="146"/>
  <c r="AA158" i="146"/>
  <c r="AB158" i="146" s="1"/>
  <c r="AP158" i="146"/>
  <c r="AT158" i="146" s="1"/>
  <c r="AQ158" i="146"/>
  <c r="AU158" i="146" s="1"/>
  <c r="AR158" i="146"/>
  <c r="AV158" i="146" s="1"/>
  <c r="BJ158" i="146"/>
  <c r="BS158" i="146" s="1"/>
  <c r="BP158" i="146"/>
  <c r="BQ158" i="146"/>
  <c r="BR158" i="146"/>
  <c r="BT158" i="146"/>
  <c r="B159" i="146"/>
  <c r="U159" i="146"/>
  <c r="S159" i="146"/>
  <c r="AA159" i="146"/>
  <c r="AB159" i="146" s="1"/>
  <c r="AP159" i="146"/>
  <c r="AT159" i="146" s="1"/>
  <c r="AQ159" i="146"/>
  <c r="AU159" i="146" s="1"/>
  <c r="AR159" i="146"/>
  <c r="AV159" i="146" s="1"/>
  <c r="AW159" i="146"/>
  <c r="BJ159" i="146"/>
  <c r="BS159" i="146" s="1"/>
  <c r="BP159" i="146"/>
  <c r="BQ159" i="146"/>
  <c r="BR159" i="146"/>
  <c r="BT159" i="146"/>
  <c r="B160" i="146"/>
  <c r="U160" i="146"/>
  <c r="S160" i="146"/>
  <c r="AA160" i="146"/>
  <c r="AB160" i="146" s="1"/>
  <c r="AP160" i="146"/>
  <c r="AT160" i="146" s="1"/>
  <c r="AQ160" i="146"/>
  <c r="AU160" i="146" s="1"/>
  <c r="AR160" i="146"/>
  <c r="AV160" i="146" s="1"/>
  <c r="AW160" i="146"/>
  <c r="BJ160" i="146"/>
  <c r="BS160" i="146" s="1"/>
  <c r="BP160" i="146"/>
  <c r="BQ160" i="146"/>
  <c r="BR160" i="146"/>
  <c r="BT160" i="146"/>
  <c r="B161" i="146"/>
  <c r="U161" i="146"/>
  <c r="S161" i="146"/>
  <c r="AA161" i="146"/>
  <c r="AB161" i="146" s="1"/>
  <c r="AP161" i="146"/>
  <c r="AT161" i="146" s="1"/>
  <c r="AQ161" i="146"/>
  <c r="AU161" i="146" s="1"/>
  <c r="AR161" i="146"/>
  <c r="AV161" i="146" s="1"/>
  <c r="AW161" i="146"/>
  <c r="BJ161" i="146"/>
  <c r="BS161" i="146" s="1"/>
  <c r="BP161" i="146"/>
  <c r="BQ161" i="146"/>
  <c r="BR161" i="146"/>
  <c r="BT161" i="146"/>
  <c r="B163" i="146"/>
  <c r="BC163" i="146" s="1"/>
  <c r="U163" i="146"/>
  <c r="S163" i="146"/>
  <c r="AA163" i="146"/>
  <c r="AB163" i="146" s="1"/>
  <c r="AP163" i="146"/>
  <c r="AT163" i="146" s="1"/>
  <c r="AQ163" i="146"/>
  <c r="AU163" i="146" s="1"/>
  <c r="AR163" i="146"/>
  <c r="AV163" i="146" s="1"/>
  <c r="AW163" i="146"/>
  <c r="BJ163" i="146"/>
  <c r="BS163" i="146" s="1"/>
  <c r="BP163" i="146"/>
  <c r="BQ163" i="146"/>
  <c r="BR163" i="146"/>
  <c r="BT163" i="146"/>
  <c r="B164" i="146"/>
  <c r="U164" i="146"/>
  <c r="S164" i="146"/>
  <c r="AA164" i="146"/>
  <c r="AB164" i="146" s="1"/>
  <c r="AP164" i="146"/>
  <c r="AT164" i="146" s="1"/>
  <c r="AQ164" i="146"/>
  <c r="AU164" i="146" s="1"/>
  <c r="AR164" i="146"/>
  <c r="AV164" i="146" s="1"/>
  <c r="AW164" i="146"/>
  <c r="BJ164" i="146"/>
  <c r="BS164" i="146" s="1"/>
  <c r="BP164" i="146"/>
  <c r="BQ164" i="146"/>
  <c r="BR164" i="146"/>
  <c r="BT164" i="146"/>
  <c r="B165" i="146"/>
  <c r="U165" i="146"/>
  <c r="S165" i="146"/>
  <c r="AA165" i="146"/>
  <c r="AB165" i="146" s="1"/>
  <c r="AP165" i="146"/>
  <c r="AT165" i="146" s="1"/>
  <c r="AQ165" i="146"/>
  <c r="AU165" i="146" s="1"/>
  <c r="AR165" i="146"/>
  <c r="AV165" i="146" s="1"/>
  <c r="AW165" i="146"/>
  <c r="BJ165" i="146"/>
  <c r="BS165" i="146" s="1"/>
  <c r="BP165" i="146"/>
  <c r="BQ165" i="146"/>
  <c r="BR165" i="146"/>
  <c r="BT165" i="146"/>
  <c r="B166" i="146"/>
  <c r="U166" i="146"/>
  <c r="S166" i="146"/>
  <c r="AA166" i="146"/>
  <c r="AB166" i="146" s="1"/>
  <c r="AP166" i="146"/>
  <c r="AT166" i="146" s="1"/>
  <c r="AQ166" i="146"/>
  <c r="AU166" i="146" s="1"/>
  <c r="AR166" i="146"/>
  <c r="AV166" i="146" s="1"/>
  <c r="AW166" i="146"/>
  <c r="BJ166" i="146"/>
  <c r="BS166" i="146" s="1"/>
  <c r="BP166" i="146"/>
  <c r="BQ166" i="146"/>
  <c r="BR166" i="146"/>
  <c r="BT166" i="146"/>
  <c r="B167" i="146"/>
  <c r="BC167" i="146" s="1"/>
  <c r="U167" i="146"/>
  <c r="S167" i="146"/>
  <c r="AA167" i="146"/>
  <c r="AB167" i="146" s="1"/>
  <c r="AP167" i="146"/>
  <c r="AT167" i="146" s="1"/>
  <c r="AQ167" i="146"/>
  <c r="AU167" i="146" s="1"/>
  <c r="AR167" i="146"/>
  <c r="AV167" i="146" s="1"/>
  <c r="AW167" i="146"/>
  <c r="BJ167" i="146"/>
  <c r="BS167" i="146" s="1"/>
  <c r="BP167" i="146"/>
  <c r="BQ167" i="146"/>
  <c r="BR167" i="146"/>
  <c r="BT167" i="146"/>
  <c r="B168" i="146"/>
  <c r="U168" i="146"/>
  <c r="S168" i="146"/>
  <c r="AA168" i="146"/>
  <c r="AB168" i="146" s="1"/>
  <c r="AP168" i="146"/>
  <c r="AT168" i="146" s="1"/>
  <c r="AQ168" i="146"/>
  <c r="AU168" i="146" s="1"/>
  <c r="AR168" i="146"/>
  <c r="AV168" i="146" s="1"/>
  <c r="AW168" i="146"/>
  <c r="BJ168" i="146"/>
  <c r="BS168" i="146" s="1"/>
  <c r="BP168" i="146"/>
  <c r="BQ168" i="146"/>
  <c r="BR168" i="146"/>
  <c r="BT168" i="146"/>
  <c r="B169" i="146"/>
  <c r="BC169" i="146" s="1"/>
  <c r="AP169" i="146"/>
  <c r="AT169" i="146" s="1"/>
  <c r="AQ169" i="146"/>
  <c r="AR169" i="146"/>
  <c r="AV169" i="146" s="1"/>
  <c r="AU169" i="146"/>
  <c r="AW169" i="146"/>
  <c r="BJ169" i="146"/>
  <c r="BS169" i="146" s="1"/>
  <c r="BP169" i="146"/>
  <c r="BQ169" i="146"/>
  <c r="BR169" i="146"/>
  <c r="BT169" i="146"/>
  <c r="B172" i="146"/>
  <c r="S172" i="146"/>
  <c r="U172" i="146"/>
  <c r="V172" i="146"/>
  <c r="AA172" i="146"/>
  <c r="AB172" i="146" s="1"/>
  <c r="AP172" i="146"/>
  <c r="AT172" i="146" s="1"/>
  <c r="AQ172" i="146"/>
  <c r="AU172" i="146" s="1"/>
  <c r="AR172" i="146"/>
  <c r="AV172" i="146" s="1"/>
  <c r="AW172" i="146"/>
  <c r="BJ172" i="146"/>
  <c r="BS172" i="146" s="1"/>
  <c r="BP172" i="146"/>
  <c r="BQ172" i="146"/>
  <c r="BR172" i="146"/>
  <c r="BT172" i="146"/>
  <c r="B179" i="146"/>
  <c r="BC179" i="146" s="1"/>
  <c r="S179" i="146"/>
  <c r="U179" i="146"/>
  <c r="V179" i="146"/>
  <c r="AA179" i="146"/>
  <c r="AB179" i="146" s="1"/>
  <c r="AP179" i="146"/>
  <c r="AT179" i="146" s="1"/>
  <c r="AQ179" i="146"/>
  <c r="AR179" i="146"/>
  <c r="AV179" i="146" s="1"/>
  <c r="AU179" i="146"/>
  <c r="AW179" i="146"/>
  <c r="BJ179" i="146"/>
  <c r="BS179" i="146" s="1"/>
  <c r="BP179" i="146"/>
  <c r="BQ179" i="146"/>
  <c r="BR179" i="146"/>
  <c r="BT179" i="146"/>
  <c r="B180" i="146"/>
  <c r="BC180" i="146" s="1"/>
  <c r="S180" i="146"/>
  <c r="U180" i="146"/>
  <c r="V180" i="146"/>
  <c r="AA180" i="146"/>
  <c r="AB180" i="146" s="1"/>
  <c r="AP180" i="146"/>
  <c r="AQ180" i="146"/>
  <c r="AR180" i="146"/>
  <c r="AV180" i="146" s="1"/>
  <c r="AT180" i="146"/>
  <c r="AU180" i="146"/>
  <c r="AW180" i="146"/>
  <c r="BJ180" i="146"/>
  <c r="BS180" i="146" s="1"/>
  <c r="BP180" i="146"/>
  <c r="BQ180" i="146"/>
  <c r="BR180" i="146"/>
  <c r="BT180" i="146"/>
  <c r="B181" i="146"/>
  <c r="S181" i="146"/>
  <c r="U181" i="146"/>
  <c r="V181" i="146"/>
  <c r="AA181" i="146"/>
  <c r="AB181" i="146" s="1"/>
  <c r="AP181" i="146"/>
  <c r="AQ181" i="146"/>
  <c r="AR181" i="146"/>
  <c r="AV181" i="146" s="1"/>
  <c r="AT181" i="146"/>
  <c r="AU181" i="146"/>
  <c r="AW181" i="146"/>
  <c r="BJ181" i="146"/>
  <c r="BS181" i="146" s="1"/>
  <c r="BP181" i="146"/>
  <c r="BQ181" i="146"/>
  <c r="BR181" i="146"/>
  <c r="BT181" i="146"/>
  <c r="B182" i="146"/>
  <c r="BC182" i="146" s="1"/>
  <c r="S182" i="146"/>
  <c r="U182" i="146"/>
  <c r="V182" i="146"/>
  <c r="AA182" i="146"/>
  <c r="AB182" i="146" s="1"/>
  <c r="AP182" i="146"/>
  <c r="AQ182" i="146"/>
  <c r="AR182" i="146"/>
  <c r="AV182" i="146" s="1"/>
  <c r="AT182" i="146"/>
  <c r="AU182" i="146"/>
  <c r="AW182" i="146"/>
  <c r="BJ182" i="146"/>
  <c r="BS182" i="146" s="1"/>
  <c r="BP182" i="146"/>
  <c r="BQ182" i="146"/>
  <c r="BR182" i="146"/>
  <c r="BT182" i="146"/>
  <c r="B183" i="146"/>
  <c r="S183" i="146"/>
  <c r="U183" i="146"/>
  <c r="V183" i="146"/>
  <c r="AA183" i="146"/>
  <c r="AB183" i="146" s="1"/>
  <c r="AP183" i="146"/>
  <c r="AQ183" i="146"/>
  <c r="AR183" i="146"/>
  <c r="AV183" i="146" s="1"/>
  <c r="AT183" i="146"/>
  <c r="AU183" i="146"/>
  <c r="AW183" i="146"/>
  <c r="BJ183" i="146"/>
  <c r="BS183" i="146" s="1"/>
  <c r="BP183" i="146"/>
  <c r="BQ183" i="146"/>
  <c r="BR183" i="146"/>
  <c r="BT183" i="146"/>
  <c r="B184" i="146"/>
  <c r="S184" i="146"/>
  <c r="U184" i="146"/>
  <c r="V184" i="146"/>
  <c r="AA184" i="146"/>
  <c r="AB184" i="146" s="1"/>
  <c r="AP184" i="146"/>
  <c r="AT184" i="146" s="1"/>
  <c r="AQ184" i="146"/>
  <c r="AR184" i="146"/>
  <c r="AV184" i="146" s="1"/>
  <c r="AU184" i="146"/>
  <c r="AW184" i="146"/>
  <c r="BJ184" i="146"/>
  <c r="BS184" i="146" s="1"/>
  <c r="BP184" i="146"/>
  <c r="BQ184" i="146"/>
  <c r="BR184" i="146"/>
  <c r="BT184" i="146"/>
  <c r="B185" i="146"/>
  <c r="BC185" i="146" s="1"/>
  <c r="S185" i="146"/>
  <c r="U185" i="146"/>
  <c r="V185" i="146"/>
  <c r="AA185" i="146"/>
  <c r="AB185" i="146" s="1"/>
  <c r="AP185" i="146"/>
  <c r="AQ185" i="146"/>
  <c r="AR185" i="146"/>
  <c r="AV185" i="146" s="1"/>
  <c r="AT185" i="146"/>
  <c r="AU185" i="146"/>
  <c r="AW185" i="146"/>
  <c r="BJ185" i="146"/>
  <c r="BS185" i="146" s="1"/>
  <c r="BP185" i="146"/>
  <c r="BQ185" i="146"/>
  <c r="BR185" i="146"/>
  <c r="BT185" i="146"/>
  <c r="B186" i="146"/>
  <c r="BC186" i="146" s="1"/>
  <c r="S186" i="146"/>
  <c r="U186" i="146"/>
  <c r="V186" i="146"/>
  <c r="AA186" i="146"/>
  <c r="AB186" i="146" s="1"/>
  <c r="AP186" i="146"/>
  <c r="AT186" i="146" s="1"/>
  <c r="AQ186" i="146"/>
  <c r="AR186" i="146"/>
  <c r="AV186" i="146" s="1"/>
  <c r="AU186" i="146"/>
  <c r="AW186" i="146"/>
  <c r="BJ186" i="146"/>
  <c r="BS186" i="146" s="1"/>
  <c r="BP186" i="146"/>
  <c r="BQ186" i="146"/>
  <c r="BR186" i="146"/>
  <c r="BT186" i="146"/>
  <c r="B187" i="146"/>
  <c r="S187" i="146"/>
  <c r="U187" i="146"/>
  <c r="V187" i="146"/>
  <c r="AA187" i="146"/>
  <c r="AB187" i="146" s="1"/>
  <c r="AP187" i="146"/>
  <c r="AQ187" i="146"/>
  <c r="AU187" i="146" s="1"/>
  <c r="AR187" i="146"/>
  <c r="AV187" i="146" s="1"/>
  <c r="AT187" i="146"/>
  <c r="AW187" i="146"/>
  <c r="BJ187" i="146"/>
  <c r="BS187" i="146" s="1"/>
  <c r="BP187" i="146"/>
  <c r="BQ187" i="146"/>
  <c r="BR187" i="146"/>
  <c r="BT187" i="146"/>
  <c r="B188" i="146"/>
  <c r="Q188" i="146"/>
  <c r="U188" i="146" s="1"/>
  <c r="S188" i="146"/>
  <c r="V188" i="146"/>
  <c r="AA188" i="146"/>
  <c r="AB188" i="146" s="1"/>
  <c r="AP188" i="146"/>
  <c r="AT188" i="146" s="1"/>
  <c r="AQ188" i="146"/>
  <c r="AU188" i="146" s="1"/>
  <c r="AR188" i="146"/>
  <c r="AV188" i="146" s="1"/>
  <c r="AW188" i="146"/>
  <c r="BJ188" i="146"/>
  <c r="BS188" i="146" s="1"/>
  <c r="BP188" i="146"/>
  <c r="BQ188" i="146"/>
  <c r="BR188" i="146"/>
  <c r="BT188" i="146"/>
  <c r="BW188" i="146"/>
  <c r="B192" i="146"/>
  <c r="U192" i="146"/>
  <c r="S192" i="146"/>
  <c r="AA192" i="146"/>
  <c r="AB192" i="146" s="1"/>
  <c r="AP192" i="146"/>
  <c r="AT192" i="146" s="1"/>
  <c r="AQ192" i="146"/>
  <c r="AU192" i="146" s="1"/>
  <c r="AR192" i="146"/>
  <c r="AV192" i="146" s="1"/>
  <c r="AW192" i="146"/>
  <c r="BJ192" i="146"/>
  <c r="BS192" i="146" s="1"/>
  <c r="BP192" i="146"/>
  <c r="BQ192" i="146"/>
  <c r="BR192" i="146"/>
  <c r="BT192" i="146"/>
  <c r="B193" i="146"/>
  <c r="U193" i="146"/>
  <c r="S193" i="146"/>
  <c r="AA193" i="146"/>
  <c r="AB193" i="146" s="1"/>
  <c r="AP193" i="146"/>
  <c r="AT193" i="146" s="1"/>
  <c r="AQ193" i="146"/>
  <c r="AU193" i="146" s="1"/>
  <c r="AR193" i="146"/>
  <c r="AV193" i="146" s="1"/>
  <c r="AW193" i="146"/>
  <c r="BJ193" i="146"/>
  <c r="BS193" i="146" s="1"/>
  <c r="BP193" i="146"/>
  <c r="BQ193" i="146"/>
  <c r="BR193" i="146"/>
  <c r="BT193" i="146"/>
  <c r="B194" i="146"/>
  <c r="BC194" i="146" s="1"/>
  <c r="U194" i="146"/>
  <c r="S194" i="146"/>
  <c r="AA194" i="146"/>
  <c r="AB194" i="146" s="1"/>
  <c r="AP194" i="146"/>
  <c r="AT194" i="146" s="1"/>
  <c r="AQ194" i="146"/>
  <c r="AU194" i="146" s="1"/>
  <c r="AR194" i="146"/>
  <c r="AV194" i="146" s="1"/>
  <c r="AW194" i="146"/>
  <c r="BJ194" i="146"/>
  <c r="BS194" i="146" s="1"/>
  <c r="BP194" i="146"/>
  <c r="BQ194" i="146"/>
  <c r="BR194" i="146"/>
  <c r="BT194" i="146"/>
  <c r="B195" i="146"/>
  <c r="BC195" i="146" s="1"/>
  <c r="U195" i="146"/>
  <c r="S195" i="146"/>
  <c r="AA195" i="146"/>
  <c r="AB195" i="146" s="1"/>
  <c r="AP195" i="146"/>
  <c r="AT195" i="146" s="1"/>
  <c r="AQ195" i="146"/>
  <c r="AU195" i="146" s="1"/>
  <c r="AR195" i="146"/>
  <c r="AV195" i="146" s="1"/>
  <c r="AW195" i="146"/>
  <c r="BJ195" i="146"/>
  <c r="BS195" i="146" s="1"/>
  <c r="BP195" i="146"/>
  <c r="BQ195" i="146"/>
  <c r="BR195" i="146"/>
  <c r="BT195" i="146"/>
  <c r="B196" i="146"/>
  <c r="BC196" i="146" s="1"/>
  <c r="U196" i="146"/>
  <c r="S196" i="146"/>
  <c r="AP196" i="146"/>
  <c r="AT196" i="146" s="1"/>
  <c r="AQ196" i="146"/>
  <c r="AU196" i="146" s="1"/>
  <c r="AR196" i="146"/>
  <c r="AV196" i="146" s="1"/>
  <c r="AW196" i="146"/>
  <c r="BJ196" i="146"/>
  <c r="BS196" i="146" s="1"/>
  <c r="BP196" i="146"/>
  <c r="BQ196" i="146"/>
  <c r="BR196" i="146"/>
  <c r="BT196" i="146"/>
  <c r="B201" i="146"/>
  <c r="BC201" i="146" s="1"/>
  <c r="U201" i="146"/>
  <c r="S201" i="146"/>
  <c r="AA201" i="146"/>
  <c r="AB201" i="146" s="1"/>
  <c r="AP201" i="146"/>
  <c r="AT201" i="146" s="1"/>
  <c r="AQ201" i="146"/>
  <c r="AU201" i="146" s="1"/>
  <c r="AR201" i="146"/>
  <c r="AV201" i="146" s="1"/>
  <c r="BJ201" i="146"/>
  <c r="BS201" i="146" s="1"/>
  <c r="BP201" i="146"/>
  <c r="BQ201" i="146"/>
  <c r="BR201" i="146"/>
  <c r="BT201" i="146"/>
  <c r="B202" i="146"/>
  <c r="BC202" i="146" s="1"/>
  <c r="U202" i="146"/>
  <c r="S202" i="146"/>
  <c r="AA202" i="146"/>
  <c r="AB202" i="146" s="1"/>
  <c r="AP202" i="146"/>
  <c r="AT202" i="146" s="1"/>
  <c r="AQ202" i="146"/>
  <c r="AU202" i="146" s="1"/>
  <c r="AR202" i="146"/>
  <c r="AV202" i="146" s="1"/>
  <c r="AW202" i="146"/>
  <c r="BJ202" i="146"/>
  <c r="BS202" i="146" s="1"/>
  <c r="BP202" i="146"/>
  <c r="BQ202" i="146"/>
  <c r="BR202" i="146"/>
  <c r="BT202" i="146"/>
  <c r="B203" i="146"/>
  <c r="U203" i="146"/>
  <c r="S203" i="146"/>
  <c r="AA203" i="146"/>
  <c r="AB203" i="146" s="1"/>
  <c r="AP203" i="146"/>
  <c r="AT203" i="146" s="1"/>
  <c r="AQ203" i="146"/>
  <c r="AU203" i="146" s="1"/>
  <c r="AR203" i="146"/>
  <c r="AV203" i="146" s="1"/>
  <c r="AW203" i="146"/>
  <c r="BJ203" i="146"/>
  <c r="BS203" i="146" s="1"/>
  <c r="BP203" i="146"/>
  <c r="BQ203" i="146"/>
  <c r="BR203" i="146"/>
  <c r="BT203" i="146"/>
  <c r="B204" i="146"/>
  <c r="U204" i="146"/>
  <c r="S204" i="146"/>
  <c r="AA204" i="146"/>
  <c r="AB204" i="146" s="1"/>
  <c r="AP204" i="146"/>
  <c r="AT204" i="146" s="1"/>
  <c r="AQ204" i="146"/>
  <c r="AU204" i="146" s="1"/>
  <c r="AR204" i="146"/>
  <c r="AV204" i="146" s="1"/>
  <c r="AW204" i="146"/>
  <c r="BJ204" i="146"/>
  <c r="BS204" i="146" s="1"/>
  <c r="BP204" i="146"/>
  <c r="BQ204" i="146"/>
  <c r="BR204" i="146"/>
  <c r="BT204" i="146"/>
  <c r="B205" i="146"/>
  <c r="U205" i="146"/>
  <c r="S205" i="146"/>
  <c r="AA205" i="146"/>
  <c r="AB205" i="146" s="1"/>
  <c r="AP205" i="146"/>
  <c r="AT205" i="146" s="1"/>
  <c r="AQ205" i="146"/>
  <c r="AU205" i="146" s="1"/>
  <c r="AR205" i="146"/>
  <c r="AV205" i="146" s="1"/>
  <c r="AW205" i="146"/>
  <c r="BJ205" i="146"/>
  <c r="BS205" i="146" s="1"/>
  <c r="BP205" i="146"/>
  <c r="BQ205" i="146"/>
  <c r="BR205" i="146"/>
  <c r="BT205" i="146"/>
  <c r="B206" i="146"/>
  <c r="S206" i="146"/>
  <c r="U206" i="146"/>
  <c r="V206" i="146"/>
  <c r="AA206" i="146"/>
  <c r="AB206" i="146" s="1"/>
  <c r="AP206" i="146"/>
  <c r="AT206" i="146" s="1"/>
  <c r="AQ206" i="146"/>
  <c r="AU206" i="146" s="1"/>
  <c r="AR206" i="146"/>
  <c r="AV206" i="146" s="1"/>
  <c r="AW206" i="146"/>
  <c r="BJ206" i="146"/>
  <c r="BS206" i="146" s="1"/>
  <c r="BP206" i="146"/>
  <c r="BQ206" i="146"/>
  <c r="BR206" i="146"/>
  <c r="BT206" i="146"/>
  <c r="B207" i="146"/>
  <c r="BC207" i="146" s="1"/>
  <c r="U207" i="146"/>
  <c r="S207" i="146"/>
  <c r="AA207" i="146"/>
  <c r="AB207" i="146" s="1"/>
  <c r="AP207" i="146"/>
  <c r="AT207" i="146" s="1"/>
  <c r="AQ207" i="146"/>
  <c r="AU207" i="146" s="1"/>
  <c r="AR207" i="146"/>
  <c r="AV207" i="146" s="1"/>
  <c r="AW207" i="146"/>
  <c r="BJ207" i="146"/>
  <c r="BS207" i="146" s="1"/>
  <c r="BP207" i="146"/>
  <c r="BQ207" i="146"/>
  <c r="BR207" i="146"/>
  <c r="BT207" i="146"/>
  <c r="B208" i="146"/>
  <c r="BC208" i="146" s="1"/>
  <c r="U208" i="146"/>
  <c r="S208" i="146"/>
  <c r="AA208" i="146"/>
  <c r="AB208" i="146" s="1"/>
  <c r="AP208" i="146"/>
  <c r="AT208" i="146" s="1"/>
  <c r="AQ208" i="146"/>
  <c r="AU208" i="146" s="1"/>
  <c r="AR208" i="146"/>
  <c r="AV208" i="146" s="1"/>
  <c r="AW208" i="146"/>
  <c r="BJ208" i="146"/>
  <c r="BS208" i="146" s="1"/>
  <c r="BP208" i="146"/>
  <c r="BQ208" i="146"/>
  <c r="BR208" i="146"/>
  <c r="BT208" i="146"/>
  <c r="B210" i="146"/>
  <c r="BC210" i="146" s="1"/>
  <c r="U210" i="146"/>
  <c r="S210" i="146"/>
  <c r="AA210" i="146"/>
  <c r="AB210" i="146" s="1"/>
  <c r="AP210" i="146"/>
  <c r="AT210" i="146" s="1"/>
  <c r="AQ210" i="146"/>
  <c r="AU210" i="146" s="1"/>
  <c r="AR210" i="146"/>
  <c r="AV210" i="146" s="1"/>
  <c r="AW210" i="146"/>
  <c r="BJ210" i="146"/>
  <c r="BS210" i="146" s="1"/>
  <c r="BP210" i="146"/>
  <c r="BQ210" i="146"/>
  <c r="BR210" i="146"/>
  <c r="BT210" i="146"/>
  <c r="B211" i="146"/>
  <c r="BC211" i="146" s="1"/>
  <c r="S211" i="146"/>
  <c r="U211" i="146"/>
  <c r="V211" i="146"/>
  <c r="AA211" i="146"/>
  <c r="AB211" i="146" s="1"/>
  <c r="AP211" i="146"/>
  <c r="AT211" i="146" s="1"/>
  <c r="AQ211" i="146"/>
  <c r="AU211" i="146" s="1"/>
  <c r="AR211" i="146"/>
  <c r="AV211" i="146" s="1"/>
  <c r="AW211" i="146"/>
  <c r="BJ211" i="146"/>
  <c r="BS211" i="146" s="1"/>
  <c r="BP211" i="146"/>
  <c r="BQ211" i="146"/>
  <c r="BR211" i="146"/>
  <c r="BT211" i="146"/>
  <c r="B213" i="146"/>
  <c r="U213" i="146"/>
  <c r="S213" i="146"/>
  <c r="AA213" i="146"/>
  <c r="AB213" i="146" s="1"/>
  <c r="AP213" i="146"/>
  <c r="AT213" i="146" s="1"/>
  <c r="AQ213" i="146"/>
  <c r="AU213" i="146" s="1"/>
  <c r="AR213" i="146"/>
  <c r="AV213" i="146" s="1"/>
  <c r="AW213" i="146"/>
  <c r="BJ213" i="146"/>
  <c r="BS213" i="146" s="1"/>
  <c r="BP213" i="146"/>
  <c r="BQ213" i="146"/>
  <c r="BR213" i="146"/>
  <c r="BT213" i="146"/>
  <c r="B215" i="146"/>
  <c r="AT215" i="146"/>
  <c r="AU215" i="146"/>
  <c r="AV215" i="146"/>
  <c r="AW215" i="146"/>
  <c r="BJ215" i="146"/>
  <c r="BS215" i="146" s="1"/>
  <c r="BP215" i="146"/>
  <c r="BQ215" i="146"/>
  <c r="BR215" i="146"/>
  <c r="BT215" i="146"/>
  <c r="B216" i="146"/>
  <c r="BC216" i="146" s="1"/>
  <c r="AP216" i="146"/>
  <c r="AT216" i="146" s="1"/>
  <c r="AQ216" i="146"/>
  <c r="AU216" i="146" s="1"/>
  <c r="AR216" i="146"/>
  <c r="AV216" i="146" s="1"/>
  <c r="AW216" i="146"/>
  <c r="BJ216" i="146"/>
  <c r="BS216" i="146" s="1"/>
  <c r="BP216" i="146"/>
  <c r="BQ216" i="146"/>
  <c r="BR216" i="146"/>
  <c r="BT216" i="146"/>
  <c r="B219" i="146"/>
  <c r="BC219" i="146" s="1"/>
  <c r="U219" i="146"/>
  <c r="S219" i="146"/>
  <c r="AA219" i="146"/>
  <c r="AB219" i="146" s="1"/>
  <c r="AP219" i="146"/>
  <c r="AT219" i="146" s="1"/>
  <c r="AQ219" i="146"/>
  <c r="AU219" i="146" s="1"/>
  <c r="AR219" i="146"/>
  <c r="AV219" i="146" s="1"/>
  <c r="AW219" i="146"/>
  <c r="BJ219" i="146"/>
  <c r="BS219" i="146" s="1"/>
  <c r="BP219" i="146"/>
  <c r="BQ219" i="146"/>
  <c r="BR219" i="146"/>
  <c r="BT219" i="146"/>
  <c r="B220" i="146"/>
  <c r="U220" i="146"/>
  <c r="S220" i="146"/>
  <c r="AA220" i="146"/>
  <c r="AB220" i="146" s="1"/>
  <c r="AP220" i="146"/>
  <c r="AT220" i="146" s="1"/>
  <c r="AQ220" i="146"/>
  <c r="AU220" i="146" s="1"/>
  <c r="AR220" i="146"/>
  <c r="AV220" i="146" s="1"/>
  <c r="AW220" i="146"/>
  <c r="BJ220" i="146"/>
  <c r="BS220" i="146" s="1"/>
  <c r="BP220" i="146"/>
  <c r="BQ220" i="146"/>
  <c r="BR220" i="146"/>
  <c r="BT220" i="146"/>
  <c r="B221" i="146"/>
  <c r="U221" i="146"/>
  <c r="S221" i="146"/>
  <c r="AA221" i="146"/>
  <c r="AB221" i="146" s="1"/>
  <c r="AP221" i="146"/>
  <c r="AT221" i="146" s="1"/>
  <c r="AQ221" i="146"/>
  <c r="AR221" i="146"/>
  <c r="AV221" i="146" s="1"/>
  <c r="AU221" i="146"/>
  <c r="AW221" i="146"/>
  <c r="BJ221" i="146"/>
  <c r="BS221" i="146" s="1"/>
  <c r="BP221" i="146"/>
  <c r="BQ221" i="146"/>
  <c r="BR221" i="146"/>
  <c r="BT221" i="146"/>
  <c r="B246" i="146"/>
  <c r="BC246" i="146" s="1"/>
  <c r="U246" i="146"/>
  <c r="S246" i="146"/>
  <c r="AA246" i="146"/>
  <c r="AB246" i="146" s="1"/>
  <c r="AP246" i="146"/>
  <c r="AT246" i="146" s="1"/>
  <c r="AQ246" i="146"/>
  <c r="AU246" i="146" s="1"/>
  <c r="AR246" i="146"/>
  <c r="AV246" i="146" s="1"/>
  <c r="BJ246" i="146"/>
  <c r="BS246" i="146" s="1"/>
  <c r="BP246" i="146"/>
  <c r="BQ246" i="146"/>
  <c r="BR246" i="146"/>
  <c r="BT246" i="146"/>
  <c r="B247" i="146"/>
  <c r="BC247" i="146" s="1"/>
  <c r="U247" i="146"/>
  <c r="S247" i="146"/>
  <c r="AA247" i="146"/>
  <c r="AB247" i="146" s="1"/>
  <c r="AP247" i="146"/>
  <c r="AT247" i="146" s="1"/>
  <c r="AQ247" i="146"/>
  <c r="AU247" i="146" s="1"/>
  <c r="AR247" i="146"/>
  <c r="AV247" i="146" s="1"/>
  <c r="BJ247" i="146"/>
  <c r="BS247" i="146" s="1"/>
  <c r="BP247" i="146"/>
  <c r="BQ247" i="146"/>
  <c r="BR247" i="146"/>
  <c r="BT247" i="146"/>
  <c r="B248" i="146"/>
  <c r="BC248" i="146" s="1"/>
  <c r="U248" i="146"/>
  <c r="S248" i="146"/>
  <c r="AA248" i="146"/>
  <c r="AB248" i="146" s="1"/>
  <c r="AP248" i="146"/>
  <c r="AT248" i="146" s="1"/>
  <c r="AQ248" i="146"/>
  <c r="AU248" i="146" s="1"/>
  <c r="AR248" i="146"/>
  <c r="BJ248" i="146"/>
  <c r="BS248" i="146" s="1"/>
  <c r="BP248" i="146"/>
  <c r="BQ248" i="146"/>
  <c r="BR248" i="146"/>
  <c r="BT248" i="146"/>
  <c r="B251" i="146"/>
  <c r="BC251" i="146" s="1"/>
  <c r="AP251" i="146"/>
  <c r="AT251" i="146" s="1"/>
  <c r="AQ251" i="146"/>
  <c r="AR251" i="146"/>
  <c r="AV251" i="146" s="1"/>
  <c r="AU251" i="146"/>
  <c r="AW251" i="146"/>
  <c r="BJ251" i="146"/>
  <c r="BS251" i="146" s="1"/>
  <c r="BP251" i="146"/>
  <c r="BQ251" i="146"/>
  <c r="BR251" i="146"/>
  <c r="BT251" i="146"/>
  <c r="B252" i="146"/>
  <c r="U252" i="146"/>
  <c r="S252" i="146"/>
  <c r="AA252" i="146"/>
  <c r="AB252" i="146" s="1"/>
  <c r="AP252" i="146"/>
  <c r="AT252" i="146" s="1"/>
  <c r="AQ252" i="146"/>
  <c r="AU252" i="146" s="1"/>
  <c r="AR252" i="146"/>
  <c r="AV252" i="146" s="1"/>
  <c r="BJ252" i="146"/>
  <c r="BS252" i="146" s="1"/>
  <c r="BP252" i="146"/>
  <c r="BQ252" i="146"/>
  <c r="BR252" i="146"/>
  <c r="BT252" i="146"/>
  <c r="B253" i="146"/>
  <c r="BC253" i="146" s="1"/>
  <c r="U253" i="146"/>
  <c r="S253" i="146"/>
  <c r="AA253" i="146"/>
  <c r="AB253" i="146" s="1"/>
  <c r="AP253" i="146"/>
  <c r="AT253" i="146" s="1"/>
  <c r="AQ253" i="146"/>
  <c r="AU253" i="146" s="1"/>
  <c r="AR253" i="146"/>
  <c r="AV253" i="146" s="1"/>
  <c r="BJ253" i="146"/>
  <c r="BS253" i="146" s="1"/>
  <c r="BP253" i="146"/>
  <c r="BQ253" i="146"/>
  <c r="BR253" i="146"/>
  <c r="BT253" i="146"/>
  <c r="B256" i="146"/>
  <c r="U256" i="146"/>
  <c r="S256" i="146"/>
  <c r="AA256" i="146"/>
  <c r="AB256" i="146" s="1"/>
  <c r="AP256" i="146"/>
  <c r="AT256" i="146" s="1"/>
  <c r="AQ256" i="146"/>
  <c r="AU256" i="146" s="1"/>
  <c r="AR256" i="146"/>
  <c r="AV256" i="146" s="1"/>
  <c r="AW256" i="146"/>
  <c r="BJ256" i="146"/>
  <c r="BS256" i="146" s="1"/>
  <c r="BP256" i="146"/>
  <c r="BQ256" i="146"/>
  <c r="BR256" i="146"/>
  <c r="BT256" i="146"/>
  <c r="B257" i="146"/>
  <c r="BC257" i="146" s="1"/>
  <c r="U257" i="146"/>
  <c r="S257" i="146"/>
  <c r="AA257" i="146"/>
  <c r="AB257" i="146" s="1"/>
  <c r="AP257" i="146"/>
  <c r="AT257" i="146" s="1"/>
  <c r="AQ257" i="146"/>
  <c r="AU257" i="146" s="1"/>
  <c r="AR257" i="146"/>
  <c r="AV257" i="146" s="1"/>
  <c r="AW257" i="146"/>
  <c r="BJ257" i="146"/>
  <c r="BS257" i="146" s="1"/>
  <c r="BP257" i="146"/>
  <c r="BQ257" i="146"/>
  <c r="BR257" i="146"/>
  <c r="BT257" i="146"/>
  <c r="B258" i="146"/>
  <c r="U258" i="146"/>
  <c r="S258" i="146"/>
  <c r="AA258" i="146"/>
  <c r="AB258" i="146" s="1"/>
  <c r="AP258" i="146"/>
  <c r="AT258" i="146" s="1"/>
  <c r="AQ258" i="146"/>
  <c r="AR258" i="146"/>
  <c r="AV258" i="146" s="1"/>
  <c r="AU258" i="146"/>
  <c r="BJ258" i="146"/>
  <c r="BS258" i="146" s="1"/>
  <c r="BP258" i="146"/>
  <c r="BQ258" i="146"/>
  <c r="BR258" i="146"/>
  <c r="BT258" i="146"/>
  <c r="B259" i="146"/>
  <c r="BC259" i="146" s="1"/>
  <c r="U259" i="146"/>
  <c r="S259" i="146"/>
  <c r="AA259" i="146"/>
  <c r="AB259" i="146" s="1"/>
  <c r="AN259" i="146"/>
  <c r="AR259" i="146" s="1"/>
  <c r="AV259" i="146" s="1"/>
  <c r="AP259" i="146"/>
  <c r="AT259" i="146" s="1"/>
  <c r="AQ259" i="146"/>
  <c r="AU259" i="146" s="1"/>
  <c r="AW259" i="146"/>
  <c r="BJ259" i="146"/>
  <c r="BS259" i="146" s="1"/>
  <c r="BP259" i="146"/>
  <c r="BQ259" i="146"/>
  <c r="B260" i="146"/>
  <c r="BC260" i="146" s="1"/>
  <c r="U260" i="146"/>
  <c r="S260" i="146"/>
  <c r="AA260" i="146"/>
  <c r="AB260" i="146" s="1"/>
  <c r="AP260" i="146"/>
  <c r="AT260" i="146" s="1"/>
  <c r="AQ260" i="146"/>
  <c r="AU260" i="146" s="1"/>
  <c r="AR260" i="146"/>
  <c r="AV260" i="146" s="1"/>
  <c r="AW260" i="146"/>
  <c r="BJ260" i="146"/>
  <c r="BS260" i="146" s="1"/>
  <c r="BP260" i="146"/>
  <c r="BQ260" i="146"/>
  <c r="BR260" i="146"/>
  <c r="BT260" i="146"/>
  <c r="B261" i="146"/>
  <c r="U261" i="146"/>
  <c r="S261" i="146"/>
  <c r="AA261" i="146"/>
  <c r="AB261" i="146" s="1"/>
  <c r="AP261" i="146"/>
  <c r="AT261" i="146" s="1"/>
  <c r="AQ261" i="146"/>
  <c r="AU261" i="146" s="1"/>
  <c r="AR261" i="146"/>
  <c r="AV261" i="146" s="1"/>
  <c r="AW261" i="146"/>
  <c r="BJ261" i="146"/>
  <c r="BS261" i="146" s="1"/>
  <c r="BP261" i="146"/>
  <c r="BQ261" i="146"/>
  <c r="BR261" i="146"/>
  <c r="BT261" i="146"/>
  <c r="B263" i="146"/>
  <c r="BC263" i="146" s="1"/>
  <c r="U263" i="146"/>
  <c r="S263" i="146"/>
  <c r="AA263" i="146"/>
  <c r="AB263" i="146" s="1"/>
  <c r="AP263" i="146"/>
  <c r="AT263" i="146" s="1"/>
  <c r="AQ263" i="146"/>
  <c r="AU263" i="146" s="1"/>
  <c r="AR263" i="146"/>
  <c r="AV263" i="146" s="1"/>
  <c r="BJ263" i="146"/>
  <c r="BS263" i="146" s="1"/>
  <c r="BP263" i="146"/>
  <c r="BQ263" i="146"/>
  <c r="BR263" i="146"/>
  <c r="BT263" i="146"/>
  <c r="B264" i="146"/>
  <c r="BC264" i="146" s="1"/>
  <c r="U264" i="146"/>
  <c r="S264" i="146"/>
  <c r="AA264" i="146"/>
  <c r="AB264" i="146" s="1"/>
  <c r="AP264" i="146"/>
  <c r="AT264" i="146" s="1"/>
  <c r="AQ264" i="146"/>
  <c r="AU264" i="146" s="1"/>
  <c r="AR264" i="146"/>
  <c r="AV264" i="146" s="1"/>
  <c r="BJ264" i="146"/>
  <c r="BS264" i="146" s="1"/>
  <c r="BP264" i="146"/>
  <c r="BQ264" i="146"/>
  <c r="BR264" i="146"/>
  <c r="BT264" i="146"/>
  <c r="B265" i="146"/>
  <c r="U265" i="146"/>
  <c r="S265" i="146"/>
  <c r="AA265" i="146"/>
  <c r="AB265" i="146" s="1"/>
  <c r="AP265" i="146"/>
  <c r="AT265" i="146" s="1"/>
  <c r="AQ265" i="146"/>
  <c r="AU265" i="146" s="1"/>
  <c r="AR265" i="146"/>
  <c r="AV265" i="146" s="1"/>
  <c r="AW265" i="146"/>
  <c r="BJ265" i="146"/>
  <c r="BS265" i="146" s="1"/>
  <c r="BP265" i="146"/>
  <c r="BQ265" i="146"/>
  <c r="BR265" i="146"/>
  <c r="BT265" i="146"/>
  <c r="B266" i="146"/>
  <c r="BC266" i="146" s="1"/>
  <c r="U266" i="146"/>
  <c r="S266" i="146"/>
  <c r="AA266" i="146"/>
  <c r="AB266" i="146" s="1"/>
  <c r="AP266" i="146"/>
  <c r="AT266" i="146" s="1"/>
  <c r="AQ266" i="146"/>
  <c r="AU266" i="146" s="1"/>
  <c r="AR266" i="146"/>
  <c r="AV266" i="146" s="1"/>
  <c r="BJ266" i="146"/>
  <c r="BS266" i="146" s="1"/>
  <c r="BP266" i="146"/>
  <c r="BQ266" i="146"/>
  <c r="BR266" i="146"/>
  <c r="BT266" i="146"/>
  <c r="B267" i="146"/>
  <c r="U267" i="146"/>
  <c r="S267" i="146"/>
  <c r="AA267" i="146"/>
  <c r="AB267" i="146" s="1"/>
  <c r="AN267" i="146"/>
  <c r="AO267" i="146" s="1"/>
  <c r="BR267" i="146" s="1"/>
  <c r="AP267" i="146"/>
  <c r="AT267" i="146" s="1"/>
  <c r="AQ267" i="146"/>
  <c r="AU267" i="146" s="1"/>
  <c r="AW267" i="146"/>
  <c r="BJ267" i="146"/>
  <c r="BS267" i="146" s="1"/>
  <c r="BP267" i="146"/>
  <c r="BQ267" i="146"/>
  <c r="B275" i="146"/>
  <c r="AZ275" i="146" s="1"/>
  <c r="S275" i="146"/>
  <c r="U275" i="146"/>
  <c r="V275" i="146"/>
  <c r="AA275" i="146"/>
  <c r="AB275" i="146" s="1"/>
  <c r="AP275" i="146"/>
  <c r="AT275" i="146" s="1"/>
  <c r="AQ275" i="146"/>
  <c r="AU275" i="146" s="1"/>
  <c r="AR275" i="146"/>
  <c r="AV275" i="146" s="1"/>
  <c r="AW275" i="146"/>
  <c r="BJ275" i="146"/>
  <c r="BS275" i="146" s="1"/>
  <c r="BP275" i="146"/>
  <c r="BQ275" i="146"/>
  <c r="BR275" i="146"/>
  <c r="BT275" i="146"/>
  <c r="B276" i="146"/>
  <c r="BC276" i="146" s="1"/>
  <c r="U276" i="146"/>
  <c r="S276" i="146"/>
  <c r="AA276" i="146"/>
  <c r="AB276" i="146" s="1"/>
  <c r="AP276" i="146"/>
  <c r="AT276" i="146" s="1"/>
  <c r="AQ276" i="146"/>
  <c r="AU276" i="146" s="1"/>
  <c r="AR276" i="146"/>
  <c r="AV276" i="146" s="1"/>
  <c r="AW276" i="146"/>
  <c r="BJ276" i="146"/>
  <c r="BS276" i="146" s="1"/>
  <c r="BP276" i="146"/>
  <c r="BQ276" i="146"/>
  <c r="BR276" i="146"/>
  <c r="BT276" i="146"/>
  <c r="B277" i="146"/>
  <c r="BC277" i="146" s="1"/>
  <c r="U277" i="146"/>
  <c r="S277" i="146"/>
  <c r="AA277" i="146"/>
  <c r="AB277" i="146" s="1"/>
  <c r="AP277" i="146"/>
  <c r="AT277" i="146" s="1"/>
  <c r="AQ277" i="146"/>
  <c r="AU277" i="146" s="1"/>
  <c r="AR277" i="146"/>
  <c r="AV277" i="146" s="1"/>
  <c r="AW277" i="146"/>
  <c r="BJ277" i="146"/>
  <c r="BS277" i="146" s="1"/>
  <c r="BP277" i="146"/>
  <c r="BQ277" i="146"/>
  <c r="BR277" i="146"/>
  <c r="BT277" i="146"/>
  <c r="B278" i="146"/>
  <c r="BC278" i="146" s="1"/>
  <c r="U278" i="146"/>
  <c r="S278" i="146"/>
  <c r="AA278" i="146"/>
  <c r="AB278" i="146" s="1"/>
  <c r="AP278" i="146"/>
  <c r="AT278" i="146" s="1"/>
  <c r="AQ278" i="146"/>
  <c r="AU278" i="146" s="1"/>
  <c r="AR278" i="146"/>
  <c r="AV278" i="146" s="1"/>
  <c r="AW278" i="146"/>
  <c r="BJ278" i="146"/>
  <c r="BS278" i="146" s="1"/>
  <c r="BP278" i="146"/>
  <c r="BQ278" i="146"/>
  <c r="BR278" i="146"/>
  <c r="BT278" i="146"/>
  <c r="B279" i="146"/>
  <c r="BC279" i="146" s="1"/>
  <c r="U279" i="146"/>
  <c r="S279" i="146"/>
  <c r="AA279" i="146"/>
  <c r="AB279" i="146" s="1"/>
  <c r="AP279" i="146"/>
  <c r="AT279" i="146" s="1"/>
  <c r="AQ279" i="146"/>
  <c r="AU279" i="146" s="1"/>
  <c r="AR279" i="146"/>
  <c r="AV279" i="146" s="1"/>
  <c r="AW279" i="146"/>
  <c r="BJ279" i="146"/>
  <c r="BS279" i="146" s="1"/>
  <c r="BP279" i="146"/>
  <c r="BQ279" i="146"/>
  <c r="BR279" i="146"/>
  <c r="BT279" i="146"/>
  <c r="B280" i="146"/>
  <c r="BC280" i="146" s="1"/>
  <c r="S280" i="146"/>
  <c r="U280" i="146"/>
  <c r="V280" i="146"/>
  <c r="AA280" i="146"/>
  <c r="AB280" i="146" s="1"/>
  <c r="AP280" i="146"/>
  <c r="AQ280" i="146"/>
  <c r="AR280" i="146"/>
  <c r="AV280" i="146" s="1"/>
  <c r="AT280" i="146"/>
  <c r="AU280" i="146"/>
  <c r="AW280" i="146"/>
  <c r="BJ280" i="146"/>
  <c r="BS280" i="146" s="1"/>
  <c r="BP280" i="146"/>
  <c r="BQ280" i="146"/>
  <c r="BR280" i="146"/>
  <c r="BT280" i="146"/>
  <c r="B281" i="146"/>
  <c r="BC281" i="146" s="1"/>
  <c r="S281" i="146"/>
  <c r="U281" i="146"/>
  <c r="V281" i="146"/>
  <c r="AA281" i="146"/>
  <c r="AB281" i="146" s="1"/>
  <c r="AP281" i="146"/>
  <c r="AQ281" i="146"/>
  <c r="AR281" i="146"/>
  <c r="AV281" i="146" s="1"/>
  <c r="AT281" i="146"/>
  <c r="AU281" i="146"/>
  <c r="AW281" i="146"/>
  <c r="BJ281" i="146"/>
  <c r="BS281" i="146" s="1"/>
  <c r="BP281" i="146"/>
  <c r="BQ281" i="146"/>
  <c r="BR281" i="146"/>
  <c r="BT281" i="146"/>
  <c r="J14" i="33"/>
  <c r="H7" i="33" a="1"/>
  <c r="H12" i="33"/>
  <c r="H8" i="33" a="1"/>
  <c r="H6" i="33" a="1"/>
  <c r="H14" i="33"/>
  <c r="AC22" i="128" l="1"/>
  <c r="AC26" i="128"/>
  <c r="AA24" i="128"/>
  <c r="S26" i="128"/>
  <c r="AD24" i="128"/>
  <c r="AB26" i="128"/>
  <c r="AB22" i="128"/>
  <c r="Z24" i="128"/>
  <c r="AA26" i="128"/>
  <c r="T26" i="128"/>
  <c r="AD22" i="128"/>
  <c r="AC24" i="128"/>
  <c r="Z26" i="128"/>
  <c r="AA22" i="128"/>
  <c r="Q22" i="128"/>
  <c r="AD26" i="128"/>
  <c r="AB24" i="128"/>
  <c r="Q26" i="128"/>
  <c r="U26" i="128"/>
  <c r="Z22" i="128"/>
  <c r="R26" i="128"/>
  <c r="AB25" i="128"/>
  <c r="AA25" i="128"/>
  <c r="AD25" i="128"/>
  <c r="AC25" i="128"/>
  <c r="Z25" i="128"/>
  <c r="AD23" i="128"/>
  <c r="AC38" i="128"/>
  <c r="Z34" i="128"/>
  <c r="AD38" i="128"/>
  <c r="R34" i="128"/>
  <c r="AA34" i="128"/>
  <c r="Q34" i="128"/>
  <c r="AB34" i="128"/>
  <c r="AC35" i="128"/>
  <c r="AC34" i="128"/>
  <c r="Z37" i="128"/>
  <c r="Z38" i="128"/>
  <c r="AD34" i="128"/>
  <c r="AA37" i="128"/>
  <c r="Z35" i="128"/>
  <c r="AB37" i="128"/>
  <c r="AA35" i="128"/>
  <c r="AC37" i="128"/>
  <c r="AB35" i="128"/>
  <c r="AD37" i="128"/>
  <c r="S34" i="128"/>
  <c r="AD35" i="128"/>
  <c r="AA38" i="128"/>
  <c r="U34" i="128"/>
  <c r="AB38" i="128"/>
  <c r="T34" i="128"/>
  <c r="Z23" i="128"/>
  <c r="AB23" i="128"/>
  <c r="AA23" i="128"/>
  <c r="AC23" i="128"/>
  <c r="BC265" i="146"/>
  <c r="AX247" i="146"/>
  <c r="AY247" i="146" s="1"/>
  <c r="AZ247" i="146" s="1"/>
  <c r="AX246" i="146"/>
  <c r="AY246" i="146" s="1"/>
  <c r="AZ246" i="146" s="1"/>
  <c r="AX244" i="146"/>
  <c r="AY244" i="146" s="1"/>
  <c r="AZ244" i="146" s="1"/>
  <c r="AX201" i="146"/>
  <c r="AY201" i="146" s="1"/>
  <c r="AZ201" i="146" s="1"/>
  <c r="BT241" i="146"/>
  <c r="AX242" i="146"/>
  <c r="AY242" i="146" s="1"/>
  <c r="AZ242" i="146" s="1"/>
  <c r="BJ240" i="146"/>
  <c r="BS240" i="146" s="1"/>
  <c r="BJ242" i="146"/>
  <c r="BR241" i="146"/>
  <c r="BQ242" i="146"/>
  <c r="AX241" i="146"/>
  <c r="AY241" i="146" s="1"/>
  <c r="AZ241" i="146" s="1"/>
  <c r="BR240" i="146"/>
  <c r="BQ241" i="146"/>
  <c r="BP241" i="146"/>
  <c r="BJ241" i="146"/>
  <c r="BS241" i="146" s="1"/>
  <c r="BQ240" i="146"/>
  <c r="BP240" i="146"/>
  <c r="H8" i="33"/>
  <c r="AV248" i="146"/>
  <c r="AX248" i="146" s="1"/>
  <c r="AY248" i="146" s="1"/>
  <c r="H6" i="33"/>
  <c r="H7" i="33"/>
  <c r="BS82" i="146"/>
  <c r="AU82" i="146"/>
  <c r="AV82" i="146"/>
  <c r="AZ97" i="146"/>
  <c r="BC97" i="146"/>
  <c r="AZ47" i="146"/>
  <c r="AB31" i="146"/>
  <c r="AZ280" i="146"/>
  <c r="AX44" i="146"/>
  <c r="AY44" i="146" s="1"/>
  <c r="W182" i="146"/>
  <c r="X182" i="146" s="1"/>
  <c r="Y182" i="146" s="1"/>
  <c r="AZ28" i="146"/>
  <c r="AZ31" i="146"/>
  <c r="BC36" i="146"/>
  <c r="AX161" i="146"/>
  <c r="AY161" i="146" s="1"/>
  <c r="AZ161" i="146" s="1"/>
  <c r="AZ136" i="146"/>
  <c r="W41" i="146"/>
  <c r="X41" i="146" s="1"/>
  <c r="Y41" i="146" s="1"/>
  <c r="BC38" i="146"/>
  <c r="W48" i="146"/>
  <c r="X48" i="146" s="1"/>
  <c r="Y48" i="146" s="1"/>
  <c r="W140" i="146"/>
  <c r="X140" i="146" s="1"/>
  <c r="Y140" i="146" s="1"/>
  <c r="AZ29" i="146"/>
  <c r="AX253" i="146"/>
  <c r="AY253" i="146" s="1"/>
  <c r="AZ253" i="146" s="1"/>
  <c r="W263" i="146"/>
  <c r="X263" i="146" s="1"/>
  <c r="Y263" i="146" s="1"/>
  <c r="AX180" i="146"/>
  <c r="AY180" i="146" s="1"/>
  <c r="AZ180" i="146" s="1"/>
  <c r="AX153" i="146"/>
  <c r="AY153" i="146" s="1"/>
  <c r="AZ153" i="146" s="1"/>
  <c r="AX107" i="146"/>
  <c r="AY107" i="146" s="1"/>
  <c r="AX33" i="146"/>
  <c r="AY33" i="146" s="1"/>
  <c r="AX182" i="146"/>
  <c r="AY182" i="146" s="1"/>
  <c r="AZ182" i="146" s="1"/>
  <c r="AX215" i="146"/>
  <c r="AY215" i="146" s="1"/>
  <c r="AZ215" i="146" s="1"/>
  <c r="W185" i="146"/>
  <c r="X185" i="146" s="1"/>
  <c r="Y185" i="146" s="1"/>
  <c r="W156" i="146"/>
  <c r="X156" i="146" s="1"/>
  <c r="Y156" i="146" s="1"/>
  <c r="W125" i="146"/>
  <c r="X125" i="146" s="1"/>
  <c r="Y125" i="146" s="1"/>
  <c r="W103" i="146"/>
  <c r="X103" i="146" s="1"/>
  <c r="Y103" i="146" s="1"/>
  <c r="AZ53" i="146"/>
  <c r="BC48" i="146"/>
  <c r="AZ211" i="146"/>
  <c r="AX17" i="146"/>
  <c r="AY17" i="146" s="1"/>
  <c r="AZ17" i="146" s="1"/>
  <c r="W265" i="146"/>
  <c r="X265" i="146" s="1"/>
  <c r="Y265" i="146" s="1"/>
  <c r="AX213" i="146"/>
  <c r="AY213" i="146" s="1"/>
  <c r="AZ213" i="146" s="1"/>
  <c r="W164" i="146"/>
  <c r="X164" i="146" s="1"/>
  <c r="Y164" i="146" s="1"/>
  <c r="AX138" i="146"/>
  <c r="AY138" i="146" s="1"/>
  <c r="AZ138" i="146" s="1"/>
  <c r="BC150" i="146"/>
  <c r="AX61" i="146"/>
  <c r="AY61" i="146" s="1"/>
  <c r="AZ61" i="146" s="1"/>
  <c r="W44" i="146"/>
  <c r="X44" i="146" s="1"/>
  <c r="Y44" i="146" s="1"/>
  <c r="W206" i="146"/>
  <c r="X206" i="146" s="1"/>
  <c r="Y206" i="146" s="1"/>
  <c r="AX31" i="146"/>
  <c r="AY31" i="146" s="1"/>
  <c r="W210" i="146"/>
  <c r="W133" i="146"/>
  <c r="X133" i="146" s="1"/>
  <c r="Y133" i="146" s="1"/>
  <c r="AX278" i="146"/>
  <c r="AY278" i="146" s="1"/>
  <c r="AZ278" i="146" s="1"/>
  <c r="W186" i="146"/>
  <c r="X186" i="146" s="1"/>
  <c r="Y186" i="146" s="1"/>
  <c r="W30" i="146"/>
  <c r="X30" i="146" s="1"/>
  <c r="Y30" i="146" s="1"/>
  <c r="AX194" i="146"/>
  <c r="AY194" i="146" s="1"/>
  <c r="AZ194" i="146" s="1"/>
  <c r="AX112" i="146"/>
  <c r="AY112" i="146" s="1"/>
  <c r="AZ112" i="146" s="1"/>
  <c r="AX186" i="146"/>
  <c r="AY186" i="146" s="1"/>
  <c r="AZ186" i="146" s="1"/>
  <c r="W181" i="146"/>
  <c r="X181" i="146" s="1"/>
  <c r="Y181" i="146" s="1"/>
  <c r="W281" i="146"/>
  <c r="X281" i="146" s="1"/>
  <c r="Y281" i="146" s="1"/>
  <c r="W207" i="146"/>
  <c r="X207" i="146" s="1"/>
  <c r="Y207" i="146" s="1"/>
  <c r="W183" i="146"/>
  <c r="X183" i="146" s="1"/>
  <c r="Y183" i="146" s="1"/>
  <c r="W154" i="146"/>
  <c r="X154" i="146" s="1"/>
  <c r="Y154" i="146" s="1"/>
  <c r="AX260" i="146"/>
  <c r="AY260" i="146" s="1"/>
  <c r="AZ260" i="146" s="1"/>
  <c r="W66" i="146"/>
  <c r="X66" i="146" s="1"/>
  <c r="Y66" i="146" s="1"/>
  <c r="W253" i="146"/>
  <c r="X253" i="146" s="1"/>
  <c r="Y253" i="146" s="1"/>
  <c r="W219" i="146"/>
  <c r="X219" i="146" s="1"/>
  <c r="Y219" i="146" s="1"/>
  <c r="AX169" i="146"/>
  <c r="AY169" i="146" s="1"/>
  <c r="AZ169" i="146" s="1"/>
  <c r="AX136" i="146"/>
  <c r="AY136" i="146" s="1"/>
  <c r="AX133" i="146"/>
  <c r="AY133" i="146" s="1"/>
  <c r="AX126" i="146"/>
  <c r="AY126" i="146" s="1"/>
  <c r="AZ126" i="146" s="1"/>
  <c r="W33" i="146"/>
  <c r="X33" i="146" s="1"/>
  <c r="W184" i="146"/>
  <c r="X184" i="146" s="1"/>
  <c r="Y184" i="146" s="1"/>
  <c r="W180" i="146"/>
  <c r="X180" i="146" s="1"/>
  <c r="Y180" i="146" s="1"/>
  <c r="AX154" i="146"/>
  <c r="AY154" i="146" s="1"/>
  <c r="AZ154" i="146" s="1"/>
  <c r="AX134" i="146"/>
  <c r="AY134" i="146" s="1"/>
  <c r="AX120" i="146"/>
  <c r="AY120" i="146" s="1"/>
  <c r="AZ120" i="146" s="1"/>
  <c r="AX63" i="146"/>
  <c r="AY63" i="146" s="1"/>
  <c r="AZ63" i="146" s="1"/>
  <c r="AX266" i="146"/>
  <c r="AY266" i="146" s="1"/>
  <c r="AZ266" i="146" s="1"/>
  <c r="W195" i="146"/>
  <c r="X195" i="146" s="1"/>
  <c r="Y195" i="146" s="1"/>
  <c r="AX181" i="146"/>
  <c r="AY181" i="146" s="1"/>
  <c r="AZ181" i="146" s="1"/>
  <c r="W131" i="146"/>
  <c r="X131" i="146" s="1"/>
  <c r="Y131" i="146" s="1"/>
  <c r="AX111" i="146"/>
  <c r="AY111" i="146" s="1"/>
  <c r="AZ111" i="146" s="1"/>
  <c r="W45" i="146"/>
  <c r="X45" i="146" s="1"/>
  <c r="Y45" i="146" s="1"/>
  <c r="AX183" i="146"/>
  <c r="AY183" i="146" s="1"/>
  <c r="AZ183" i="146" s="1"/>
  <c r="W247" i="146"/>
  <c r="X247" i="146" s="1"/>
  <c r="Y247" i="146" s="1"/>
  <c r="AX206" i="146"/>
  <c r="AY206" i="146" s="1"/>
  <c r="W121" i="146"/>
  <c r="X121" i="146" s="1"/>
  <c r="Y121" i="146" s="1"/>
  <c r="AX30" i="146"/>
  <c r="AY30" i="146" s="1"/>
  <c r="AX211" i="146"/>
  <c r="AY211" i="146" s="1"/>
  <c r="BC30" i="146"/>
  <c r="W278" i="146"/>
  <c r="X278" i="146" s="1"/>
  <c r="Y278" i="146" s="1"/>
  <c r="AX264" i="146"/>
  <c r="AY264" i="146" s="1"/>
  <c r="AZ264" i="146" s="1"/>
  <c r="AX103" i="146"/>
  <c r="AY103" i="146" s="1"/>
  <c r="W276" i="146"/>
  <c r="X276" i="146" s="1"/>
  <c r="Y276" i="146" s="1"/>
  <c r="AX121" i="146"/>
  <c r="AY121" i="146" s="1"/>
  <c r="AZ121" i="146" s="1"/>
  <c r="AX131" i="146"/>
  <c r="AY131" i="146" s="1"/>
  <c r="AX125" i="146"/>
  <c r="AY125" i="146" s="1"/>
  <c r="W61" i="146"/>
  <c r="X61" i="146" s="1"/>
  <c r="Y61" i="146" s="1"/>
  <c r="AX48" i="146"/>
  <c r="AY48" i="146" s="1"/>
  <c r="W208" i="146"/>
  <c r="X208" i="146" s="1"/>
  <c r="Y208" i="146" s="1"/>
  <c r="AX192" i="146"/>
  <c r="AY192" i="146" s="1"/>
  <c r="AZ192" i="146" s="1"/>
  <c r="AX28" i="146"/>
  <c r="AY28" i="146" s="1"/>
  <c r="W120" i="146"/>
  <c r="X120" i="146" s="1"/>
  <c r="Y120" i="146" s="1"/>
  <c r="W87" i="146"/>
  <c r="X87" i="146" s="1"/>
  <c r="Y87" i="146" s="1"/>
  <c r="W85" i="146"/>
  <c r="X85" i="146" s="1"/>
  <c r="Y85" i="146" s="1"/>
  <c r="AX46" i="146"/>
  <c r="AY46" i="146" s="1"/>
  <c r="AX37" i="146"/>
  <c r="AY37" i="146" s="1"/>
  <c r="W266" i="146"/>
  <c r="X266" i="146" s="1"/>
  <c r="Y266" i="146" s="1"/>
  <c r="AX265" i="146"/>
  <c r="AY265" i="146" s="1"/>
  <c r="AZ265" i="146" s="1"/>
  <c r="W150" i="146"/>
  <c r="X150" i="146" s="1"/>
  <c r="Y150" i="146" s="1"/>
  <c r="W139" i="146"/>
  <c r="X139" i="146" s="1"/>
  <c r="Y139" i="146" s="1"/>
  <c r="W124" i="146"/>
  <c r="X124" i="146" s="1"/>
  <c r="Y124" i="146" s="1"/>
  <c r="AX123" i="146"/>
  <c r="AY123" i="146" s="1"/>
  <c r="AZ123" i="146" s="1"/>
  <c r="AX207" i="146"/>
  <c r="AY207" i="146" s="1"/>
  <c r="AZ207" i="146" s="1"/>
  <c r="AX185" i="146"/>
  <c r="AY185" i="146" s="1"/>
  <c r="AZ185" i="146" s="1"/>
  <c r="BC133" i="146"/>
  <c r="AZ55" i="146"/>
  <c r="AZ44" i="146"/>
  <c r="AX276" i="146"/>
  <c r="AY276" i="146" s="1"/>
  <c r="AZ276" i="146" s="1"/>
  <c r="W256" i="146"/>
  <c r="X256" i="146" s="1"/>
  <c r="Y256" i="146" s="1"/>
  <c r="W275" i="146"/>
  <c r="X275" i="146" s="1"/>
  <c r="Y275" i="146" s="1"/>
  <c r="W267" i="146"/>
  <c r="X267" i="146" s="1"/>
  <c r="Y267" i="146" s="1"/>
  <c r="W159" i="146"/>
  <c r="X159" i="146" s="1"/>
  <c r="Y159" i="146" s="1"/>
  <c r="W62" i="146"/>
  <c r="X62" i="146" s="1"/>
  <c r="Y62" i="146" s="1"/>
  <c r="W7" i="146"/>
  <c r="X7" i="146" s="1"/>
  <c r="Y7" i="146" s="1"/>
  <c r="W261" i="146"/>
  <c r="X261" i="146" s="1"/>
  <c r="Y261" i="146" s="1"/>
  <c r="AZ131" i="146"/>
  <c r="BC131" i="146"/>
  <c r="AX187" i="146"/>
  <c r="AY187" i="146" s="1"/>
  <c r="AZ187" i="146" s="1"/>
  <c r="BC183" i="146"/>
  <c r="W168" i="146"/>
  <c r="X168" i="146" s="1"/>
  <c r="Y168" i="146" s="1"/>
  <c r="AX68" i="146"/>
  <c r="AY68" i="146" s="1"/>
  <c r="BC275" i="146"/>
  <c r="W264" i="146"/>
  <c r="X264" i="146" s="1"/>
  <c r="Y264" i="146" s="1"/>
  <c r="AX261" i="146"/>
  <c r="AY261" i="146" s="1"/>
  <c r="AZ261" i="146" s="1"/>
  <c r="AX157" i="146"/>
  <c r="AY157" i="146" s="1"/>
  <c r="AZ157" i="146" s="1"/>
  <c r="AX11" i="146"/>
  <c r="AY11" i="146" s="1"/>
  <c r="AZ11" i="146" s="1"/>
  <c r="AR267" i="146"/>
  <c r="AV267" i="146" s="1"/>
  <c r="AX267" i="146" s="1"/>
  <c r="AY267" i="146" s="1"/>
  <c r="AZ267" i="146" s="1"/>
  <c r="BC134" i="146"/>
  <c r="AZ134" i="146"/>
  <c r="W280" i="146"/>
  <c r="X280" i="146" s="1"/>
  <c r="Y280" i="146" s="1"/>
  <c r="BC213" i="146"/>
  <c r="AX179" i="146"/>
  <c r="AY179" i="146" s="1"/>
  <c r="AZ179" i="146" s="1"/>
  <c r="AX166" i="146"/>
  <c r="AY166" i="146" s="1"/>
  <c r="AZ166" i="146" s="1"/>
  <c r="W116" i="146"/>
  <c r="X116" i="146" s="1"/>
  <c r="Y116" i="146" s="1"/>
  <c r="AX64" i="146"/>
  <c r="AY64" i="146" s="1"/>
  <c r="AZ64" i="146" s="1"/>
  <c r="AX279" i="146"/>
  <c r="AY279" i="146" s="1"/>
  <c r="AZ279" i="146" s="1"/>
  <c r="W277" i="146"/>
  <c r="X277" i="146" s="1"/>
  <c r="Y277" i="146" s="1"/>
  <c r="AX275" i="146"/>
  <c r="AY275" i="146" s="1"/>
  <c r="W259" i="146"/>
  <c r="X259" i="146" s="1"/>
  <c r="Y259" i="146" s="1"/>
  <c r="AX258" i="146"/>
  <c r="AY258" i="146" s="1"/>
  <c r="AZ258" i="146" s="1"/>
  <c r="AX221" i="146"/>
  <c r="AY221" i="146" s="1"/>
  <c r="AZ221" i="146" s="1"/>
  <c r="AX196" i="146"/>
  <c r="AY196" i="146" s="1"/>
  <c r="AZ196" i="146" s="1"/>
  <c r="W106" i="146"/>
  <c r="X106" i="146" s="1"/>
  <c r="Y106" i="146" s="1"/>
  <c r="AX93" i="146"/>
  <c r="AY93" i="146" s="1"/>
  <c r="AZ93" i="146" s="1"/>
  <c r="AX280" i="146"/>
  <c r="AY280" i="146" s="1"/>
  <c r="AX281" i="146"/>
  <c r="AY281" i="146" s="1"/>
  <c r="AX184" i="146"/>
  <c r="AY184" i="146" s="1"/>
  <c r="AZ184" i="146" s="1"/>
  <c r="W46" i="146"/>
  <c r="X46" i="146" s="1"/>
  <c r="Y46" i="146" s="1"/>
  <c r="AX34" i="146"/>
  <c r="AY34" i="146" s="1"/>
  <c r="AZ34" i="146" s="1"/>
  <c r="AX41" i="146"/>
  <c r="AY41" i="146" s="1"/>
  <c r="AZ41" i="146" s="1"/>
  <c r="W248" i="146"/>
  <c r="X248" i="146" s="1"/>
  <c r="Y248" i="146" s="1"/>
  <c r="AX216" i="146"/>
  <c r="AY216" i="146" s="1"/>
  <c r="AZ216" i="146" s="1"/>
  <c r="W257" i="146"/>
  <c r="X257" i="146" s="1"/>
  <c r="Y257" i="146" s="1"/>
  <c r="AX256" i="146"/>
  <c r="AY256" i="146" s="1"/>
  <c r="AZ256" i="146" s="1"/>
  <c r="W204" i="146"/>
  <c r="X204" i="146" s="1"/>
  <c r="Y204" i="146" s="1"/>
  <c r="W155" i="146"/>
  <c r="X155" i="146" s="1"/>
  <c r="Y155" i="146" s="1"/>
  <c r="BC149" i="146"/>
  <c r="W122" i="146"/>
  <c r="X122" i="146" s="1"/>
  <c r="Y122" i="146" s="1"/>
  <c r="AX97" i="146"/>
  <c r="AY97" i="146" s="1"/>
  <c r="AX85" i="146"/>
  <c r="AY85" i="146" s="1"/>
  <c r="AZ85" i="146" s="1"/>
  <c r="BC46" i="146"/>
  <c r="W36" i="146"/>
  <c r="X36" i="146" s="1"/>
  <c r="Y36" i="146" s="1"/>
  <c r="AX252" i="146"/>
  <c r="AY252" i="146" s="1"/>
  <c r="AZ252" i="146" s="1"/>
  <c r="AZ107" i="146"/>
  <c r="AX106" i="146"/>
  <c r="AY106" i="146" s="1"/>
  <c r="AX105" i="146"/>
  <c r="AY105" i="146" s="1"/>
  <c r="AZ105" i="146" s="1"/>
  <c r="AX90" i="146"/>
  <c r="AY90" i="146" s="1"/>
  <c r="AZ90" i="146" s="1"/>
  <c r="W86" i="146"/>
  <c r="X86" i="146" s="1"/>
  <c r="Y86" i="146" s="1"/>
  <c r="AX80" i="146"/>
  <c r="AY80" i="146" s="1"/>
  <c r="AZ80" i="146" s="1"/>
  <c r="AX55" i="146"/>
  <c r="AY55" i="146" s="1"/>
  <c r="BC45" i="146"/>
  <c r="W42" i="146"/>
  <c r="X42" i="146" s="1"/>
  <c r="Y42" i="146" s="1"/>
  <c r="AX38" i="146"/>
  <c r="AY38" i="146" s="1"/>
  <c r="AX35" i="146"/>
  <c r="AY35" i="146" s="1"/>
  <c r="AX88" i="146"/>
  <c r="AY88" i="146" s="1"/>
  <c r="AZ88" i="146" s="1"/>
  <c r="AX86" i="146"/>
  <c r="AY86" i="146" s="1"/>
  <c r="AZ86" i="146" s="1"/>
  <c r="W110" i="146"/>
  <c r="X110" i="146" s="1"/>
  <c r="Y110" i="146" s="1"/>
  <c r="W28" i="146"/>
  <c r="X28" i="146" s="1"/>
  <c r="Y28" i="146" s="1"/>
  <c r="W211" i="146"/>
  <c r="X211" i="146" s="1"/>
  <c r="Y211" i="146" s="1"/>
  <c r="AX195" i="146"/>
  <c r="AY195" i="146" s="1"/>
  <c r="AZ195" i="146" s="1"/>
  <c r="W123" i="146"/>
  <c r="X123" i="146" s="1"/>
  <c r="Y123" i="146" s="1"/>
  <c r="W104" i="146"/>
  <c r="X104" i="146" s="1"/>
  <c r="Y104" i="146" s="1"/>
  <c r="AX83" i="146"/>
  <c r="AY83" i="146" s="1"/>
  <c r="AZ83" i="146" s="1"/>
  <c r="AX45" i="146"/>
  <c r="AY45" i="146" s="1"/>
  <c r="W43" i="146"/>
  <c r="X43" i="146" s="1"/>
  <c r="Y43" i="146" s="1"/>
  <c r="W32" i="146"/>
  <c r="X32" i="146" s="1"/>
  <c r="Y32" i="146" s="1"/>
  <c r="W260" i="146"/>
  <c r="X260" i="146" s="1"/>
  <c r="Y260" i="146" s="1"/>
  <c r="AX257" i="146"/>
  <c r="AY257" i="146" s="1"/>
  <c r="AZ257" i="146" s="1"/>
  <c r="BC120" i="146"/>
  <c r="AX81" i="146"/>
  <c r="AY81" i="146" s="1"/>
  <c r="AZ81" i="146" s="1"/>
  <c r="W68" i="146"/>
  <c r="X68" i="146" s="1"/>
  <c r="Y68" i="146" s="1"/>
  <c r="W64" i="146"/>
  <c r="X64" i="146" s="1"/>
  <c r="Y64" i="146" s="1"/>
  <c r="AX62" i="146"/>
  <c r="AY62" i="146" s="1"/>
  <c r="AZ62" i="146" s="1"/>
  <c r="AX47" i="146"/>
  <c r="AY47" i="146" s="1"/>
  <c r="W37" i="146"/>
  <c r="X37" i="146" s="1"/>
  <c r="Y37" i="146" s="1"/>
  <c r="AX36" i="146"/>
  <c r="AY36" i="146" s="1"/>
  <c r="AX210" i="146"/>
  <c r="AY210" i="146" s="1"/>
  <c r="AZ210" i="146" s="1"/>
  <c r="W194" i="146"/>
  <c r="X194" i="146" s="1"/>
  <c r="Y194" i="146" s="1"/>
  <c r="AX155" i="146"/>
  <c r="AY155" i="146" s="1"/>
  <c r="AZ155" i="146" s="1"/>
  <c r="BC152" i="146"/>
  <c r="AX116" i="146"/>
  <c r="AY116" i="146" s="1"/>
  <c r="W111" i="146"/>
  <c r="X111" i="146" s="1"/>
  <c r="Y111" i="146" s="1"/>
  <c r="W82" i="146"/>
  <c r="X82" i="146" s="1"/>
  <c r="Y82" i="146" s="1"/>
  <c r="AX42" i="146"/>
  <c r="AY42" i="146" s="1"/>
  <c r="AZ42" i="146" s="1"/>
  <c r="AX7" i="146"/>
  <c r="AY7" i="146" s="1"/>
  <c r="AZ7" i="146" s="1"/>
  <c r="W258" i="146"/>
  <c r="X258" i="146" s="1"/>
  <c r="Y258" i="146" s="1"/>
  <c r="AX193" i="146"/>
  <c r="AY193" i="146" s="1"/>
  <c r="AZ193" i="146" s="1"/>
  <c r="BC68" i="146"/>
  <c r="BC35" i="146"/>
  <c r="W11" i="146"/>
  <c r="X11" i="146" s="1"/>
  <c r="Y11" i="146" s="1"/>
  <c r="W252" i="146"/>
  <c r="X252" i="146" s="1"/>
  <c r="Y252" i="146" s="1"/>
  <c r="AX251" i="146"/>
  <c r="AY251" i="146" s="1"/>
  <c r="AZ251" i="146" s="1"/>
  <c r="W246" i="146"/>
  <c r="X246" i="146" s="1"/>
  <c r="Y246" i="146" s="1"/>
  <c r="W220" i="146"/>
  <c r="X220" i="146" s="1"/>
  <c r="Y220" i="146" s="1"/>
  <c r="AX208" i="146"/>
  <c r="AY208" i="146" s="1"/>
  <c r="AZ208" i="146" s="1"/>
  <c r="AX172" i="146"/>
  <c r="AY172" i="146" s="1"/>
  <c r="W108" i="146"/>
  <c r="X108" i="146" s="1"/>
  <c r="Y108" i="146" s="1"/>
  <c r="AX87" i="146"/>
  <c r="AY87" i="146" s="1"/>
  <c r="AZ87" i="146" s="1"/>
  <c r="AX65" i="146"/>
  <c r="AY65" i="146" s="1"/>
  <c r="AZ65" i="146" s="1"/>
  <c r="AX56" i="146"/>
  <c r="AY56" i="146" s="1"/>
  <c r="W29" i="146"/>
  <c r="X29" i="146" s="1"/>
  <c r="Y29" i="146" s="1"/>
  <c r="W221" i="146"/>
  <c r="X221" i="146" s="1"/>
  <c r="Y221" i="146" s="1"/>
  <c r="W179" i="146"/>
  <c r="X179" i="146" s="1"/>
  <c r="Y179" i="146" s="1"/>
  <c r="W158" i="146"/>
  <c r="X158" i="146" s="1"/>
  <c r="Y158" i="146" s="1"/>
  <c r="AX139" i="146"/>
  <c r="AY139" i="146" s="1"/>
  <c r="AZ139" i="146" s="1"/>
  <c r="BC106" i="146"/>
  <c r="W105" i="146"/>
  <c r="X105" i="146" s="1"/>
  <c r="Y105" i="146" s="1"/>
  <c r="AX92" i="146"/>
  <c r="AY92" i="146" s="1"/>
  <c r="AZ92" i="146" s="1"/>
  <c r="AX60" i="146"/>
  <c r="AY60" i="146" s="1"/>
  <c r="AZ60" i="146" s="1"/>
  <c r="AX53" i="146"/>
  <c r="AY53" i="146" s="1"/>
  <c r="AX43" i="146"/>
  <c r="AY43" i="146" s="1"/>
  <c r="AZ43" i="146" s="1"/>
  <c r="AX32" i="146"/>
  <c r="AY32" i="146" s="1"/>
  <c r="W279" i="146"/>
  <c r="X279" i="146" s="1"/>
  <c r="Y279" i="146" s="1"/>
  <c r="AX277" i="146"/>
  <c r="AY277" i="146" s="1"/>
  <c r="AZ277" i="146" s="1"/>
  <c r="AX263" i="146"/>
  <c r="AY263" i="146" s="1"/>
  <c r="AZ263" i="146" s="1"/>
  <c r="BC157" i="146"/>
  <c r="BC205" i="146"/>
  <c r="BC193" i="146"/>
  <c r="BC256" i="146"/>
  <c r="AX219" i="146"/>
  <c r="AY219" i="146" s="1"/>
  <c r="AZ219" i="146" s="1"/>
  <c r="BT267" i="146"/>
  <c r="BC258" i="146"/>
  <c r="BC252" i="146"/>
  <c r="BC161" i="146"/>
  <c r="BC215" i="146"/>
  <c r="BC267" i="146"/>
  <c r="AX259" i="146"/>
  <c r="AY259" i="146" s="1"/>
  <c r="AZ259" i="146" s="1"/>
  <c r="AZ206" i="146"/>
  <c r="BC206" i="146"/>
  <c r="AZ281" i="146"/>
  <c r="BC261" i="146"/>
  <c r="AX220" i="146"/>
  <c r="AY220" i="146" s="1"/>
  <c r="AZ220" i="146" s="1"/>
  <c r="BC204" i="146"/>
  <c r="BC166" i="146"/>
  <c r="AX204" i="146"/>
  <c r="AY204" i="146" s="1"/>
  <c r="AZ204" i="146" s="1"/>
  <c r="BC192" i="146"/>
  <c r="AX205" i="146"/>
  <c r="AY205" i="146" s="1"/>
  <c r="AZ205" i="146" s="1"/>
  <c r="AX203" i="146"/>
  <c r="AY203" i="146" s="1"/>
  <c r="AZ203" i="146" s="1"/>
  <c r="BC203" i="146"/>
  <c r="W202" i="146"/>
  <c r="X202" i="146" s="1"/>
  <c r="Y202" i="146" s="1"/>
  <c r="BC181" i="146"/>
  <c r="AX165" i="146"/>
  <c r="AY165" i="146" s="1"/>
  <c r="AZ165" i="146" s="1"/>
  <c r="AX160" i="146"/>
  <c r="AY160" i="146" s="1"/>
  <c r="AZ160" i="146" s="1"/>
  <c r="W153" i="146"/>
  <c r="X153" i="146" s="1"/>
  <c r="Y153" i="146" s="1"/>
  <c r="W138" i="146"/>
  <c r="X138" i="146" s="1"/>
  <c r="Y138" i="146" s="1"/>
  <c r="W213" i="146"/>
  <c r="X213" i="146" s="1"/>
  <c r="Y213" i="146" s="1"/>
  <c r="W188" i="146"/>
  <c r="X188" i="146" s="1"/>
  <c r="Y188" i="146" s="1"/>
  <c r="W167" i="146"/>
  <c r="X167" i="146" s="1"/>
  <c r="Y167" i="146" s="1"/>
  <c r="W163" i="146"/>
  <c r="X163" i="146" s="1"/>
  <c r="Y163" i="146" s="1"/>
  <c r="AX150" i="146"/>
  <c r="AY150" i="146" s="1"/>
  <c r="AX202" i="146"/>
  <c r="AY202" i="146" s="1"/>
  <c r="AZ202" i="146" s="1"/>
  <c r="BC184" i="146"/>
  <c r="BC110" i="146"/>
  <c r="BT259" i="146"/>
  <c r="W196" i="146"/>
  <c r="X196" i="146" s="1"/>
  <c r="Y196" i="146" s="1"/>
  <c r="BC151" i="146"/>
  <c r="BC221" i="146"/>
  <c r="BC188" i="146"/>
  <c r="W172" i="146"/>
  <c r="X172" i="146" s="1"/>
  <c r="Y172" i="146" s="1"/>
  <c r="AX167" i="146"/>
  <c r="AY167" i="146" s="1"/>
  <c r="AZ167" i="146" s="1"/>
  <c r="AX163" i="146"/>
  <c r="AY163" i="146" s="1"/>
  <c r="AZ163" i="146" s="1"/>
  <c r="AX158" i="146"/>
  <c r="AY158" i="146" s="1"/>
  <c r="AZ158" i="146" s="1"/>
  <c r="BR259" i="146"/>
  <c r="W201" i="146"/>
  <c r="X201" i="146" s="1"/>
  <c r="Y201" i="146" s="1"/>
  <c r="W193" i="146"/>
  <c r="X193" i="146" s="1"/>
  <c r="Y193" i="146" s="1"/>
  <c r="W192" i="146"/>
  <c r="X192" i="146" s="1"/>
  <c r="Y192" i="146" s="1"/>
  <c r="W187" i="146"/>
  <c r="X187" i="146" s="1"/>
  <c r="Y187" i="146" s="1"/>
  <c r="AZ172" i="146"/>
  <c r="BC172" i="146"/>
  <c r="BC168" i="146"/>
  <c r="BC164" i="146"/>
  <c r="BC159" i="146"/>
  <c r="AX140" i="146"/>
  <c r="AY140" i="146" s="1"/>
  <c r="AZ140" i="146" s="1"/>
  <c r="W132" i="146"/>
  <c r="X132" i="146" s="1"/>
  <c r="Y132" i="146" s="1"/>
  <c r="W203" i="146"/>
  <c r="X203" i="146" s="1"/>
  <c r="Y203" i="146" s="1"/>
  <c r="AX188" i="146"/>
  <c r="AY188" i="146" s="1"/>
  <c r="AZ188" i="146" s="1"/>
  <c r="BC187" i="146"/>
  <c r="BC165" i="146"/>
  <c r="W165" i="146"/>
  <c r="X165" i="146" s="1"/>
  <c r="Y165" i="146" s="1"/>
  <c r="BC160" i="146"/>
  <c r="W160" i="146"/>
  <c r="X160" i="146" s="1"/>
  <c r="Y160" i="146" s="1"/>
  <c r="AX156" i="146"/>
  <c r="AY156" i="146" s="1"/>
  <c r="AZ156" i="146" s="1"/>
  <c r="BC220" i="146"/>
  <c r="W205" i="146"/>
  <c r="X205" i="146" s="1"/>
  <c r="Y205" i="146" s="1"/>
  <c r="AX168" i="146"/>
  <c r="AY168" i="146" s="1"/>
  <c r="AZ168" i="146" s="1"/>
  <c r="W166" i="146"/>
  <c r="X166" i="146" s="1"/>
  <c r="Y166" i="146" s="1"/>
  <c r="AX164" i="146"/>
  <c r="AY164" i="146" s="1"/>
  <c r="AZ164" i="146" s="1"/>
  <c r="W161" i="146"/>
  <c r="X161" i="146" s="1"/>
  <c r="Y161" i="146" s="1"/>
  <c r="AX159" i="146"/>
  <c r="AY159" i="146" s="1"/>
  <c r="AZ159" i="146" s="1"/>
  <c r="W157" i="146"/>
  <c r="X157" i="146" s="1"/>
  <c r="Y157" i="146" s="1"/>
  <c r="AZ135" i="146"/>
  <c r="BC135" i="146"/>
  <c r="BC126" i="146"/>
  <c r="AX108" i="146"/>
  <c r="AY108" i="146" s="1"/>
  <c r="AZ108" i="146" s="1"/>
  <c r="W151" i="146"/>
  <c r="X151" i="146" s="1"/>
  <c r="Y151" i="146" s="1"/>
  <c r="AX122" i="146"/>
  <c r="W112" i="146"/>
  <c r="X112" i="146" s="1"/>
  <c r="Y112" i="146" s="1"/>
  <c r="AX110" i="146"/>
  <c r="AY110" i="146" s="1"/>
  <c r="AZ110" i="146" s="1"/>
  <c r="W152" i="146"/>
  <c r="X152" i="146" s="1"/>
  <c r="Y152" i="146" s="1"/>
  <c r="AZ103" i="146"/>
  <c r="BC103" i="146"/>
  <c r="W63" i="146"/>
  <c r="X63" i="146" s="1"/>
  <c r="Y63" i="146" s="1"/>
  <c r="W118" i="146"/>
  <c r="X118" i="146" s="1"/>
  <c r="Y118" i="146" s="1"/>
  <c r="W107" i="146"/>
  <c r="X107" i="146" s="1"/>
  <c r="Y107" i="146" s="1"/>
  <c r="AX152" i="146"/>
  <c r="AY152" i="146" s="1"/>
  <c r="AX151" i="146"/>
  <c r="AY151" i="146" s="1"/>
  <c r="AZ116" i="146"/>
  <c r="BC116" i="146"/>
  <c r="W17" i="146"/>
  <c r="X17" i="146" s="1"/>
  <c r="Y17" i="146" s="1"/>
  <c r="BC108" i="146"/>
  <c r="W149" i="146"/>
  <c r="X149" i="146" s="1"/>
  <c r="Y149" i="146" s="1"/>
  <c r="AX135" i="146"/>
  <c r="AY135" i="146" s="1"/>
  <c r="AX132" i="146"/>
  <c r="AY132" i="146" s="1"/>
  <c r="W126" i="146"/>
  <c r="X126" i="146" s="1"/>
  <c r="Y126" i="146" s="1"/>
  <c r="BC104" i="146"/>
  <c r="AZ104" i="146"/>
  <c r="BC156" i="146"/>
  <c r="AX104" i="146"/>
  <c r="AY104" i="146" s="1"/>
  <c r="AX149" i="146"/>
  <c r="AY149" i="146" s="1"/>
  <c r="AX124" i="146"/>
  <c r="AY124" i="146" s="1"/>
  <c r="AZ124" i="146" s="1"/>
  <c r="AX118" i="146"/>
  <c r="AY118" i="146" s="1"/>
  <c r="AZ118" i="146" s="1"/>
  <c r="AZ33" i="146"/>
  <c r="BC33" i="146"/>
  <c r="AX29" i="146"/>
  <c r="AY29" i="146" s="1"/>
  <c r="W47" i="146"/>
  <c r="X47" i="146" s="1"/>
  <c r="Y47" i="146" s="1"/>
  <c r="W80" i="146"/>
  <c r="X80" i="146" s="1"/>
  <c r="Y80" i="146" s="1"/>
  <c r="AX67" i="146"/>
  <c r="AY67" i="146" s="1"/>
  <c r="AZ67" i="146" s="1"/>
  <c r="AX66" i="146"/>
  <c r="AY66" i="146" s="1"/>
  <c r="AZ66" i="146" s="1"/>
  <c r="BC37" i="146"/>
  <c r="W88" i="146"/>
  <c r="X88" i="146" s="1"/>
  <c r="Y88" i="146" s="1"/>
  <c r="BC132" i="146"/>
  <c r="W89" i="146"/>
  <c r="X89" i="146" s="1"/>
  <c r="Y89" i="146" s="1"/>
  <c r="AX59" i="146"/>
  <c r="AY59" i="146" s="1"/>
  <c r="AZ59" i="146" s="1"/>
  <c r="AX40" i="146"/>
  <c r="BC123" i="146"/>
  <c r="BC121" i="146"/>
  <c r="AX39" i="146"/>
  <c r="AY39" i="146" s="1"/>
  <c r="AZ39" i="146" s="1"/>
  <c r="W38" i="146"/>
  <c r="X38" i="146" s="1"/>
  <c r="Y38" i="146" s="1"/>
  <c r="BC125" i="146"/>
  <c r="W90" i="146"/>
  <c r="X90" i="146" s="1"/>
  <c r="Y90" i="146" s="1"/>
  <c r="W81" i="146"/>
  <c r="X81" i="146" s="1"/>
  <c r="Y81" i="146" s="1"/>
  <c r="W31" i="146"/>
  <c r="X31" i="146" s="1"/>
  <c r="Y31" i="146" s="1"/>
  <c r="AX94" i="146"/>
  <c r="AY94" i="146" s="1"/>
  <c r="AZ94" i="146" s="1"/>
  <c r="AX89" i="146"/>
  <c r="AY89" i="146" s="1"/>
  <c r="AZ89" i="146" s="1"/>
  <c r="BC56" i="146"/>
  <c r="BC32" i="146"/>
  <c r="BC17" i="146"/>
  <c r="BC7" i="146"/>
  <c r="D20" i="33" a="1"/>
  <c r="H11" i="33"/>
  <c r="H10" i="33"/>
  <c r="X210" i="146" l="1"/>
  <c r="Y210" i="146" s="1"/>
  <c r="T7" i="128"/>
  <c r="T10" i="128"/>
  <c r="U7" i="128"/>
  <c r="Q7" i="128"/>
  <c r="R37" i="128"/>
  <c r="S23" i="128"/>
  <c r="U23" i="128"/>
  <c r="Q23" i="128"/>
  <c r="U8" i="128"/>
  <c r="R38" i="128"/>
  <c r="U10" i="128"/>
  <c r="T38" i="128"/>
  <c r="Q10" i="128"/>
  <c r="R25" i="128"/>
  <c r="U22" i="128"/>
  <c r="T8" i="128"/>
  <c r="S10" i="128"/>
  <c r="T22" i="128"/>
  <c r="Q8" i="128"/>
  <c r="T36" i="128"/>
  <c r="R36" i="128"/>
  <c r="S8" i="128"/>
  <c r="R10" i="128"/>
  <c r="Q35" i="128"/>
  <c r="Q37" i="128"/>
  <c r="R35" i="128"/>
  <c r="Z36" i="128"/>
  <c r="T37" i="128"/>
  <c r="T35" i="128"/>
  <c r="S7" i="128"/>
  <c r="U25" i="128"/>
  <c r="S25" i="128"/>
  <c r="R8" i="128"/>
  <c r="Q38" i="128"/>
  <c r="Q36" i="128"/>
  <c r="U24" i="128"/>
  <c r="T24" i="128"/>
  <c r="S38" i="128"/>
  <c r="S36" i="128"/>
  <c r="S24" i="128"/>
  <c r="Q24" i="128"/>
  <c r="U38" i="128"/>
  <c r="R23" i="128"/>
  <c r="S22" i="128"/>
  <c r="S35" i="128"/>
  <c r="R24" i="128"/>
  <c r="T25" i="128"/>
  <c r="U36" i="128"/>
  <c r="T23" i="128"/>
  <c r="U37" i="128"/>
  <c r="U35" i="128"/>
  <c r="R7" i="128"/>
  <c r="S37" i="128"/>
  <c r="Q25" i="128"/>
  <c r="R22" i="128"/>
  <c r="AD29" i="128"/>
  <c r="AD36" i="128"/>
  <c r="S9" i="128"/>
  <c r="Q9" i="128"/>
  <c r="R9" i="128"/>
  <c r="U9" i="128"/>
  <c r="AB36" i="128"/>
  <c r="T9" i="128"/>
  <c r="AC36" i="128"/>
  <c r="AA36" i="128"/>
  <c r="AY122" i="146"/>
  <c r="AZ122" i="146" s="1"/>
  <c r="AZ248" i="146"/>
  <c r="BS242" i="146"/>
  <c r="AX82" i="146"/>
  <c r="S11" i="128" s="1"/>
  <c r="D20" i="33"/>
  <c r="AY40" i="146"/>
  <c r="AZ40" i="146" s="1"/>
  <c r="BC4" i="146"/>
  <c r="H4" i="33" a="1"/>
  <c r="U40" i="128" l="1"/>
  <c r="U29" i="128"/>
  <c r="U11" i="128"/>
  <c r="AY82" i="146"/>
  <c r="AZ82" i="146" s="1"/>
  <c r="R11" i="128"/>
  <c r="T11" i="128"/>
  <c r="Q11" i="128"/>
  <c r="AD40" i="128"/>
  <c r="H4" i="33"/>
  <c r="BP4" i="146"/>
  <c r="H625" i="139"/>
  <c r="H624" i="139"/>
  <c r="G624" i="139"/>
  <c r="H623" i="139"/>
  <c r="G623" i="139"/>
  <c r="H622" i="139"/>
  <c r="G622" i="139"/>
  <c r="H621" i="139"/>
  <c r="G621" i="139"/>
  <c r="H620" i="139"/>
  <c r="G620" i="139"/>
  <c r="H619" i="139"/>
  <c r="G619" i="139"/>
  <c r="H618" i="139"/>
  <c r="G618" i="139"/>
  <c r="H617" i="139"/>
  <c r="G617" i="139"/>
  <c r="H616" i="139"/>
  <c r="G616" i="139"/>
  <c r="H615" i="139"/>
  <c r="G615" i="139"/>
  <c r="H614" i="139"/>
  <c r="G614" i="139"/>
  <c r="H613" i="139"/>
  <c r="G613" i="139"/>
  <c r="H612" i="139"/>
  <c r="G612" i="139"/>
  <c r="H611" i="139"/>
  <c r="G611" i="139"/>
  <c r="H610" i="139"/>
  <c r="G610" i="139"/>
  <c r="H609" i="139"/>
  <c r="G609" i="139"/>
  <c r="H608" i="139"/>
  <c r="G608" i="139"/>
  <c r="H607" i="139"/>
  <c r="G607" i="139"/>
  <c r="H606" i="139"/>
  <c r="G606" i="139"/>
  <c r="H605" i="139"/>
  <c r="G605" i="139"/>
  <c r="H604" i="139"/>
  <c r="G604" i="139"/>
  <c r="H603" i="139"/>
  <c r="G603" i="139"/>
  <c r="H602" i="139"/>
  <c r="G602" i="139"/>
  <c r="H601" i="139"/>
  <c r="G601" i="139"/>
  <c r="H600" i="139"/>
  <c r="G600" i="139"/>
  <c r="H599" i="139"/>
  <c r="G599" i="139"/>
  <c r="H598" i="139"/>
  <c r="G598" i="139"/>
  <c r="H597" i="139"/>
  <c r="G597" i="139"/>
  <c r="H596" i="139"/>
  <c r="G596" i="139"/>
  <c r="H595" i="139"/>
  <c r="G595" i="139"/>
  <c r="H594" i="139"/>
  <c r="G594" i="139"/>
  <c r="H593" i="139"/>
  <c r="G593" i="139"/>
  <c r="H592" i="139"/>
  <c r="G592" i="139"/>
  <c r="H591" i="139"/>
  <c r="G591" i="139"/>
  <c r="H590" i="139"/>
  <c r="G590" i="139"/>
  <c r="H589" i="139"/>
  <c r="G589" i="139"/>
  <c r="H588" i="139"/>
  <c r="G588" i="139"/>
  <c r="H587" i="139"/>
  <c r="G587" i="139"/>
  <c r="H586" i="139"/>
  <c r="G586" i="139"/>
  <c r="H585" i="139"/>
  <c r="G585" i="139"/>
  <c r="H584" i="139"/>
  <c r="G584" i="139"/>
  <c r="H583" i="139"/>
  <c r="G583" i="139"/>
  <c r="H582" i="139"/>
  <c r="G582" i="139"/>
  <c r="H581" i="139"/>
  <c r="G581" i="139"/>
  <c r="H580" i="139"/>
  <c r="G580" i="139"/>
  <c r="H579" i="139"/>
  <c r="G579" i="139"/>
  <c r="H578" i="139"/>
  <c r="G578" i="139"/>
  <c r="H577" i="139"/>
  <c r="G577" i="139"/>
  <c r="H576" i="139"/>
  <c r="G576" i="139"/>
  <c r="H575" i="139"/>
  <c r="G575" i="139"/>
  <c r="H574" i="139"/>
  <c r="G574" i="139"/>
  <c r="H573" i="139"/>
  <c r="G573" i="139"/>
  <c r="H572" i="139"/>
  <c r="G572" i="139"/>
  <c r="H571" i="139"/>
  <c r="G571" i="139"/>
  <c r="H570" i="139"/>
  <c r="G570" i="139"/>
  <c r="H569" i="139"/>
  <c r="G569" i="139"/>
  <c r="H568" i="139"/>
  <c r="G568" i="139"/>
  <c r="H567" i="139"/>
  <c r="G567" i="139"/>
  <c r="H566" i="139"/>
  <c r="G566" i="139"/>
  <c r="H565" i="139"/>
  <c r="G565" i="139"/>
  <c r="H564" i="139"/>
  <c r="G564" i="139"/>
  <c r="H563" i="139"/>
  <c r="G563" i="139"/>
  <c r="H562" i="139"/>
  <c r="G562" i="139"/>
  <c r="H561" i="139"/>
  <c r="G561" i="139"/>
  <c r="H560" i="139"/>
  <c r="G560" i="139"/>
  <c r="H559" i="139"/>
  <c r="G559" i="139"/>
  <c r="H558" i="139"/>
  <c r="G558" i="139"/>
  <c r="H557" i="139"/>
  <c r="G557" i="139"/>
  <c r="H556" i="139"/>
  <c r="G556" i="139"/>
  <c r="H555" i="139"/>
  <c r="G555" i="139"/>
  <c r="H554" i="139"/>
  <c r="G554" i="139"/>
  <c r="H553" i="139"/>
  <c r="G553" i="139"/>
  <c r="H552" i="139"/>
  <c r="G552" i="139"/>
  <c r="H551" i="139"/>
  <c r="G551" i="139"/>
  <c r="H550" i="139"/>
  <c r="G550" i="139"/>
  <c r="H549" i="139"/>
  <c r="G549" i="139"/>
  <c r="H548" i="139"/>
  <c r="G548" i="139"/>
  <c r="H547" i="139"/>
  <c r="G547" i="139"/>
  <c r="H546" i="139"/>
  <c r="G546" i="139"/>
  <c r="H545" i="139"/>
  <c r="G545" i="139"/>
  <c r="H544" i="139"/>
  <c r="G544" i="139"/>
  <c r="H543" i="139"/>
  <c r="G543" i="139"/>
  <c r="H542" i="139"/>
  <c r="G542" i="139"/>
  <c r="H541" i="139"/>
  <c r="G541" i="139"/>
  <c r="H540" i="139"/>
  <c r="G540" i="139"/>
  <c r="H539" i="139"/>
  <c r="G539" i="139"/>
  <c r="H538" i="139"/>
  <c r="G538" i="139"/>
  <c r="H537" i="139"/>
  <c r="G537" i="139"/>
  <c r="H536" i="139"/>
  <c r="G536" i="139"/>
  <c r="H535" i="139"/>
  <c r="G535" i="139"/>
  <c r="H534" i="139"/>
  <c r="G534" i="139"/>
  <c r="H533" i="139"/>
  <c r="G533" i="139"/>
  <c r="H532" i="139"/>
  <c r="G532" i="139"/>
  <c r="H531" i="139"/>
  <c r="G531" i="139"/>
  <c r="H530" i="139"/>
  <c r="G530" i="139"/>
  <c r="H529" i="139"/>
  <c r="G529" i="139"/>
  <c r="H528" i="139"/>
  <c r="G528" i="139"/>
  <c r="H527" i="139"/>
  <c r="G527" i="139"/>
  <c r="H526" i="139"/>
  <c r="G526" i="139"/>
  <c r="H525" i="139"/>
  <c r="G525" i="139"/>
  <c r="H524" i="139"/>
  <c r="G524" i="139"/>
  <c r="H523" i="139"/>
  <c r="G523" i="139"/>
  <c r="H522" i="139"/>
  <c r="G522" i="139"/>
  <c r="H521" i="139"/>
  <c r="G521" i="139"/>
  <c r="H520" i="139"/>
  <c r="G520" i="139"/>
  <c r="H519" i="139"/>
  <c r="G519" i="139"/>
  <c r="H518" i="139"/>
  <c r="G518" i="139"/>
  <c r="H517" i="139"/>
  <c r="G517" i="139"/>
  <c r="H516" i="139"/>
  <c r="G516" i="139"/>
  <c r="H515" i="139"/>
  <c r="G515" i="139"/>
  <c r="H514" i="139"/>
  <c r="G514" i="139"/>
  <c r="H513" i="139"/>
  <c r="G513" i="139"/>
  <c r="H512" i="139"/>
  <c r="G512" i="139"/>
  <c r="H511" i="139"/>
  <c r="G511" i="139"/>
  <c r="H510" i="139"/>
  <c r="G510" i="139"/>
  <c r="H509" i="139"/>
  <c r="G509" i="139"/>
  <c r="H508" i="139"/>
  <c r="G508" i="139"/>
  <c r="H507" i="139"/>
  <c r="G507" i="139"/>
  <c r="H506" i="139"/>
  <c r="G506" i="139"/>
  <c r="H505" i="139"/>
  <c r="G505" i="139"/>
  <c r="H504" i="139"/>
  <c r="G504" i="139"/>
  <c r="H503" i="139"/>
  <c r="G503" i="139"/>
  <c r="H502" i="139"/>
  <c r="G502" i="139"/>
  <c r="H501" i="139"/>
  <c r="G501" i="139"/>
  <c r="H500" i="139"/>
  <c r="G500" i="139"/>
  <c r="H499" i="139"/>
  <c r="G499" i="139"/>
  <c r="H498" i="139"/>
  <c r="G498" i="139"/>
  <c r="H497" i="139"/>
  <c r="G497" i="139"/>
  <c r="H496" i="139"/>
  <c r="G496" i="139"/>
  <c r="H495" i="139"/>
  <c r="G495" i="139"/>
  <c r="H494" i="139"/>
  <c r="G494" i="139"/>
  <c r="H493" i="139"/>
  <c r="G493" i="139"/>
  <c r="H492" i="139"/>
  <c r="G492" i="139"/>
  <c r="H491" i="139"/>
  <c r="G491" i="139"/>
  <c r="H490" i="139"/>
  <c r="G490" i="139"/>
  <c r="H489" i="139"/>
  <c r="G489" i="139"/>
  <c r="H488" i="139"/>
  <c r="G488" i="139"/>
  <c r="H487" i="139"/>
  <c r="G487" i="139"/>
  <c r="H486" i="139"/>
  <c r="G486" i="139"/>
  <c r="H485" i="139"/>
  <c r="G485" i="139"/>
  <c r="H484" i="139"/>
  <c r="G484" i="139"/>
  <c r="H483" i="139"/>
  <c r="G483" i="139"/>
  <c r="H482" i="139"/>
  <c r="G482" i="139"/>
  <c r="H481" i="139"/>
  <c r="G481" i="139"/>
  <c r="H480" i="139"/>
  <c r="G480" i="139"/>
  <c r="H479" i="139"/>
  <c r="G479" i="139"/>
  <c r="H478" i="139"/>
  <c r="G478" i="139"/>
  <c r="H477" i="139"/>
  <c r="G477" i="139"/>
  <c r="H476" i="139"/>
  <c r="G476" i="139"/>
  <c r="H475" i="139"/>
  <c r="G475" i="139"/>
  <c r="H474" i="139"/>
  <c r="G474" i="139"/>
  <c r="H473" i="139"/>
  <c r="G473" i="139"/>
  <c r="H472" i="139"/>
  <c r="G472" i="139"/>
  <c r="H471" i="139"/>
  <c r="G471" i="139"/>
  <c r="H470" i="139"/>
  <c r="G470" i="139"/>
  <c r="H469" i="139"/>
  <c r="G469" i="139"/>
  <c r="H468" i="139"/>
  <c r="G468" i="139"/>
  <c r="H467" i="139"/>
  <c r="G467" i="139"/>
  <c r="H466" i="139"/>
  <c r="G466" i="139"/>
  <c r="H465" i="139"/>
  <c r="G465" i="139"/>
  <c r="H464" i="139"/>
  <c r="G464" i="139"/>
  <c r="H463" i="139"/>
  <c r="G463" i="139"/>
  <c r="H462" i="139"/>
  <c r="G462" i="139"/>
  <c r="H461" i="139"/>
  <c r="G461" i="139"/>
  <c r="H460" i="139"/>
  <c r="G460" i="139"/>
  <c r="H459" i="139"/>
  <c r="G459" i="139"/>
  <c r="H458" i="139"/>
  <c r="G458" i="139"/>
  <c r="H457" i="139"/>
  <c r="G457" i="139"/>
  <c r="H456" i="139"/>
  <c r="G456" i="139"/>
  <c r="H455" i="139"/>
  <c r="G455" i="139"/>
  <c r="H454" i="139"/>
  <c r="G454" i="139"/>
  <c r="H453" i="139"/>
  <c r="G453" i="139"/>
  <c r="H452" i="139"/>
  <c r="G452" i="139"/>
  <c r="H451" i="139"/>
  <c r="G451" i="139"/>
  <c r="H450" i="139"/>
  <c r="G450" i="139"/>
  <c r="H449" i="139"/>
  <c r="G449" i="139"/>
  <c r="H448" i="139"/>
  <c r="G448" i="139"/>
  <c r="H447" i="139"/>
  <c r="G447" i="139"/>
  <c r="H446" i="139"/>
  <c r="G446" i="139"/>
  <c r="H445" i="139"/>
  <c r="G445" i="139"/>
  <c r="H444" i="139"/>
  <c r="G444" i="139"/>
  <c r="H443" i="139"/>
  <c r="G443" i="139"/>
  <c r="H442" i="139"/>
  <c r="G442" i="139"/>
  <c r="H441" i="139"/>
  <c r="G441" i="139"/>
  <c r="H440" i="139"/>
  <c r="G440" i="139"/>
  <c r="H439" i="139"/>
  <c r="G439" i="139"/>
  <c r="H438" i="139"/>
  <c r="G438" i="139"/>
  <c r="H437" i="139"/>
  <c r="G437" i="139"/>
  <c r="H436" i="139"/>
  <c r="G436" i="139"/>
  <c r="H435" i="139"/>
  <c r="G435" i="139"/>
  <c r="H434" i="139"/>
  <c r="G434" i="139"/>
  <c r="H433" i="139"/>
  <c r="G433" i="139"/>
  <c r="H432" i="139"/>
  <c r="G432" i="139"/>
  <c r="H431" i="139"/>
  <c r="G431" i="139"/>
  <c r="H430" i="139"/>
  <c r="G430" i="139"/>
  <c r="H429" i="139"/>
  <c r="G429" i="139"/>
  <c r="H428" i="139"/>
  <c r="G428" i="139"/>
  <c r="H427" i="139"/>
  <c r="G427" i="139"/>
  <c r="H426" i="139"/>
  <c r="G426" i="139"/>
  <c r="H425" i="139"/>
  <c r="G425" i="139"/>
  <c r="H424" i="139"/>
  <c r="G424" i="139"/>
  <c r="H423" i="139"/>
  <c r="G423" i="139"/>
  <c r="H422" i="139"/>
  <c r="G422" i="139"/>
  <c r="H421" i="139"/>
  <c r="G421" i="139"/>
  <c r="H420" i="139"/>
  <c r="G420" i="139"/>
  <c r="H419" i="139"/>
  <c r="G419" i="139"/>
  <c r="H418" i="139"/>
  <c r="G418" i="139"/>
  <c r="H417" i="139"/>
  <c r="G417" i="139"/>
  <c r="H416" i="139"/>
  <c r="G416" i="139"/>
  <c r="H415" i="139"/>
  <c r="G415" i="139"/>
  <c r="H414" i="139"/>
  <c r="G414" i="139"/>
  <c r="H413" i="139"/>
  <c r="G413" i="139"/>
  <c r="H412" i="139"/>
  <c r="G412" i="139"/>
  <c r="H411" i="139"/>
  <c r="G411" i="139"/>
  <c r="H410" i="139"/>
  <c r="G410" i="139"/>
  <c r="H409" i="139"/>
  <c r="G409" i="139"/>
  <c r="H408" i="139"/>
  <c r="G408" i="139"/>
  <c r="H407" i="139"/>
  <c r="G407" i="139"/>
  <c r="H406" i="139"/>
  <c r="G406" i="139"/>
  <c r="H405" i="139"/>
  <c r="G405" i="139"/>
  <c r="H404" i="139"/>
  <c r="G404" i="139"/>
  <c r="H403" i="139"/>
  <c r="G403" i="139"/>
  <c r="H402" i="139"/>
  <c r="G402" i="139"/>
  <c r="H401" i="139"/>
  <c r="G401" i="139"/>
  <c r="H400" i="139"/>
  <c r="G400" i="139"/>
  <c r="H399" i="139"/>
  <c r="G399" i="139"/>
  <c r="H398" i="139"/>
  <c r="G398" i="139"/>
  <c r="H397" i="139"/>
  <c r="G397" i="139"/>
  <c r="H396" i="139"/>
  <c r="G396" i="139"/>
  <c r="H395" i="139"/>
  <c r="G395" i="139"/>
  <c r="H394" i="139"/>
  <c r="G394" i="139"/>
  <c r="H393" i="139"/>
  <c r="G393" i="139"/>
  <c r="H392" i="139"/>
  <c r="G392" i="139"/>
  <c r="H391" i="139"/>
  <c r="G391" i="139"/>
  <c r="H390" i="139"/>
  <c r="G390" i="139"/>
  <c r="H389" i="139"/>
  <c r="G389" i="139"/>
  <c r="H388" i="139"/>
  <c r="G388" i="139"/>
  <c r="H387" i="139"/>
  <c r="G387" i="139"/>
  <c r="H386" i="139"/>
  <c r="G386" i="139"/>
  <c r="H385" i="139"/>
  <c r="G385" i="139"/>
  <c r="H384" i="139"/>
  <c r="G384" i="139"/>
  <c r="H383" i="139"/>
  <c r="G383" i="139"/>
  <c r="H382" i="139"/>
  <c r="G382" i="139"/>
  <c r="H381" i="139"/>
  <c r="G381" i="139"/>
  <c r="H380" i="139"/>
  <c r="G380" i="139"/>
  <c r="H379" i="139"/>
  <c r="G379" i="139"/>
  <c r="H378" i="139"/>
  <c r="G378" i="139"/>
  <c r="H377" i="139"/>
  <c r="G377" i="139"/>
  <c r="H376" i="139"/>
  <c r="G376" i="139"/>
  <c r="H375" i="139"/>
  <c r="G375" i="139"/>
  <c r="H374" i="139"/>
  <c r="G374" i="139"/>
  <c r="H373" i="139"/>
  <c r="G373" i="139"/>
  <c r="H372" i="139"/>
  <c r="G372" i="139"/>
  <c r="H371" i="139"/>
  <c r="G371" i="139"/>
  <c r="H370" i="139"/>
  <c r="G370" i="139"/>
  <c r="H369" i="139"/>
  <c r="G369" i="139"/>
  <c r="H368" i="139"/>
  <c r="G368" i="139"/>
  <c r="H367" i="139"/>
  <c r="G367" i="139"/>
  <c r="H366" i="139"/>
  <c r="G366" i="139"/>
  <c r="H365" i="139"/>
  <c r="G365" i="139"/>
  <c r="H364" i="139"/>
  <c r="G364" i="139"/>
  <c r="H363" i="139"/>
  <c r="G363" i="139"/>
  <c r="H362" i="139"/>
  <c r="G362" i="139"/>
  <c r="H361" i="139"/>
  <c r="G361" i="139"/>
  <c r="H360" i="139"/>
  <c r="G360" i="139"/>
  <c r="H359" i="139"/>
  <c r="G359" i="139"/>
  <c r="H358" i="139"/>
  <c r="G358" i="139"/>
  <c r="H357" i="139"/>
  <c r="G357" i="139"/>
  <c r="H356" i="139"/>
  <c r="G356" i="139"/>
  <c r="H355" i="139"/>
  <c r="G355" i="139"/>
  <c r="H354" i="139"/>
  <c r="G354" i="139"/>
  <c r="H353" i="139"/>
  <c r="G353" i="139"/>
  <c r="H352" i="139"/>
  <c r="G352" i="139"/>
  <c r="H351" i="139"/>
  <c r="G351" i="139"/>
  <c r="H350" i="139"/>
  <c r="G350" i="139"/>
  <c r="H349" i="139"/>
  <c r="G349" i="139"/>
  <c r="H348" i="139"/>
  <c r="G348" i="139"/>
  <c r="H347" i="139"/>
  <c r="G347" i="139"/>
  <c r="H346" i="139"/>
  <c r="G346" i="139"/>
  <c r="H345" i="139"/>
  <c r="G345" i="139"/>
  <c r="H344" i="139"/>
  <c r="G344" i="139"/>
  <c r="H343" i="139"/>
  <c r="G343" i="139"/>
  <c r="H342" i="139"/>
  <c r="G342" i="139"/>
  <c r="H341" i="139"/>
  <c r="G341" i="139"/>
  <c r="H340" i="139"/>
  <c r="G340" i="139"/>
  <c r="H339" i="139"/>
  <c r="G339" i="139"/>
  <c r="H338" i="139"/>
  <c r="G338" i="139"/>
  <c r="H337" i="139"/>
  <c r="G337" i="139"/>
  <c r="H336" i="139"/>
  <c r="G336" i="139"/>
  <c r="H335" i="139"/>
  <c r="G335" i="139"/>
  <c r="H334" i="139"/>
  <c r="G334" i="139"/>
  <c r="H333" i="139"/>
  <c r="G333" i="139"/>
  <c r="H332" i="139"/>
  <c r="G332" i="139"/>
  <c r="H331" i="139"/>
  <c r="G331" i="139"/>
  <c r="H330" i="139"/>
  <c r="G330" i="139"/>
  <c r="H329" i="139"/>
  <c r="G329" i="139"/>
  <c r="H328" i="139"/>
  <c r="G328" i="139"/>
  <c r="H327" i="139"/>
  <c r="G327" i="139"/>
  <c r="H326" i="139"/>
  <c r="G326" i="139"/>
  <c r="H325" i="139"/>
  <c r="G325" i="139"/>
  <c r="H324" i="139"/>
  <c r="G324" i="139"/>
  <c r="H323" i="139"/>
  <c r="G323" i="139"/>
  <c r="H322" i="139"/>
  <c r="G322" i="139"/>
  <c r="H321" i="139"/>
  <c r="G321" i="139"/>
  <c r="H320" i="139"/>
  <c r="G320" i="139"/>
  <c r="H319" i="139"/>
  <c r="G319" i="139"/>
  <c r="H318" i="139"/>
  <c r="G318" i="139"/>
  <c r="H317" i="139"/>
  <c r="G317" i="139"/>
  <c r="H316" i="139"/>
  <c r="G316" i="139"/>
  <c r="H315" i="139"/>
  <c r="G315" i="139"/>
  <c r="H314" i="139"/>
  <c r="G314" i="139"/>
  <c r="H313" i="139"/>
  <c r="G313" i="139"/>
  <c r="H312" i="139"/>
  <c r="G312" i="139"/>
  <c r="H311" i="139"/>
  <c r="G311" i="139"/>
  <c r="H310" i="139"/>
  <c r="G310" i="139"/>
  <c r="H309" i="139"/>
  <c r="G309" i="139"/>
  <c r="H308" i="139"/>
  <c r="G308" i="139"/>
  <c r="H307" i="139"/>
  <c r="G307" i="139"/>
  <c r="H306" i="139"/>
  <c r="G306" i="139"/>
  <c r="H305" i="139"/>
  <c r="G305" i="139"/>
  <c r="H304" i="139"/>
  <c r="G304" i="139"/>
  <c r="H303" i="139"/>
  <c r="G303" i="139"/>
  <c r="H302" i="139"/>
  <c r="G302" i="139"/>
  <c r="H301" i="139"/>
  <c r="G301" i="139"/>
  <c r="H300" i="139"/>
  <c r="G300" i="139"/>
  <c r="H299" i="139"/>
  <c r="G299" i="139"/>
  <c r="H298" i="139"/>
  <c r="G298" i="139"/>
  <c r="H297" i="139"/>
  <c r="G297" i="139"/>
  <c r="H296" i="139"/>
  <c r="G296" i="139"/>
  <c r="H295" i="139"/>
  <c r="G295" i="139"/>
  <c r="H294" i="139"/>
  <c r="G294" i="139"/>
  <c r="H293" i="139"/>
  <c r="G293" i="139"/>
  <c r="H292" i="139"/>
  <c r="G292" i="139"/>
  <c r="H291" i="139"/>
  <c r="G291" i="139"/>
  <c r="H290" i="139"/>
  <c r="G290" i="139"/>
  <c r="H289" i="139"/>
  <c r="G289" i="139"/>
  <c r="H288" i="139"/>
  <c r="G288" i="139"/>
  <c r="H287" i="139"/>
  <c r="G287" i="139"/>
  <c r="H286" i="139"/>
  <c r="G286" i="139"/>
  <c r="H285" i="139"/>
  <c r="G285" i="139"/>
  <c r="H284" i="139"/>
  <c r="G284" i="139"/>
  <c r="H283" i="139"/>
  <c r="G283" i="139"/>
  <c r="H282" i="139"/>
  <c r="G282" i="139"/>
  <c r="H281" i="139"/>
  <c r="G281" i="139"/>
  <c r="H280" i="139"/>
  <c r="G280" i="139"/>
  <c r="H279" i="139"/>
  <c r="G279" i="139"/>
  <c r="H278" i="139"/>
  <c r="G278" i="139"/>
  <c r="H277" i="139"/>
  <c r="G277" i="139"/>
  <c r="H276" i="139"/>
  <c r="G276" i="139"/>
  <c r="H275" i="139"/>
  <c r="G275" i="139"/>
  <c r="H274" i="139"/>
  <c r="G274" i="139"/>
  <c r="H273" i="139"/>
  <c r="G273" i="139"/>
  <c r="H272" i="139"/>
  <c r="G272" i="139"/>
  <c r="H271" i="139"/>
  <c r="G271" i="139"/>
  <c r="H270" i="139"/>
  <c r="G270" i="139"/>
  <c r="H269" i="139"/>
  <c r="G269" i="139"/>
  <c r="H268" i="139"/>
  <c r="G268" i="139"/>
  <c r="H267" i="139"/>
  <c r="G267" i="139"/>
  <c r="H266" i="139"/>
  <c r="G266" i="139"/>
  <c r="H265" i="139"/>
  <c r="G265" i="139"/>
  <c r="H264" i="139"/>
  <c r="G264" i="139"/>
  <c r="H263" i="139"/>
  <c r="G263" i="139"/>
  <c r="H262" i="139"/>
  <c r="G262" i="139"/>
  <c r="H261" i="139"/>
  <c r="G261" i="139"/>
  <c r="H260" i="139"/>
  <c r="G260" i="139"/>
  <c r="H259" i="139"/>
  <c r="G259" i="139"/>
  <c r="H258" i="139"/>
  <c r="G258" i="139"/>
  <c r="H257" i="139"/>
  <c r="G257" i="139"/>
  <c r="H256" i="139"/>
  <c r="G256" i="139"/>
  <c r="H255" i="139"/>
  <c r="G255" i="139"/>
  <c r="H254" i="139"/>
  <c r="G254" i="139"/>
  <c r="H253" i="139"/>
  <c r="G253" i="139"/>
  <c r="H252" i="139"/>
  <c r="G252" i="139"/>
  <c r="H251" i="139"/>
  <c r="G251" i="139"/>
  <c r="H250" i="139"/>
  <c r="G250" i="139"/>
  <c r="H249" i="139"/>
  <c r="G249" i="139"/>
  <c r="H248" i="139"/>
  <c r="G248" i="139"/>
  <c r="H246" i="139"/>
  <c r="G246" i="139"/>
  <c r="H244" i="139"/>
  <c r="G244" i="139"/>
  <c r="H243" i="139"/>
  <c r="G243" i="139"/>
  <c r="H242" i="139"/>
  <c r="G242" i="139"/>
  <c r="H241" i="139"/>
  <c r="G241" i="139"/>
  <c r="H240" i="139"/>
  <c r="G240" i="139"/>
  <c r="H239" i="139"/>
  <c r="G239" i="139"/>
  <c r="H238" i="139"/>
  <c r="G238" i="139"/>
  <c r="H237" i="139"/>
  <c r="G237" i="139"/>
  <c r="H236" i="139"/>
  <c r="G236" i="139"/>
  <c r="H234" i="139"/>
  <c r="G234" i="139"/>
  <c r="H233" i="139"/>
  <c r="G233" i="139"/>
  <c r="H232" i="139"/>
  <c r="G232" i="139"/>
  <c r="H231" i="139"/>
  <c r="G231" i="139"/>
  <c r="H230" i="139"/>
  <c r="G230" i="139"/>
  <c r="H229" i="139"/>
  <c r="G229" i="139"/>
  <c r="H228" i="139"/>
  <c r="G228" i="139"/>
  <c r="H227" i="139"/>
  <c r="G227" i="139"/>
  <c r="H226" i="139"/>
  <c r="G226" i="139"/>
  <c r="H224" i="139"/>
  <c r="G224" i="139"/>
  <c r="H223" i="139"/>
  <c r="G223" i="139"/>
  <c r="H222" i="139"/>
  <c r="G222" i="139"/>
  <c r="H221" i="139"/>
  <c r="G221" i="139"/>
  <c r="H220" i="139"/>
  <c r="G220" i="139"/>
  <c r="H219" i="139"/>
  <c r="G219" i="139"/>
  <c r="H218" i="139"/>
  <c r="G218" i="139"/>
  <c r="H217" i="139"/>
  <c r="G217" i="139"/>
  <c r="H215" i="139"/>
  <c r="G215" i="139"/>
  <c r="H214" i="139"/>
  <c r="G214" i="139"/>
  <c r="H213" i="139"/>
  <c r="G213" i="139"/>
  <c r="H212" i="139"/>
  <c r="G212" i="139"/>
  <c r="H211" i="139"/>
  <c r="G211" i="139"/>
  <c r="H210" i="139"/>
  <c r="G210" i="139"/>
  <c r="H209" i="139"/>
  <c r="G209" i="139"/>
  <c r="H208" i="139"/>
  <c r="G208" i="139"/>
  <c r="H207" i="139"/>
  <c r="G207" i="139"/>
  <c r="H206" i="139"/>
  <c r="G206" i="139"/>
  <c r="H205" i="139"/>
  <c r="G205" i="139"/>
  <c r="H204" i="139"/>
  <c r="G204" i="139"/>
  <c r="H203" i="139"/>
  <c r="G203" i="139"/>
  <c r="H202" i="139"/>
  <c r="G202" i="139"/>
  <c r="H201" i="139"/>
  <c r="G201" i="139"/>
  <c r="H200" i="139"/>
  <c r="G200" i="139"/>
  <c r="H199" i="139"/>
  <c r="G199" i="139"/>
  <c r="H198" i="139"/>
  <c r="G198" i="139"/>
  <c r="H197" i="139"/>
  <c r="G197" i="139"/>
  <c r="H196" i="139"/>
  <c r="G196" i="139"/>
  <c r="H195" i="139"/>
  <c r="G195" i="139"/>
  <c r="H194" i="139"/>
  <c r="G194" i="139"/>
  <c r="H193" i="139"/>
  <c r="G193" i="139"/>
  <c r="H192" i="139"/>
  <c r="G192" i="139"/>
  <c r="H191" i="139"/>
  <c r="G191" i="139"/>
  <c r="H190" i="139"/>
  <c r="G190" i="139"/>
  <c r="H189" i="139"/>
  <c r="G189" i="139"/>
  <c r="H188" i="139"/>
  <c r="G188" i="139"/>
  <c r="H186" i="139"/>
  <c r="G186" i="139"/>
  <c r="H185" i="139"/>
  <c r="G185" i="139"/>
  <c r="H184" i="139"/>
  <c r="G184" i="139"/>
  <c r="H183" i="139"/>
  <c r="G183" i="139"/>
  <c r="H182" i="139"/>
  <c r="G182" i="139"/>
  <c r="H181" i="139"/>
  <c r="G181" i="139"/>
  <c r="H180" i="139"/>
  <c r="G180" i="139"/>
  <c r="H179" i="139"/>
  <c r="G179" i="139"/>
  <c r="H178" i="139"/>
  <c r="G178" i="139"/>
  <c r="H177" i="139"/>
  <c r="G177" i="139"/>
  <c r="H176" i="139"/>
  <c r="G176" i="139"/>
  <c r="H175" i="139"/>
  <c r="G175" i="139"/>
  <c r="H174" i="139"/>
  <c r="G174" i="139"/>
  <c r="H172" i="139"/>
  <c r="G172" i="139"/>
  <c r="H171" i="139"/>
  <c r="G171" i="139"/>
  <c r="H170" i="139"/>
  <c r="G170" i="139"/>
  <c r="H169" i="139"/>
  <c r="G169" i="139"/>
  <c r="H167" i="139"/>
  <c r="G167" i="139"/>
  <c r="H166" i="139"/>
  <c r="G166" i="139"/>
  <c r="H165" i="139"/>
  <c r="G165" i="139"/>
  <c r="H164" i="139"/>
  <c r="G164" i="139"/>
  <c r="H163" i="139"/>
  <c r="G163" i="139"/>
  <c r="H162" i="139"/>
  <c r="G162" i="139"/>
  <c r="H161" i="139"/>
  <c r="G161" i="139"/>
  <c r="H159" i="139"/>
  <c r="G159" i="139"/>
  <c r="H157" i="139"/>
  <c r="G157" i="139"/>
  <c r="H156" i="139"/>
  <c r="G156" i="139"/>
  <c r="H154" i="139"/>
  <c r="G154" i="139"/>
  <c r="H152" i="139"/>
  <c r="G152" i="139"/>
  <c r="H150" i="139"/>
  <c r="G150" i="139"/>
  <c r="H148" i="139"/>
  <c r="G148" i="139"/>
  <c r="H147" i="139"/>
  <c r="G147" i="139"/>
  <c r="H146" i="139"/>
  <c r="G146" i="139"/>
  <c r="H145" i="139"/>
  <c r="G145" i="139"/>
  <c r="H144" i="139"/>
  <c r="G144" i="139"/>
  <c r="H143" i="139"/>
  <c r="G143" i="139"/>
  <c r="H142" i="139"/>
  <c r="G142" i="139"/>
  <c r="H141" i="139"/>
  <c r="G141" i="139"/>
  <c r="H140" i="139"/>
  <c r="G140" i="139"/>
  <c r="H139" i="139"/>
  <c r="G139" i="139"/>
  <c r="H138" i="139"/>
  <c r="G138" i="139"/>
  <c r="H137" i="139"/>
  <c r="G137" i="139"/>
  <c r="H136" i="139"/>
  <c r="G136" i="139"/>
  <c r="H135" i="139"/>
  <c r="G135" i="139"/>
  <c r="H134" i="139"/>
  <c r="G134" i="139"/>
  <c r="H132" i="139"/>
  <c r="G132" i="139"/>
  <c r="H130" i="139"/>
  <c r="G130" i="139"/>
  <c r="H128" i="139"/>
  <c r="G128" i="139"/>
  <c r="H126" i="139"/>
  <c r="G126" i="139"/>
  <c r="H125" i="139"/>
  <c r="G125" i="139"/>
  <c r="H124" i="139"/>
  <c r="G124" i="139"/>
  <c r="H123" i="139"/>
  <c r="G123" i="139"/>
  <c r="H122" i="139"/>
  <c r="G122" i="139"/>
  <c r="H121" i="139"/>
  <c r="G121" i="139"/>
  <c r="H120" i="139"/>
  <c r="G120" i="139"/>
  <c r="H119" i="139"/>
  <c r="G119" i="139"/>
  <c r="H118" i="139"/>
  <c r="G118" i="139"/>
  <c r="H116" i="139"/>
  <c r="G116" i="139"/>
  <c r="H115" i="139"/>
  <c r="G115" i="139"/>
  <c r="H114" i="139"/>
  <c r="G114" i="139"/>
  <c r="H113" i="139"/>
  <c r="G113" i="139"/>
  <c r="H112" i="139"/>
  <c r="G112" i="139"/>
  <c r="H111" i="139"/>
  <c r="G111" i="139"/>
  <c r="H110" i="139"/>
  <c r="G110" i="139"/>
  <c r="H109" i="139"/>
  <c r="G109" i="139"/>
  <c r="H108" i="139"/>
  <c r="G108" i="139"/>
  <c r="H107" i="139"/>
  <c r="G107" i="139"/>
  <c r="H106" i="139"/>
  <c r="G106" i="139"/>
  <c r="H105" i="139"/>
  <c r="G105" i="139"/>
  <c r="H104" i="139"/>
  <c r="G104" i="139"/>
  <c r="H103" i="139"/>
  <c r="G103" i="139"/>
  <c r="H102" i="139"/>
  <c r="G102" i="139"/>
  <c r="H101" i="139"/>
  <c r="G101" i="139"/>
  <c r="H100" i="139"/>
  <c r="G100" i="139"/>
  <c r="H99" i="139"/>
  <c r="G99" i="139"/>
  <c r="H98" i="139"/>
  <c r="G98" i="139"/>
  <c r="H97" i="139"/>
  <c r="G97" i="139"/>
  <c r="H96" i="139"/>
  <c r="G96" i="139"/>
  <c r="H94" i="139"/>
  <c r="G94" i="139"/>
  <c r="H93" i="139"/>
  <c r="G93" i="139"/>
  <c r="H92" i="139"/>
  <c r="G92" i="139"/>
  <c r="H91" i="139"/>
  <c r="G91" i="139"/>
  <c r="H90" i="139"/>
  <c r="G90" i="139"/>
  <c r="H89" i="139"/>
  <c r="G89" i="139"/>
  <c r="H88" i="139"/>
  <c r="G88" i="139"/>
  <c r="H87" i="139"/>
  <c r="G87" i="139"/>
  <c r="H86" i="139"/>
  <c r="G86" i="139"/>
  <c r="H85" i="139"/>
  <c r="G85" i="139"/>
  <c r="H84" i="139"/>
  <c r="G84" i="139"/>
  <c r="H83" i="139"/>
  <c r="G83" i="139"/>
  <c r="H82" i="139"/>
  <c r="G82" i="139"/>
  <c r="H81" i="139"/>
  <c r="G81" i="139"/>
  <c r="H80" i="139"/>
  <c r="G80" i="139"/>
  <c r="H78" i="139"/>
  <c r="G78" i="139"/>
  <c r="H77" i="139"/>
  <c r="G77" i="139"/>
  <c r="H76" i="139"/>
  <c r="G76" i="139"/>
  <c r="H75" i="139"/>
  <c r="G75" i="139"/>
  <c r="H74" i="139"/>
  <c r="G74" i="139"/>
  <c r="H73" i="139"/>
  <c r="G73" i="139"/>
  <c r="H72" i="139"/>
  <c r="G72" i="139"/>
  <c r="H71" i="139"/>
  <c r="G71" i="139"/>
  <c r="H70" i="139"/>
  <c r="G70" i="139"/>
  <c r="H69" i="139"/>
  <c r="G69" i="139"/>
  <c r="H68" i="139"/>
  <c r="G68" i="139"/>
  <c r="H67" i="139"/>
  <c r="G67" i="139"/>
  <c r="H66" i="139"/>
  <c r="G66" i="139"/>
  <c r="H65" i="139"/>
  <c r="G65" i="139"/>
  <c r="H64" i="139"/>
  <c r="G64" i="139"/>
  <c r="H63" i="139"/>
  <c r="G63" i="139"/>
  <c r="H62" i="139"/>
  <c r="G62" i="139"/>
  <c r="H61" i="139"/>
  <c r="G61" i="139"/>
  <c r="H60" i="139"/>
  <c r="G60" i="139"/>
  <c r="H59" i="139"/>
  <c r="G59" i="139"/>
  <c r="H58" i="139"/>
  <c r="G58" i="139"/>
  <c r="H57" i="139"/>
  <c r="G57" i="139"/>
  <c r="H56" i="139"/>
  <c r="G56" i="139"/>
  <c r="H55" i="139"/>
  <c r="G55" i="139"/>
  <c r="H54" i="139"/>
  <c r="G54" i="139"/>
  <c r="H53" i="139"/>
  <c r="G53" i="139"/>
  <c r="H52" i="139"/>
  <c r="G52" i="139"/>
  <c r="H51" i="139"/>
  <c r="G51" i="139"/>
  <c r="H50" i="139"/>
  <c r="G50" i="139"/>
  <c r="H49" i="139"/>
  <c r="G49" i="139"/>
  <c r="H48" i="139"/>
  <c r="G48" i="139"/>
  <c r="H47" i="139"/>
  <c r="G47" i="139"/>
  <c r="H46" i="139"/>
  <c r="G46" i="139"/>
  <c r="H45" i="139"/>
  <c r="G45" i="139"/>
  <c r="H44" i="139"/>
  <c r="G44" i="139"/>
  <c r="H43" i="139"/>
  <c r="G43" i="139"/>
  <c r="H42" i="139"/>
  <c r="G42" i="139"/>
  <c r="H41" i="139"/>
  <c r="G41" i="139"/>
  <c r="H40" i="139"/>
  <c r="G40" i="139"/>
  <c r="H39" i="139"/>
  <c r="G39" i="139"/>
  <c r="H38" i="139"/>
  <c r="G38" i="139"/>
  <c r="H37" i="139"/>
  <c r="G37" i="139"/>
  <c r="H36" i="139"/>
  <c r="G36" i="139"/>
  <c r="H35" i="139"/>
  <c r="G35" i="139"/>
  <c r="H34" i="139"/>
  <c r="G34" i="139"/>
  <c r="H33" i="139"/>
  <c r="G33" i="139"/>
  <c r="H32" i="139"/>
  <c r="G32" i="139"/>
  <c r="H31" i="139"/>
  <c r="G31" i="139"/>
  <c r="H30" i="139"/>
  <c r="G30" i="139"/>
  <c r="H29" i="139"/>
  <c r="G29" i="139"/>
  <c r="H27" i="139"/>
  <c r="G27" i="139"/>
  <c r="H26" i="139"/>
  <c r="G26" i="139"/>
  <c r="H25" i="139"/>
  <c r="G25" i="139"/>
  <c r="H24" i="139"/>
  <c r="G24" i="139"/>
  <c r="H23" i="139"/>
  <c r="G23" i="139"/>
  <c r="H22" i="139"/>
  <c r="G22" i="139"/>
  <c r="H21" i="139"/>
  <c r="G21" i="139"/>
  <c r="H20" i="139"/>
  <c r="G20" i="139"/>
  <c r="H19" i="139"/>
  <c r="G19" i="139"/>
  <c r="H18" i="139"/>
  <c r="G18" i="139"/>
  <c r="H17" i="139"/>
  <c r="G17" i="139"/>
  <c r="H16" i="139"/>
  <c r="G16" i="139"/>
  <c r="H15" i="139"/>
  <c r="G15" i="139"/>
  <c r="H14" i="139"/>
  <c r="G14" i="139"/>
  <c r="H13" i="139"/>
  <c r="G13" i="139"/>
  <c r="H12" i="139"/>
  <c r="G12" i="139"/>
  <c r="H11" i="139"/>
  <c r="G11" i="139"/>
  <c r="H10" i="139"/>
  <c r="G10" i="139"/>
  <c r="H9" i="139"/>
  <c r="G9" i="139"/>
  <c r="H8" i="139"/>
  <c r="G8" i="139"/>
  <c r="H7" i="139"/>
  <c r="G7" i="139"/>
  <c r="H6" i="139"/>
  <c r="G6" i="139"/>
  <c r="H5" i="139"/>
  <c r="G5" i="139"/>
  <c r="H3" i="139"/>
  <c r="G3" i="139"/>
  <c r="H34" i="127"/>
  <c r="G34" i="127"/>
  <c r="F34" i="127"/>
  <c r="E34" i="127"/>
  <c r="D34" i="127"/>
  <c r="H33" i="127"/>
  <c r="G33" i="127"/>
  <c r="F33" i="127"/>
  <c r="E33" i="127"/>
  <c r="D33" i="127"/>
  <c r="H32" i="127"/>
  <c r="G32" i="127"/>
  <c r="F32" i="127"/>
  <c r="E32" i="127"/>
  <c r="D32" i="127"/>
  <c r="H31" i="127"/>
  <c r="G31" i="127"/>
  <c r="F31" i="127"/>
  <c r="E31" i="127"/>
  <c r="D31" i="127"/>
  <c r="H30" i="127"/>
  <c r="G30" i="127"/>
  <c r="F30" i="127"/>
  <c r="E30" i="127"/>
  <c r="D30" i="127"/>
  <c r="E54" i="137"/>
  <c r="E53" i="137"/>
  <c r="E52" i="137"/>
  <c r="E51" i="137"/>
  <c r="E50" i="137"/>
  <c r="E49" i="137"/>
  <c r="E46" i="137"/>
  <c r="E45" i="137"/>
  <c r="E44" i="137"/>
  <c r="E43" i="137"/>
  <c r="E42" i="137"/>
  <c r="E41" i="137"/>
  <c r="E23" i="137"/>
  <c r="E22" i="137"/>
  <c r="E21" i="137"/>
  <c r="E6" i="137"/>
  <c r="E5" i="137"/>
  <c r="E4" i="137"/>
  <c r="P2" i="5"/>
  <c r="D4" i="33"/>
  <c r="U13" i="128" l="1"/>
  <c r="U16" i="128" s="1"/>
  <c r="J9" i="128"/>
  <c r="J14" i="128"/>
  <c r="J7" i="128"/>
  <c r="J5" i="128"/>
  <c r="J10" i="128"/>
  <c r="J15" i="128"/>
  <c r="J8" i="128"/>
  <c r="J11" i="128"/>
  <c r="J12" i="128"/>
  <c r="J6" i="128"/>
  <c r="J4" i="128"/>
  <c r="J13" i="128"/>
  <c r="H4" i="128"/>
  <c r="H9" i="128"/>
  <c r="H14" i="128"/>
  <c r="H12" i="128"/>
  <c r="H5" i="128"/>
  <c r="H10" i="128"/>
  <c r="H15" i="128"/>
  <c r="H7" i="128"/>
  <c r="H11" i="128"/>
  <c r="H6" i="128"/>
  <c r="H8" i="128"/>
  <c r="H13" i="128"/>
  <c r="F12" i="128" l="1"/>
  <c r="O30" i="127"/>
  <c r="N31" i="127"/>
  <c r="K32" i="127"/>
  <c r="D4" i="128"/>
  <c r="K30" i="127"/>
  <c r="E13" i="128"/>
  <c r="E15" i="128"/>
  <c r="M34" i="127"/>
  <c r="L31" i="127"/>
  <c r="N30" i="127"/>
  <c r="E9" i="128"/>
  <c r="F10" i="128"/>
  <c r="E10" i="128"/>
  <c r="D10" i="128"/>
  <c r="D8" i="128"/>
  <c r="F8" i="128"/>
  <c r="E8" i="128"/>
  <c r="N32" i="127"/>
  <c r="L30" i="127"/>
  <c r="L32" i="127"/>
  <c r="K34" i="127"/>
  <c r="F4" i="128"/>
  <c r="E11" i="128"/>
  <c r="E4" i="128"/>
  <c r="N34" i="127"/>
  <c r="J16" i="128"/>
  <c r="D15" i="128"/>
  <c r="M32" i="127"/>
  <c r="M31" i="127"/>
  <c r="M30" i="127"/>
  <c r="F9" i="128"/>
  <c r="F14" i="128"/>
  <c r="H16" i="128"/>
  <c r="K31" i="127"/>
  <c r="O32" i="127"/>
  <c r="O31" i="127"/>
  <c r="L34" i="127"/>
  <c r="F15" i="128"/>
  <c r="D9" i="128"/>
  <c r="O34" i="127"/>
  <c r="D13" i="128" l="1"/>
  <c r="D12" i="128"/>
  <c r="E12" i="128"/>
  <c r="F13" i="128"/>
  <c r="G9" i="128"/>
  <c r="I9" i="128" s="1"/>
  <c r="K9" i="128" s="1"/>
  <c r="M33" i="127"/>
  <c r="G15" i="128"/>
  <c r="I15" i="128" s="1"/>
  <c r="K15" i="128" s="1"/>
  <c r="F5" i="128"/>
  <c r="E5" i="128"/>
  <c r="D5" i="128"/>
  <c r="F11" i="128"/>
  <c r="G10" i="128"/>
  <c r="I10" i="128" s="1"/>
  <c r="K10" i="128" s="1"/>
  <c r="O33" i="127"/>
  <c r="D11" i="128"/>
  <c r="K33" i="127"/>
  <c r="D14" i="128"/>
  <c r="F6" i="128"/>
  <c r="E6" i="128"/>
  <c r="D6" i="128"/>
  <c r="N33" i="127"/>
  <c r="E14" i="128"/>
  <c r="D7" i="128"/>
  <c r="F7" i="128"/>
  <c r="E7" i="128"/>
  <c r="G8" i="128"/>
  <c r="I8" i="128" s="1"/>
  <c r="K8" i="128" s="1"/>
  <c r="G4" i="128"/>
  <c r="I4" i="128" s="1"/>
  <c r="K4" i="128" s="1"/>
  <c r="L33" i="127"/>
  <c r="G13" i="128" l="1"/>
  <c r="I13" i="128" s="1"/>
  <c r="K13" i="128" s="1"/>
  <c r="G12" i="128"/>
  <c r="I12" i="128" s="1"/>
  <c r="K12" i="128" s="1"/>
  <c r="G6" i="128"/>
  <c r="I6" i="128" s="1"/>
  <c r="K6" i="128" s="1"/>
  <c r="E16" i="128"/>
  <c r="F16" i="128"/>
  <c r="G14" i="128"/>
  <c r="I14" i="128" s="1"/>
  <c r="K14" i="128" s="1"/>
  <c r="G11" i="128"/>
  <c r="I11" i="128" s="1"/>
  <c r="K11" i="128" s="1"/>
  <c r="G7" i="128"/>
  <c r="I7" i="128" s="1"/>
  <c r="K7" i="128" s="1"/>
  <c r="G5" i="128"/>
  <c r="I5" i="128" s="1"/>
  <c r="K5" i="128" s="1"/>
  <c r="D16" i="128"/>
  <c r="G16" i="128" l="1"/>
  <c r="I16" i="128" s="1"/>
  <c r="K16" i="1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tc={9FAA0C94-1624-440F-83F4-7217D4232EF2}</author>
    <author>tc={332162B2-95D1-4434-9F2F-139F8665E944}</author>
    <author>tc={151F6EAE-0E8D-4DD6-94D3-BDCE691343CC}</author>
    <author>tc={1C4A2BF7-4E2A-4FEC-B447-F9B665205365}</author>
    <author>tc={4C5A8E0C-87B0-4C5F-9786-6D01AF580A71}</author>
    <author>tc={9B766F2A-20E3-41F4-B44E-087D3DD2BAD3}</author>
    <author>tc={64F51060-8CA7-4DA2-9CA2-A06E594D886C}</author>
    <author>tc={67F59761-662B-4C3F-84A7-5C0622C6737B}</author>
    <author>tc={9A6E99A1-FB2D-4E63-A34B-A0893D071395}</author>
    <author>tc={37BAA59B-03CC-4E0B-87D3-070FDD8D52C3}</author>
    <author>tc={F1E0CF95-8A14-4552-BFD3-D25172379201}</author>
    <author>tc={9DEF63A9-FFFF-4D2A-A138-A5814D82E92F}</author>
  </authors>
  <commentList>
    <comment ref="N239" authorId="0" shapeId="0" xr:uid="{9FAA0C94-1624-440F-83F4-7217D4232EF2}">
      <text>
        <t>[Threaded comment]
Your version of Excel allows you to read this threaded comment; however, any edits to it will get removed if the file is opened in a newer version of Excel. Learn more: https://go.microsoft.com/fwlink/?linkid=870924
Comment:
    Cost estimate is based on installing one set of DI system and cooling tower. The estimate of the DI and cooling tower cost at 4 O Clock location.</t>
      </text>
    </comment>
    <comment ref="P239" authorId="1" shapeId="0" xr:uid="{332162B2-95D1-4434-9F2F-139F8665E944}">
      <text>
        <t>[Threaded comment]
Your version of Excel allows you to read this threaded comment; however, any edits to it will get removed if the file is opened in a newer version of Excel. Learn more: https://go.microsoft.com/fwlink/?linkid=870924
Comment:
    based on 6 months engineering and 6 months construciton</t>
      </text>
    </comment>
    <comment ref="N240" authorId="2" shapeId="0" xr:uid="{151F6EAE-0E8D-4DD6-94D3-BDCE691343CC}">
      <text>
        <t>[Threaded comment]
Your version of Excel allows you to read this threaded comment; however, any edits to it will get removed if the file is opened in a newer version of Excel. Learn more: https://go.microsoft.com/fwlink/?linkid=870924
Comment:
    based on white paper</t>
      </text>
    </comment>
    <comment ref="N241" authorId="3" shapeId="0" xr:uid="{1C4A2BF7-4E2A-4FEC-B447-F9B665205365}">
      <text>
        <t>[Threaded comment]
Your version of Excel allows you to read this threaded comment; however, any edits to it will get removed if the file is opened in a newer version of Excel. Learn more: https://go.microsoft.com/fwlink/?linkid=870924
Comment:
    based on white paper</t>
      </text>
    </comment>
    <comment ref="N242" authorId="4" shapeId="0" xr:uid="{4C5A8E0C-87B0-4C5F-9786-6D01AF580A71}">
      <text>
        <t>[Threaded comment]
Your version of Excel allows you to read this threaded comment; however, any edits to it will get removed if the file is opened in a newer version of Excel. Learn more: https://go.microsoft.com/fwlink/?linkid=870924
Comment:
    Cost is based on RS MEans 2021 comparison of 1000 ton centrifugal chiller and absorption chiller and applying the factor to the CD-1 chilled water estimate.</t>
      </text>
    </comment>
    <comment ref="P242" authorId="5" shapeId="0" xr:uid="{9B766F2A-20E3-41F4-B44E-087D3DD2BAD3}">
      <text>
        <t>[Threaded comment]
Your version of Excel allows you to read this threaded comment; however, any edits to it will get removed if the file is opened in a newer version of Excel. Learn more: https://go.microsoft.com/fwlink/?linkid=870924
Comment:
    based on 6 months engineering and 6 months construciton</t>
      </text>
    </comment>
    <comment ref="N243" authorId="6" shapeId="0" xr:uid="{64F51060-8CA7-4DA2-9CA2-A06E594D886C}">
      <text>
        <t>[Threaded comment]
Your version of Excel allows you to read this threaded comment; however, any edits to it will get removed if the file is opened in a newer version of Excel. Learn more: https://go.microsoft.com/fwlink/?linkid=870924
Comment:
    Costs are based on 4 inch header supply and return for magnet and ps based on RS MEans and LIRO estimate 2021</t>
      </text>
    </comment>
    <comment ref="N244" authorId="7" shapeId="0" xr:uid="{67F59761-662B-4C3F-84A7-5C0622C6737B}">
      <text>
        <t>[Threaded comment]
Your version of Excel allows you to read this threaded comment; however, any edits to it will get removed if the file is opened in a newer version of Excel. Learn more: https://go.microsoft.com/fwlink/?linkid=870924
Comment:
    New cost is a plug in number.</t>
      </text>
    </comment>
    <comment ref="N259" authorId="8" shapeId="0" xr:uid="{9A6E99A1-FB2D-4E63-A34B-A0893D071395}">
      <text>
        <t>[Threaded comment]
Your version of Excel allows you to read this threaded comment; however, any edits to it will get removed if the file is opened in a newer version of Excel. Learn more: https://go.microsoft.com/fwlink/?linkid=870924
Comment:
    Cost based on labor for installing 6000 feet of 8" pipe. and schedule based on 4 man crew for the same. Numbers are based on RS Means Adjusted for current conditions.</t>
      </text>
    </comment>
    <comment ref="P259" authorId="9" shapeId="0" xr:uid="{37BAA59B-03CC-4E0B-87D3-070FDD8D52C3}">
      <text>
        <t>[Threaded comment]
Your version of Excel allows you to read this threaded comment; however, any edits to it will get removed if the file is opened in a newer version of Excel. Learn more: https://go.microsoft.com/fwlink/?linkid=870924
Comment:
    Cost based on labor for installing 6000 feet of 8" pipe. and schedule based on 4 man crew for the same. Numbers are based on RS Means Adjusted for current conditions.</t>
      </text>
    </comment>
    <comment ref="N266" authorId="10" shapeId="0" xr:uid="{F1E0CF95-8A14-4552-BFD3-D25172379201}">
      <text>
        <t>[Threaded comment]
Your version of Excel allows you to read this threaded comment; however, any edits to it will get removed if the file is opened in a newer version of Excel. Learn more: https://go.microsoft.com/fwlink/?linkid=870924
Comment:
    Cost estimate is based on installing one set of DI system and cooling tower. The estimate of the DI and cooling tower cost at 4 O Clock location.</t>
      </text>
    </comment>
    <comment ref="P266" authorId="11" shapeId="0" xr:uid="{9DEF63A9-FFFF-4D2A-A138-A5814D82E92F}">
      <text>
        <t>[Threaded comment]
Your version of Excel allows you to read this threaded comment; however, any edits to it will get removed if the file is opened in a newer version of Excel. Learn more: https://go.microsoft.com/fwlink/?linkid=870924
Comment:
    based on 6 months engineering and 6 months construciton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kflick</author>
  </authors>
  <commentList>
    <comment ref="H1" authorId="0" shapeId="0" xr:uid="{1FA19185-6ABB-AB42-81D7-5DFBB3625FB8}">
      <text>
        <r>
          <rPr>
            <b/>
            <sz val="9"/>
            <color rgb="FF000000"/>
            <rFont val="Tahoma"/>
            <family val="2"/>
          </rPr>
          <t>kflick:</t>
        </r>
        <r>
          <rPr>
            <sz val="9"/>
            <color rgb="FF000000"/>
            <rFont val="Tahoma"/>
            <family val="2"/>
          </rPr>
          <t xml:space="preserve">
</t>
        </r>
        <r>
          <rPr>
            <b/>
            <sz val="9"/>
            <color rgb="FF000000"/>
            <rFont val="Tahoma"/>
            <family val="2"/>
          </rPr>
          <t>What is the likelihood that this risk will actually impact the project, if we do NOT do any mitigation?</t>
        </r>
        <r>
          <rPr>
            <sz val="9"/>
            <color rgb="FF000000"/>
            <rFont val="Tahoma"/>
            <family val="2"/>
          </rPr>
          <t xml:space="preserve"> (Drop-down Indicates odds)</t>
        </r>
      </text>
    </comment>
    <comment ref="I1" authorId="0" shapeId="0" xr:uid="{FB65CF89-7E14-5A48-8BC7-CEC27620FD05}">
      <text>
        <r>
          <rPr>
            <b/>
            <sz val="9"/>
            <color indexed="81"/>
            <rFont val="Tahoma"/>
            <family val="2"/>
          </rPr>
          <t>kflick:</t>
        </r>
        <r>
          <rPr>
            <sz val="9"/>
            <color indexed="81"/>
            <rFont val="Tahoma"/>
            <family val="2"/>
          </rPr>
          <t xml:space="preserve">
To what degree might the  risk impact the project cost </t>
        </r>
        <r>
          <rPr>
            <b/>
            <sz val="9"/>
            <color indexed="81"/>
            <rFont val="Tahoma"/>
            <family val="2"/>
          </rPr>
          <t xml:space="preserve"> IF LEFT UNMITIGATED </t>
        </r>
        <r>
          <rPr>
            <sz val="9"/>
            <color indexed="81"/>
            <rFont val="Tahoma"/>
            <family val="2"/>
          </rPr>
          <t xml:space="preserve">
This is an estimate of the</t>
        </r>
        <r>
          <rPr>
            <b/>
            <sz val="9"/>
            <color indexed="81"/>
            <rFont val="Tahoma"/>
            <family val="2"/>
          </rPr>
          <t xml:space="preserve"> most likely actual dollar cost (In $K)</t>
        </r>
        <r>
          <rPr>
            <sz val="9"/>
            <color indexed="81"/>
            <rFont val="Tahoma"/>
            <family val="2"/>
          </rPr>
          <t xml:space="preserve"> impact to the project if the risk occurs.</t>
        </r>
      </text>
    </comment>
    <comment ref="K1" authorId="0" shapeId="0" xr:uid="{80401B01-F95F-AA49-8577-0B37F02FD32D}">
      <text>
        <r>
          <rPr>
            <b/>
            <sz val="9"/>
            <color indexed="81"/>
            <rFont val="Tahoma"/>
            <family val="2"/>
          </rPr>
          <t>kflick:</t>
        </r>
        <r>
          <rPr>
            <sz val="9"/>
            <color indexed="81"/>
            <rFont val="Tahoma"/>
            <family val="2"/>
          </rPr>
          <t xml:space="preserve">
To what degree might the  risk impact the Project Schedule  IF LEFT UNMITIGATED
This is an estimate of the most likely actual schedule impact to the affected activities if the risk occurs. (In Months)</t>
        </r>
      </text>
    </comment>
    <comment ref="L1" authorId="0" shapeId="0" xr:uid="{0E7695DA-4D80-CC4F-8260-477F3698A4DA}">
      <text>
        <r>
          <rPr>
            <b/>
            <sz val="9"/>
            <color indexed="81"/>
            <rFont val="Tahoma"/>
            <family val="2"/>
          </rPr>
          <t>kflick:</t>
        </r>
        <r>
          <rPr>
            <sz val="9"/>
            <color indexed="81"/>
            <rFont val="Tahoma"/>
            <family val="2"/>
          </rPr>
          <t xml:space="preserve">
To what degree might the  risk impact the Project Schedule  IF LEFT UNMITIGATED
This is an estimate of the most likely actual schedule impact to the affected activities if the risk occurs. (In Months)</t>
        </r>
      </text>
    </comment>
    <comment ref="N1" authorId="0" shapeId="0" xr:uid="{1DAC96C8-3A8E-994A-AE97-94B2B470A027}">
      <text>
        <r>
          <rPr>
            <b/>
            <sz val="9"/>
            <color rgb="FF000000"/>
            <rFont val="Tahoma"/>
            <family val="2"/>
          </rPr>
          <t>kflick:</t>
        </r>
        <r>
          <rPr>
            <sz val="9"/>
            <color rgb="FF000000"/>
            <rFont val="Tahoma"/>
            <family val="2"/>
          </rPr>
          <t xml:space="preserve">
</t>
        </r>
        <r>
          <rPr>
            <b/>
            <sz val="9"/>
            <color rgb="FF000000"/>
            <rFont val="Tahoma"/>
            <family val="2"/>
          </rPr>
          <t>Risk Manager Use ONLY</t>
        </r>
        <r>
          <rPr>
            <sz val="9"/>
            <color rgb="FF000000"/>
            <rFont val="Tahoma"/>
            <family val="2"/>
          </rPr>
          <t xml:space="preserve"> - Scoring</t>
        </r>
      </text>
    </comment>
    <comment ref="O1" authorId="0" shapeId="0" xr:uid="{3F928987-E036-FE43-9D34-453171578565}">
      <text>
        <r>
          <rPr>
            <b/>
            <sz val="9"/>
            <color rgb="FF000000"/>
            <rFont val="Tahoma"/>
            <family val="2"/>
          </rPr>
          <t>kflick:</t>
        </r>
        <r>
          <rPr>
            <sz val="9"/>
            <color rgb="FF000000"/>
            <rFont val="Tahoma"/>
            <family val="2"/>
          </rPr>
          <t xml:space="preserve">
</t>
        </r>
        <r>
          <rPr>
            <b/>
            <sz val="9"/>
            <color rgb="FF000000"/>
            <rFont val="Tahoma"/>
            <family val="2"/>
          </rPr>
          <t>Risk Manager Use ONLY</t>
        </r>
        <r>
          <rPr>
            <sz val="9"/>
            <color rgb="FF000000"/>
            <rFont val="Tahoma"/>
            <family val="2"/>
          </rPr>
          <t xml:space="preserve"> - Scoring</t>
        </r>
      </text>
    </comment>
    <comment ref="P1" authorId="0" shapeId="0" xr:uid="{FE723D3D-EEEC-954D-B190-9E719C6D3B5E}">
      <text>
        <r>
          <rPr>
            <b/>
            <sz val="9"/>
            <color rgb="FF000000"/>
            <rFont val="Tahoma"/>
            <family val="2"/>
          </rPr>
          <t>kflick:</t>
        </r>
        <r>
          <rPr>
            <sz val="9"/>
            <color rgb="FF000000"/>
            <rFont val="Tahoma"/>
            <family val="2"/>
          </rPr>
          <t xml:space="preserve">
</t>
        </r>
        <r>
          <rPr>
            <b/>
            <sz val="9"/>
            <color rgb="FF000000"/>
            <rFont val="Tahoma"/>
            <family val="2"/>
          </rPr>
          <t>Risk Manager Use ONLY -</t>
        </r>
        <r>
          <rPr>
            <sz val="9"/>
            <color rgb="FF000000"/>
            <rFont val="Tahoma"/>
            <family val="2"/>
          </rPr>
          <t xml:space="preserve"> Scoring</t>
        </r>
      </text>
    </comment>
    <comment ref="Q1" authorId="0" shapeId="0" xr:uid="{04B610DD-6B4F-174A-A08C-2C803D99C3C0}">
      <text>
        <r>
          <rPr>
            <b/>
            <sz val="9"/>
            <color indexed="81"/>
            <rFont val="Tahoma"/>
            <family val="2"/>
          </rPr>
          <t>kflick:</t>
        </r>
        <r>
          <rPr>
            <sz val="9"/>
            <color indexed="81"/>
            <rFont val="Tahoma"/>
            <family val="2"/>
          </rPr>
          <t xml:space="preserve">
</t>
        </r>
        <r>
          <rPr>
            <b/>
            <sz val="9"/>
            <color indexed="81"/>
            <rFont val="Tahoma"/>
            <family val="2"/>
          </rPr>
          <t>Risk Manager Use ONLY</t>
        </r>
        <r>
          <rPr>
            <sz val="9"/>
            <color indexed="81"/>
            <rFont val="Tahoma"/>
            <family val="2"/>
          </rPr>
          <t xml:space="preserve"> - Scoring</t>
        </r>
      </text>
    </comment>
    <comment ref="R1" authorId="0" shapeId="0" xr:uid="{54DFB1C2-C771-AE46-A61C-9708C740D603}">
      <text>
        <r>
          <rPr>
            <b/>
            <sz val="9"/>
            <color indexed="81"/>
            <rFont val="Tahoma"/>
            <family val="2"/>
          </rPr>
          <t>kflick:</t>
        </r>
        <r>
          <rPr>
            <sz val="9"/>
            <color indexed="81"/>
            <rFont val="Tahoma"/>
            <family val="2"/>
          </rPr>
          <t xml:space="preserve">
</t>
        </r>
        <r>
          <rPr>
            <b/>
            <sz val="9"/>
            <color indexed="81"/>
            <rFont val="Tahoma"/>
            <family val="2"/>
          </rPr>
          <t>Risk Manager Use ONLY</t>
        </r>
        <r>
          <rPr>
            <sz val="9"/>
            <color indexed="81"/>
            <rFont val="Tahoma"/>
            <family val="2"/>
          </rPr>
          <t xml:space="preserve"> - Scoring</t>
        </r>
      </text>
    </comment>
    <comment ref="S1" authorId="0" shapeId="0" xr:uid="{02E3BDAC-9AD6-6D48-8D4D-2686462E5485}">
      <text>
        <r>
          <rPr>
            <b/>
            <sz val="9"/>
            <color indexed="81"/>
            <rFont val="Tahoma"/>
            <family val="2"/>
          </rPr>
          <t>kflick:</t>
        </r>
        <r>
          <rPr>
            <sz val="9"/>
            <color indexed="81"/>
            <rFont val="Tahoma"/>
            <family val="2"/>
          </rPr>
          <t xml:space="preserve">
</t>
        </r>
        <r>
          <rPr>
            <b/>
            <sz val="9"/>
            <color indexed="81"/>
            <rFont val="Tahoma"/>
            <family val="2"/>
          </rPr>
          <t xml:space="preserve">Risk Manager Use ONLY </t>
        </r>
        <r>
          <rPr>
            <sz val="9"/>
            <color indexed="81"/>
            <rFont val="Tahoma"/>
            <family val="2"/>
          </rPr>
          <t>- Scoring</t>
        </r>
      </text>
    </comment>
    <comment ref="T1" authorId="0" shapeId="0" xr:uid="{D0F9E953-8090-084A-BCAF-C0043778A2F7}">
      <text>
        <r>
          <rPr>
            <b/>
            <sz val="9"/>
            <color indexed="81"/>
            <rFont val="Tahoma"/>
            <family val="2"/>
          </rPr>
          <t>kflick:</t>
        </r>
        <r>
          <rPr>
            <sz val="9"/>
            <color indexed="81"/>
            <rFont val="Tahoma"/>
            <family val="2"/>
          </rPr>
          <t xml:space="preserve">
Calculated Field </t>
        </r>
        <r>
          <rPr>
            <b/>
            <sz val="9"/>
            <color indexed="81"/>
            <rFont val="Tahoma"/>
            <family val="2"/>
          </rPr>
          <t>DO NOT ALTER:</t>
        </r>
        <r>
          <rPr>
            <sz val="9"/>
            <color indexed="81"/>
            <rFont val="Tahoma"/>
            <family val="2"/>
          </rPr>
          <t xml:space="preserve">
</t>
        </r>
        <r>
          <rPr>
            <b/>
            <sz val="9"/>
            <color indexed="81"/>
            <rFont val="Tahoma"/>
            <family val="2"/>
          </rPr>
          <t>This is the overall Risk Impact Score BEFORE mitigation is completed.</t>
        </r>
        <r>
          <rPr>
            <sz val="9"/>
            <color indexed="81"/>
            <rFont val="Tahoma"/>
            <family val="2"/>
          </rPr>
          <t xml:space="preserve"> 
The scoring is based on calculations as defined in the Project Risk Management Plan. Likelihood, Cost, Schedule, and Technical are scored based on Impact assessments, and the Likelihood score is multiplied by the greatest of the scores for Cost, Schedule, Technical Impact.
</t>
        </r>
      </text>
    </comment>
    <comment ref="U1" authorId="0" shapeId="0" xr:uid="{8C35973C-EB4E-2F4F-AEC5-39023270F5C7}">
      <text>
        <r>
          <rPr>
            <b/>
            <sz val="9"/>
            <color rgb="FF000000"/>
            <rFont val="Tahoma"/>
            <family val="2"/>
          </rPr>
          <t>kflick:</t>
        </r>
        <r>
          <rPr>
            <sz val="9"/>
            <color rgb="FF000000"/>
            <rFont val="Tahoma"/>
            <family val="2"/>
          </rPr>
          <t xml:space="preserve">
</t>
        </r>
        <r>
          <rPr>
            <sz val="9"/>
            <color rgb="FF000000"/>
            <rFont val="Tahoma"/>
            <family val="2"/>
          </rPr>
          <t xml:space="preserve">Document the steps that will be taken to mitigate the Likelihood, Cost, Schedule, and Scope impacts that the identified risk might have on the project. Try to provide as much relevant, specific  detail as possible to assist the project in actively managing the outcome of the activities associated with the identified risk. 
</t>
        </r>
        <r>
          <rPr>
            <sz val="9"/>
            <color rgb="FF000000"/>
            <rFont val="Tahoma"/>
            <family val="2"/>
          </rPr>
          <t xml:space="preserve">
</t>
        </r>
        <r>
          <rPr>
            <b/>
            <sz val="9"/>
            <color rgb="FF000000"/>
            <rFont val="Tahoma"/>
            <family val="2"/>
          </rPr>
          <t>Documented mitigations should be reasonable and not impact the project more than the risk</t>
        </r>
        <r>
          <rPr>
            <sz val="9"/>
            <color rgb="FF000000"/>
            <rFont val="Tahoma"/>
            <family val="2"/>
          </rPr>
          <t xml:space="preserve">, if fully realized might impact the project. 
</t>
        </r>
        <r>
          <rPr>
            <sz val="9"/>
            <color rgb="FF000000"/>
            <rFont val="Tahoma"/>
            <family val="2"/>
          </rPr>
          <t xml:space="preserve">
</t>
        </r>
        <r>
          <rPr>
            <b/>
            <sz val="9"/>
            <color rgb="FF000000"/>
            <rFont val="Tahoma"/>
            <family val="2"/>
          </rPr>
          <t>Documented mitigations should be included in the baseline plan,</t>
        </r>
        <r>
          <rPr>
            <sz val="9"/>
            <color rgb="FF000000"/>
            <rFont val="Tahoma"/>
            <family val="2"/>
          </rPr>
          <t xml:space="preserve"> and until the plan is updated, the estimated cost of mitigation should be included in the "Cost to Mitigate" column, after which the cost to mitigate should be removed.
</t>
        </r>
        <r>
          <rPr>
            <sz val="9"/>
            <color rgb="FF000000"/>
            <rFont val="Tahoma"/>
            <family val="2"/>
          </rPr>
          <t xml:space="preserve">
</t>
        </r>
        <r>
          <rPr>
            <sz val="9"/>
            <color rgb="FF000000"/>
            <rFont val="Tahoma"/>
            <family val="2"/>
          </rPr>
          <t xml:space="preserve">Some risks can not be mitigated. Include any information on monitoring, trigger events to watch for etc., so that the project can adequately manage related aspects of the overall project. 
</t>
        </r>
      </text>
    </comment>
    <comment ref="V1" authorId="0" shapeId="0" xr:uid="{C05D5BD5-AFB7-C84E-B642-57573134CAA4}">
      <text>
        <r>
          <rPr>
            <b/>
            <sz val="9"/>
            <color indexed="81"/>
            <rFont val="Tahoma"/>
            <family val="2"/>
          </rPr>
          <t>kflick:</t>
        </r>
        <r>
          <rPr>
            <sz val="9"/>
            <color indexed="81"/>
            <rFont val="Tahoma"/>
            <family val="2"/>
          </rPr>
          <t xml:space="preserve">
Document specific dates and/or circumstances for triggers, milestones, due dates, etc. for specific items listed in the Risk Handling Plan (Prior Column) 
Included may be things like: Report due dates,  MOU due dates, inspections, studies, investigations, schedule milestones, Start-by dates, etc...</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<sst xmlns="http://schemas.openxmlformats.org/spreadsheetml/2006/main" count="14461" uniqueCount="5129">
  <si>
    <r>
      <t xml:space="preserve">Consequence: </t>
    </r>
    <r>
      <rPr>
        <sz val="11"/>
        <color theme="1"/>
        <rFont val="Times New Roman"/>
        <family val="1"/>
      </rPr>
      <t>Outcome of an event. (Normally includes scope, schedule, and cost).</t>
    </r>
  </si>
  <si>
    <r>
      <t xml:space="preserve">External Risks: </t>
    </r>
    <r>
      <rPr>
        <sz val="11"/>
        <color theme="1"/>
        <rFont val="Times New Roman"/>
        <family val="1"/>
      </rPr>
      <t>Risks outside the project control or global risks inherent in any project such as global economic downturn, trade difficulties affecting deliverables such as construction materials or political actions that are beyond the direct control of the project.</t>
    </r>
  </si>
  <si>
    <r>
      <t xml:space="preserve">Internal Risks: </t>
    </r>
    <r>
      <rPr>
        <sz val="11"/>
        <color theme="1"/>
        <rFont val="Times New Roman"/>
        <family val="1"/>
      </rPr>
      <t>Risks that the project has direct control over, such as organizational behavior and dynamics, organizational structure, resources, performance, financing, and management support.</t>
    </r>
  </si>
  <si>
    <r>
      <t xml:space="preserve">Key Risk: </t>
    </r>
    <r>
      <rPr>
        <sz val="11"/>
        <color theme="1"/>
        <rFont val="Times New Roman"/>
        <family val="1"/>
      </rPr>
      <t>Key risks are a set of risks considered to be of particular interest to the project team. These key risks are those estimated to have the most impact on cost and schedule and could include project, technical, internal, external, and other sub-categories of risk.</t>
    </r>
  </si>
  <si>
    <r>
      <t xml:space="preserve">Mitigate: </t>
    </r>
    <r>
      <rPr>
        <sz val="11"/>
        <color theme="1"/>
        <rFont val="Times New Roman"/>
        <family val="1"/>
      </rPr>
      <t>To eliminate or lessen the likelihood and/or consequence of a risk.</t>
    </r>
  </si>
  <si>
    <r>
      <t xml:space="preserve">Opportunity: </t>
    </r>
    <r>
      <rPr>
        <sz val="11"/>
        <color theme="1"/>
        <rFont val="Times New Roman"/>
        <family val="1"/>
      </rPr>
      <t>Risk with positive benefits.</t>
    </r>
  </si>
  <si>
    <r>
      <t xml:space="preserve">Probability: </t>
    </r>
    <r>
      <rPr>
        <sz val="11"/>
        <color theme="1"/>
        <rFont val="Times New Roman"/>
        <family val="1"/>
      </rPr>
      <t>Likelihood of an event occurring, expressed as a qualitative and/or quantitative metric.</t>
    </r>
  </si>
  <si>
    <r>
      <t xml:space="preserve">Project Risk: </t>
    </r>
    <r>
      <rPr>
        <sz val="11"/>
        <color theme="1"/>
        <rFont val="Times New Roman"/>
        <family val="1"/>
      </rPr>
      <t>Risks that are captured within the scope, cost, or schedule of the project</t>
    </r>
  </si>
  <si>
    <r>
      <t xml:space="preserve">Qualitative Risk Analysis: </t>
    </r>
    <r>
      <rPr>
        <sz val="11"/>
        <color theme="1"/>
        <rFont val="Times New Roman"/>
        <family val="1"/>
      </rPr>
      <t>Involves assessing the probability and impact of project risks using a variety of subjective and judgmental techniques to rank or prioritize the risks.</t>
    </r>
  </si>
  <si>
    <r>
      <t xml:space="preserve">Quantitative Risk Analysis: </t>
    </r>
    <r>
      <rPr>
        <sz val="11"/>
        <color theme="1"/>
        <rFont val="Times New Roman"/>
        <family val="1"/>
      </rPr>
      <t>Involves assessing the probability and impact of project risks and using more numerically based techniques, such as simulation and decision tree analysis for determining risk implications.</t>
    </r>
  </si>
  <si>
    <r>
      <t xml:space="preserve">Residual Risk: </t>
    </r>
    <r>
      <rPr>
        <sz val="11"/>
        <color theme="1"/>
        <rFont val="Times New Roman"/>
        <family val="1"/>
      </rPr>
      <t>Risk that remains after risk mitigation has been successfully implemented.</t>
    </r>
  </si>
  <si>
    <r>
      <t xml:space="preserve">Risk: </t>
    </r>
    <r>
      <rPr>
        <sz val="11"/>
        <color theme="1"/>
        <rFont val="Times New Roman"/>
        <family val="1"/>
      </rPr>
      <t>An uncertain event that, if it occurs, has an outcome that could either positively or negatively impact project objectives.</t>
    </r>
  </si>
  <si>
    <r>
      <t xml:space="preserve">Risk Acceptance: </t>
    </r>
    <r>
      <rPr>
        <sz val="11"/>
        <color theme="1"/>
        <rFont val="Times New Roman"/>
        <family val="1"/>
      </rPr>
      <t>An informed and deliberate decision to accept consequences and the likelihood of a particular risk.</t>
    </r>
  </si>
  <si>
    <r>
      <t xml:space="preserve">Risk Analysis: </t>
    </r>
    <r>
      <rPr>
        <sz val="11"/>
        <color theme="1"/>
        <rFont val="Times New Roman"/>
        <family val="1"/>
      </rPr>
      <t>Process by which risks are examined in further detail to determine the extent of risks, how they related to each other, and which ones are the highest risks.</t>
    </r>
  </si>
  <si>
    <r>
      <t xml:space="preserve">Risk Assessment: </t>
    </r>
    <r>
      <rPr>
        <sz val="11"/>
        <color theme="1"/>
        <rFont val="Times New Roman"/>
        <family val="1"/>
      </rPr>
      <t>Identification and analysis of project and program risks to ensure an understanding of each risk in terms of probability and consequences.</t>
    </r>
  </si>
  <si>
    <r>
      <t xml:space="preserve">Risk Assumption: </t>
    </r>
    <r>
      <rPr>
        <sz val="11"/>
        <color theme="1"/>
        <rFont val="Times New Roman"/>
        <family val="1"/>
      </rPr>
      <t>Any assumptions pertaining to the risk itself.</t>
    </r>
    <r>
      <rPr>
        <b/>
        <sz val="11"/>
        <color theme="1"/>
        <rFont val="Times New Roman"/>
        <family val="1"/>
      </rPr>
      <t xml:space="preserve"> </t>
    </r>
  </si>
  <si>
    <r>
      <t xml:space="preserve">Risk Mitigation: </t>
    </r>
    <r>
      <rPr>
        <sz val="11"/>
        <color theme="1"/>
        <rFont val="Times New Roman"/>
        <family val="1"/>
      </rPr>
      <t>Process to reduce the consequence and/or probability of a risk.</t>
    </r>
    <r>
      <rPr>
        <b/>
        <sz val="11"/>
        <color theme="1"/>
        <rFont val="Times New Roman"/>
        <family val="1"/>
      </rPr>
      <t xml:space="preserve"> </t>
    </r>
    <r>
      <rPr>
        <sz val="11"/>
        <color theme="1"/>
        <rFont val="Times New Roman"/>
        <family val="1"/>
      </rPr>
      <t>After the mitigation plan has been approved,</t>
    </r>
    <r>
      <rPr>
        <b/>
        <sz val="11"/>
        <color theme="1"/>
        <rFont val="Times New Roman"/>
        <family val="1"/>
      </rPr>
      <t xml:space="preserve"> </t>
    </r>
    <r>
      <rPr>
        <sz val="11"/>
        <color theme="1"/>
        <rFont val="Times New Roman"/>
        <family val="1"/>
      </rPr>
      <t>mitigation resources become part of project resource-loaded schedule.</t>
    </r>
  </si>
  <si>
    <r>
      <t xml:space="preserve">Trigger Metric: </t>
    </r>
    <r>
      <rPr>
        <sz val="11"/>
        <color theme="1"/>
        <rFont val="Times New Roman"/>
        <family val="1"/>
      </rPr>
      <t>Event, occurrence or sequence of events that indicates the risk may be about to occur, or the pre-step for the risk indicating that the risk will be initiated.</t>
    </r>
  </si>
  <si>
    <t>Risk Identification</t>
  </si>
  <si>
    <t>Risk Event (IF). Must be in the future, must be uncertain (probability &lt;100%)</t>
  </si>
  <si>
    <t>Risk Impacts (THEN). Describe cost, schedule, technical consequences if risk realizes.</t>
  </si>
  <si>
    <t>Risk Title (Short but clear description)</t>
  </si>
  <si>
    <t>L2 WBS</t>
  </si>
  <si>
    <t>Risk Owner</t>
  </si>
  <si>
    <t>P6 Schedule Milestone Affected (when MS reached, risk can be retired)</t>
  </si>
  <si>
    <t>Qualitative Assessment
(Pre-mitigated)</t>
  </si>
  <si>
    <t>Risk Probability Range (&lt;10%, 10-25%, 25-40%, 40-65%, &gt;65%)</t>
  </si>
  <si>
    <t>Cost Impact, $K</t>
  </si>
  <si>
    <t>Schedule Delay, months</t>
  </si>
  <si>
    <t>Minimal or no impact to threshold or objective KPPs? YES/NO</t>
  </si>
  <si>
    <t>Possible impact to objective KPPs but workarounds available, no impact to threshold KPPs. YES/NO</t>
  </si>
  <si>
    <t>Possible impact to an objective KPP, but likely no workaround available. No impact to threshold KPPs. YES/NO</t>
  </si>
  <si>
    <t>Will impact objective KPP.  Possible impact to threshold KPPs, but workaround available.  YES/NO</t>
  </si>
  <si>
    <t>Impacts a threshold KPP. YES/NO</t>
  </si>
  <si>
    <t>Rsk Handling (Avoid, Accept, Enhance, Mitigate, Transfer)</t>
  </si>
  <si>
    <t>Mitigation plan (what will be done to reduce probability and/or impacts)</t>
  </si>
  <si>
    <t>Quantitative Assessment
(Post-mitigated, aka Residual)</t>
  </si>
  <si>
    <t>Residual risk probability (assuming all mitigations will be done)</t>
  </si>
  <si>
    <t>Are mitigation resources (to implement the plan in row 14) in P6?</t>
  </si>
  <si>
    <t>Low cost impact, $K</t>
  </si>
  <si>
    <t>Likely cost impact, $K</t>
  </si>
  <si>
    <t>High cost impact, $K</t>
  </si>
  <si>
    <t>Low schedule impact, mo</t>
  </si>
  <si>
    <t>Likely schedule impact, mo</t>
  </si>
  <si>
    <t>High schedule impact, mo</t>
  </si>
  <si>
    <t>How 3 point estimates were calculated (rows 16-21)</t>
  </si>
  <si>
    <t>Primary Risk (Unmitigated Risk Assessment)</t>
  </si>
  <si>
    <t>Risk Handling Plan (Mitigations)</t>
  </si>
  <si>
    <t xml:space="preserve">                                        Notes</t>
  </si>
  <si>
    <t>Status</t>
  </si>
  <si>
    <t>Risk ID</t>
  </si>
  <si>
    <t>Threat/ Opportunity</t>
  </si>
  <si>
    <t>Lab</t>
  </si>
  <si>
    <t>WBS Manager</t>
  </si>
  <si>
    <t xml:space="preserve"> Risk ID</t>
  </si>
  <si>
    <t>System Code</t>
  </si>
  <si>
    <t>Risk Title</t>
  </si>
  <si>
    <t>IF/THEN</t>
  </si>
  <si>
    <t>Likelihood of Impact
Category</t>
  </si>
  <si>
    <t>Cost Impact Estimate ($K)</t>
  </si>
  <si>
    <t>Cost Impact Category</t>
  </si>
  <si>
    <t>Schedule Impact (months)</t>
  </si>
  <si>
    <t>Schedule Impact Category</t>
  </si>
  <si>
    <t>Technical Impact Category</t>
  </si>
  <si>
    <t>Likelihood Score (1-5)</t>
  </si>
  <si>
    <t>Cost Score (1-5)</t>
  </si>
  <si>
    <t>Schedule Score (1-5)</t>
  </si>
  <si>
    <t>Technical Score (1-5)</t>
  </si>
  <si>
    <t>Risk Consequence Weight 
(Max of Cost/ Sched/ Tech)</t>
  </si>
  <si>
    <t>Overall Impact Score</t>
  </si>
  <si>
    <t>Pre-Mitigated Overall Category</t>
  </si>
  <si>
    <t>Notes/Cost Estimate Basis
for Primary Risks</t>
  </si>
  <si>
    <t>Average Likelihood for Primary Risks</t>
  </si>
  <si>
    <t>Primary Risk Expected Monetary Value (K$)</t>
  </si>
  <si>
    <t>Handling Method</t>
  </si>
  <si>
    <t>Mitigations / Enhancement Plans</t>
  </si>
  <si>
    <t>Cost of Mitigations (NOT Costed in Baseline) ($K)</t>
  </si>
  <si>
    <t>Risk Trigger Date (FQ or FY)</t>
  </si>
  <si>
    <t>Risk Trigger P6 activity</t>
  </si>
  <si>
    <t>P6 Milestone Affected</t>
  </si>
  <si>
    <t>Residual Risk Likelihood (%)</t>
  </si>
  <si>
    <t>Low Cost Impact ($K)</t>
  </si>
  <si>
    <t>Likely Cost Impact ($K)</t>
  </si>
  <si>
    <t>High Cost Impact ($K)</t>
  </si>
  <si>
    <t>Low Schedule Impact (MOs)</t>
  </si>
  <si>
    <t>Likely Schedule Impact (MOs)</t>
  </si>
  <si>
    <t>High Schedule Impact (MOs)</t>
  </si>
  <si>
    <t>Residual Risk Likelihood 
(Category)</t>
  </si>
  <si>
    <t>Residual Cost Impact (Category)</t>
  </si>
  <si>
    <t>Residual Schedule Impact (Category)</t>
  </si>
  <si>
    <t>Residual Technical Impact (Category)</t>
  </si>
  <si>
    <t>Risk Consequence Weight 
(Max of Cost/Sched/Tech)</t>
  </si>
  <si>
    <t>Post-Mitigated Overall Category</t>
  </si>
  <si>
    <t>Management Assessment: Overall Impact</t>
  </si>
  <si>
    <t>Basis of Impact Estimates for Mitigated Risks</t>
  </si>
  <si>
    <t>Mitigated Risk EMV (K$)</t>
  </si>
  <si>
    <t>Last Reviewed / Updated</t>
  </si>
  <si>
    <t>Review Meeting Questions / Risk Manager Notes</t>
  </si>
  <si>
    <t>Risk Manager Notes - Burndown, Model, etc.…</t>
  </si>
  <si>
    <t>Retirement Notes</t>
  </si>
  <si>
    <t>Monte Carlo Model Notes</t>
  </si>
  <si>
    <t>Category</t>
  </si>
  <si>
    <t>Average Expected Value ($K)</t>
  </si>
  <si>
    <t>Realized
YES/NO</t>
  </si>
  <si>
    <t>Retired Date</t>
  </si>
  <si>
    <t>Proposed</t>
  </si>
  <si>
    <t>Approved</t>
  </si>
  <si>
    <t>Change History</t>
  </si>
  <si>
    <t xml:space="preserve">PERT Value </t>
  </si>
  <si>
    <t>Cost Impacts 
Low - Likely - High, $K</t>
  </si>
  <si>
    <t>Sched Impacts 
Low - Likely - High, mo</t>
  </si>
  <si>
    <t>AVG expected Cost, $K</t>
  </si>
  <si>
    <t>AVG Expected Delay, mo</t>
  </si>
  <si>
    <t>Risk ID Before May 2023</t>
  </si>
  <si>
    <t>FORMULA</t>
  </si>
  <si>
    <t xml:space="preserve">INPUT </t>
  </si>
  <si>
    <t>INPUT</t>
  </si>
  <si>
    <t>COPY of B for reporting</t>
  </si>
  <si>
    <t>Dropdown</t>
  </si>
  <si>
    <t>DROPDOWN</t>
  </si>
  <si>
    <t>Copy of old IDs</t>
  </si>
  <si>
    <t>RO-6-001-001</t>
  </si>
  <si>
    <t>Opportunity</t>
  </si>
  <si>
    <t>6.01 Project Management</t>
  </si>
  <si>
    <t>BNL</t>
  </si>
  <si>
    <t>L. Lari</t>
  </si>
  <si>
    <t>PM</t>
  </si>
  <si>
    <t>Additional In-Kind Contributions for Accelerator systems and Detector</t>
  </si>
  <si>
    <t>If there are additional in-kind contributions beyond what is planned in the baseline then some critical accelerator components can be obtained which will result in a cost savings.</t>
  </si>
  <si>
    <t>High (Risk is likely to occur with a probability of &gt;40 to &lt;65%)</t>
  </si>
  <si>
    <t>None</t>
  </si>
  <si>
    <t>Assume 5% of Accelerator Systems cost (Sept CE) will be contributed. 991.5M at 5% at 50% probability.</t>
  </si>
  <si>
    <t>Enhance</t>
  </si>
  <si>
    <t>Engage Project partners</t>
  </si>
  <si>
    <t>Q2 FY25</t>
  </si>
  <si>
    <t>E1102_01180 Start Construction</t>
  </si>
  <si>
    <t>Current in-kind is assumed at 5% for the accelerator ($50M) and 30% for the detector ($100M).  For Accelerator assume 6% for low; 8% for likely; 10% for high; For Detector assume 35% for low; 40% for likely; 45% for high.</t>
  </si>
  <si>
    <t>175</t>
  </si>
  <si>
    <t>RO-6-001-002</t>
  </si>
  <si>
    <t>G&amp;A decrease</t>
  </si>
  <si>
    <t>If the G&amp; A rate decreases, the cost for the project will decrease on all budgeted items</t>
  </si>
  <si>
    <t>Moderate (Risk is likely to occur with a probability of &gt; 25% to &lt; 40%)</t>
  </si>
  <si>
    <t>Based on sensitivity analysis</t>
  </si>
  <si>
    <t>Accept</t>
  </si>
  <si>
    <t>Accept and include in contingency calculation.</t>
  </si>
  <si>
    <t>Q1 FY25</t>
  </si>
  <si>
    <t>L1_090  CD-4 Approval Early Completion</t>
  </si>
  <si>
    <t xml:space="preserve">Assume that the Labs will hold the rates as best they can and that a 1% increase/decrease would be the most likely. Use the opposite of Risk 177, but the likelihood is probably cut in half. </t>
  </si>
  <si>
    <t>April 2023: Cobra rates change analysis for G&amp;A 1% decrease, COMMON 1.5% decrease</t>
  </si>
  <si>
    <t>178</t>
  </si>
  <si>
    <t>RT-6-001-001</t>
  </si>
  <si>
    <t>Threat</t>
  </si>
  <si>
    <t>Reprioritized Redirect Funds FY25</t>
  </si>
  <si>
    <t xml:space="preserve">If the amount of redirected funds available is less than anticipated and DOE can't provide new funds to make up the difference, work will get delayed and the project will take longer and cost more.  </t>
  </si>
  <si>
    <t>30M Assumption of possible loss of redirected funds</t>
  </si>
  <si>
    <t>Mitigate</t>
  </si>
  <si>
    <t>Work closely with NPP Directorate to ensure that the redirected dollar amounts are understood and agreed. Work to get partners who could contribute to reduce the amount of funds required from ONP.</t>
  </si>
  <si>
    <t>L3_5180 FY24 Funding Available Including Anticipated CR</t>
  </si>
  <si>
    <t>Assume very low probability and no impact to cost; assume 6mo delay for each of FY24-31 funds available MS.</t>
  </si>
  <si>
    <t>Feb 2023: add $30M cost impact</t>
  </si>
  <si>
    <t>4</t>
  </si>
  <si>
    <t>RT-6-001-002</t>
  </si>
  <si>
    <t>Supply Chain Issues for non-LLP items</t>
  </si>
  <si>
    <t xml:space="preserve">If the project procurements are affected by interruptions in the supply chain, then the schedule will be delayed and the cost will go up. </t>
  </si>
  <si>
    <t>Low (Risk is likely to occur with a probability of &gt; 10% to &lt; 25%)</t>
  </si>
  <si>
    <t>Assume 1% of project cost</t>
  </si>
  <si>
    <t>Work closely with BNL and JLab management and procurement to identify procurements that might be affected; develop supply chain list.</t>
  </si>
  <si>
    <t>Q3 FY25</t>
  </si>
  <si>
    <t>Assume this is separate from Commodity Price Fluctuations. Assume Early Completion delays 3-6-12mo, SAC $40.8M</t>
  </si>
  <si>
    <t>Sched only in MC model</t>
  </si>
  <si>
    <t>5</t>
  </si>
  <si>
    <t>RT-6-001-003</t>
  </si>
  <si>
    <t>Procurement Schedule</t>
  </si>
  <si>
    <t>If procurements close to Critical Path get delayed, it will affect the Early Finish</t>
  </si>
  <si>
    <t>Work in close coordination with BNL and TJ procurement departments</t>
  </si>
  <si>
    <t>TBD</t>
  </si>
  <si>
    <t>Assume this is separate from Commodity Price Fluctuations and Supply Chain Issues. Assume Early Completion delays 3-6-12mo, SAC $40.8M</t>
  </si>
  <si>
    <t>7</t>
  </si>
  <si>
    <t>RT-6-001-004</t>
  </si>
  <si>
    <t>C. Montag</t>
  </si>
  <si>
    <t>Small Number of Magnet Vendors</t>
  </si>
  <si>
    <t>If the number of vendors for eSR,  RCS, IR Magnets and other accelerator components is small, it may drive up the price and end up costing more than we anticipated.</t>
  </si>
  <si>
    <t>Build up vendor base for magnets, diagnostics, vacuum chambers, bellows, and copper.  Develop strategy to engage and qualify vendors. Applies to 6.03 and 6.04
Procurement strategy - start as early as possible to control timing.  Possible CD-3a.BNL procure materials. Make/buy perhaps with other labs.</t>
  </si>
  <si>
    <t>The EIC needs to procure more than 3000 normal-conducting magnets of different types. While the ANL magnets for the ESR help to reduce this number by about 15 percent, the remaining quantity is still challenging. In addition, several laboratories around the world have scheduled upgrade projects in the same time frame as the EIC construction, which increases the overall demand for magnets significantly. Careful planning of the magnet procurement schedule for the EIC is absolutely necessary to reduce competition for magnet vendors within the project. However, the project has no control over the schedule of outside projects.  </t>
  </si>
  <si>
    <t>March 2023: Probability 50%-&gt;40% because of ANL magnets. Updated justification.</t>
  </si>
  <si>
    <t>116</t>
  </si>
  <si>
    <t>RT-6-001-005</t>
  </si>
  <si>
    <t>Escalation Increase</t>
  </si>
  <si>
    <t>If the prices for procurements increase  beyond the expected escalation percentages, then there will be a cost impact to the project</t>
  </si>
  <si>
    <t>A 1% increase in escalation results in $86M, a 1% decrease in escalation -$82M</t>
  </si>
  <si>
    <t xml:space="preserve">Prepare Acquisition Plans and prepare procurement specifications early and work to complete the bid process and award the procurements  as early as reasonable consistent with  the funding profile. </t>
  </si>
  <si>
    <t>Kelly Krug's analysis May 12 2022. Took the time-phased P6 plan with no escalation and applied the rates Heather developed, and then compared it to the current P6 escalation.</t>
  </si>
  <si>
    <t>159</t>
  </si>
  <si>
    <t>RT-6-001-006</t>
  </si>
  <si>
    <t>S. Nagaitsev</t>
  </si>
  <si>
    <t xml:space="preserve"> RHIC Operations beyond June 2025</t>
  </si>
  <si>
    <t>If RHIC runs are delayed and run past June of 2025, then it will prohibit access to the tunnel and cause a delayed start in any destructive construction that has to be done in the tunnel.</t>
  </si>
  <si>
    <t>Very High (Risk is likely to occur with a probability of &gt;65%)</t>
  </si>
  <si>
    <t>There will be enhanced installation cost:
Installation in shifts and during weekends will increase the labor cost by factor 1.25, that is 25 M$
There might be an additional cost because we are forced to interleaving installation and commissioning/operations, 
 and we have to train temporary staff , corresponding inefficiency is estimated with 5M$ cost increase
The whole project is likely to  be delayed by 3 month which would increase the “hotel load” by 3 months ~2.5 Mio$ (97M$/40)
Management cost  x (1+3months/10years)
This adds up to ~30 M$.</t>
  </si>
  <si>
    <t>Start installing equipment, non destructive work only, increase density of installation schedule multiple shifts  to compress schedule, cross train staff in multiple work lines, ensure sufficient infrastructure (cranes, tools, test stands) to work in parallel to leverage available staff, staged for pre-installation.  Engage sPHENIX and NPP management to coordinate schedules.</t>
  </si>
  <si>
    <t>Q1 FY26</t>
  </si>
  <si>
    <t>If RHIC shut down is delayed, we assume here that we would not stick to the shutdown during the summer and we would go straight through.  Assume an extra 6 months as most likely; 3 months as low; 9 months as high.  Assume the hotel load per month plus some amount of other delays and the need to store material. If we saw this coming we could get ready with planning for multiple shifts.  There would probably be a shift factor of 1.5x on some portion of the installation labor.</t>
  </si>
  <si>
    <t>3</t>
  </si>
  <si>
    <t>RT-6-001-007</t>
  </si>
  <si>
    <t>Commodity Price Fluctuations</t>
  </si>
  <si>
    <t>If the cost of key commodities (e.g., copper) increases, then the cost of the project may increase.</t>
  </si>
  <si>
    <t>low (Risk is likely to occur with a probability of &gt; 10% to &lt; 25%)</t>
  </si>
  <si>
    <t>Negligible</t>
  </si>
  <si>
    <t>New risk based on ICR team assessment.</t>
  </si>
  <si>
    <t>Include in contingency calculation</t>
  </si>
  <si>
    <t>see tab ICR-002. Relative cost impact 5-20-50%.</t>
  </si>
  <si>
    <t>ICR-002</t>
  </si>
  <si>
    <t>RT-6-001-008</t>
  </si>
  <si>
    <t xml:space="preserve"> Insufficient scientific, engineering and technical human resources</t>
  </si>
  <si>
    <t>​If qualified personnel  are unavailable when needed, then it will result in higher cost and schedule delays.</t>
  </si>
  <si>
    <t>Hire Temporary staff , delay is time to hire 3-6 months depending on Personnel level.</t>
  </si>
  <si>
    <t>Workforce planning, expedite hiring, retention bonuses, succession planning at both Labs.</t>
  </si>
  <si>
    <t>This risk would come to realization if we lost a number of key personnel all at one time. The schedule risk here is a 2 month delay in having someone in place.</t>
  </si>
  <si>
    <t>Feb 2, 2022: probability changed to 10% from 50%; cost impacts changed to $K200-200-200 from 1000-1000-1000; schedule impact changed to 2-2-2 from 6-6-6. Reason: connect to 5 review milestones. March 2023: Consolidated with risks  2 and 9. Changed title and IF/THEN. Delays changed to 3-12-18mo, cost impacts are based on $40.8M SAC</t>
  </si>
  <si>
    <t>1</t>
  </si>
  <si>
    <t>RT-6-001-009</t>
  </si>
  <si>
    <t>Removal Work at BNL</t>
  </si>
  <si>
    <t xml:space="preserve">If RHIC accelerator and detector equipment is not removed by the EIC planned date, then there will be schedule delays and cost increase.  </t>
  </si>
  <si>
    <t>Work with BNL leadership on funding and due date for removal work.</t>
  </si>
  <si>
    <t>RT-6-001-010</t>
  </si>
  <si>
    <t>NYS Funding not adequate to cover planned scope</t>
  </si>
  <si>
    <t>If NYS Funding is reduced or advances are delayed, then the cost of NYS funded scope (6.11 impact) would increase and schedule for the project may be delayed.</t>
  </si>
  <si>
    <t>Estimated 10% reduction in funding.</t>
  </si>
  <si>
    <t>Actively engage with NYS funding agency.</t>
  </si>
  <si>
    <t>E110104_1070</t>
  </si>
  <si>
    <t xml:space="preserve">Schedule delay would likely be due to reduced ability to obtain advances according to plan. Cost impact would be due to inability to fund contracts with DOE funds, thereby incurring a delay claim by contractor(s). </t>
  </si>
  <si>
    <t>Feb 2023: add $4.8M cost impact</t>
  </si>
  <si>
    <t>123</t>
  </si>
  <si>
    <t>RT-6-001-011</t>
  </si>
  <si>
    <t>Full year CR FY25</t>
  </si>
  <si>
    <t xml:space="preserve">Continue to work improving schedule and performing analysis of CR impacts.  </t>
  </si>
  <si>
    <t>Funding Available FY 24-31</t>
  </si>
  <si>
    <t>Cost impact is a year of standing army cost</t>
  </si>
  <si>
    <t>Remove cost impact. Delay to Early Completion will result in applying hotel load costs.</t>
  </si>
  <si>
    <t>Mar 2023: Delays changed from 3mo to 12mo. Cost estimates changed from 1 500 $K to 40 800 $K</t>
  </si>
  <si>
    <t>174</t>
  </si>
  <si>
    <t>RT-6-001-012</t>
  </si>
  <si>
    <t>G&amp;A increase</t>
  </si>
  <si>
    <t>If the G&amp; A rate increases, the cost for the project will increase on all budgeted items</t>
  </si>
  <si>
    <t xml:space="preserve">Assume that the Labs will hold the rates as best they can and that a 1% increase/decrease would be the most likely. Probably best to use a 1.5% increase in Common Support (as that was the last increase we saw) as a likely scenario.  That increase resulted in a $1.5M increase in project cost (as calculated in the sensitivity analysis conducted for the CD-1 review (attached).   I would say $1M low and $2M likely.  </t>
  </si>
  <si>
    <t>April 2023: Cobra rates change analysis for G&amp;A 1% increase, COMMON 1.5% increase</t>
  </si>
  <si>
    <t>177</t>
  </si>
  <si>
    <t>RT-6-001-013</t>
  </si>
  <si>
    <t>Foreign Exchange Fluctuations</t>
  </si>
  <si>
    <t>If the US dollar experiences weakness against key foreign currencies (e.g., Euro), then the cost of the project in US dollar terms may increase.</t>
  </si>
  <si>
    <t>Assume foreign procurements are $100M, and exchange rate increases 10%. Point value for cost impact converted to a range based on a Class 5 cost ROM (-30% to +50%). No schedule impact.</t>
  </si>
  <si>
    <t>Foreign procurement list as of Oct 2022. Assume negative 10% - zero - positive 10% change of cost for low-likely-worst case scenarios.</t>
  </si>
  <si>
    <t>Oct 4 2022: cost estimate changed from -8600 - 0 - 12900 to -21700 - 0 - 21700. New BOE tab ICR-001.</t>
  </si>
  <si>
    <t>ICR-001</t>
  </si>
  <si>
    <t>RT-6-001-014</t>
  </si>
  <si>
    <t>Delays in securing of In-Kind Contributions</t>
  </si>
  <si>
    <t>If the level of in-kind contributions is less than anticipated, then the cost of the project to DOE may increase.</t>
  </si>
  <si>
    <t>Assume in-kind contributions are targeted at $242M, and contributions fall short by 10%. Point value for cost impact converted to a range based on a Class 5 cost ROM (-30% to +50%). No schedule impact.</t>
  </si>
  <si>
    <t>ICR-003</t>
  </si>
  <si>
    <t>RT-6-001-015</t>
  </si>
  <si>
    <t>C. Schaefer</t>
  </si>
  <si>
    <t>ESH Issues</t>
  </si>
  <si>
    <t xml:space="preserve">If an accident occurs, then corrective actions could result in schedule delays and increased costs.  </t>
  </si>
  <si>
    <t>Based on NSLS-II experience</t>
  </si>
  <si>
    <t>Carefully plan all work in accordance with BNL SBMS. Include safety reviews and safety review recommendations implementation in EIC resource loaded schedule.</t>
  </si>
  <si>
    <t>Q4 FY25</t>
  </si>
  <si>
    <t>Based on ES&amp;H statistics for similar projects.</t>
  </si>
  <si>
    <t>Mar 2023: owner changed from L. Stiegler to C. Schaefer. Probability 20%-&gt;10%, delays 6-6-6-&gt; 2-5-8mo.</t>
  </si>
  <si>
    <t>10</t>
  </si>
  <si>
    <t>RT-6-001-016</t>
  </si>
  <si>
    <t>Insufficient Number of Special Process Spares.</t>
  </si>
  <si>
    <t>If the number of required Special Process Spares is greater than currently anticipated, then the cost of the project may increase.</t>
  </si>
  <si>
    <t>Spares are targeted at $9M. Assume most likely increase is $1M. Point value for cost impact converted to a range based on a Class 5 cost ROM (-30% to +50%). No schedule impact.</t>
  </si>
  <si>
    <t>Q4 FY32</t>
  </si>
  <si>
    <t>We should assume that spares will be purchased with the larger quantity of items and then transferred to OPC funding at the end of the project. Spares are targeted at $9M. Assume most likely increase is $1M. Point value for cost impact converted to a range based on a Class 5 cost ROM (-30% to +50%). No schedule impact.</t>
  </si>
  <si>
    <t>ICR-004</t>
  </si>
  <si>
    <t>RT-6-001-017</t>
  </si>
  <si>
    <t>J. Yeck</t>
  </si>
  <si>
    <t>Accelerator Dependencies</t>
  </si>
  <si>
    <t xml:space="preserve">If accelerator dependencies at BNL are not provided as planned, then there will be schedule delays and cost increase.  </t>
  </si>
  <si>
    <t>Marginal</t>
  </si>
  <si>
    <t>Work with BNL leadership on funding and due dates for EIC external accelerator dependencies.</t>
  </si>
  <si>
    <t>Probability estimated as moderate. Delays are 3-6-12mo for low-likely-high impacts. Cost is calculated as Standing Army Cost based on current $40.8M/year</t>
  </si>
  <si>
    <t>RT-6-001-018</t>
  </si>
  <si>
    <t>Detector Dependencies</t>
  </si>
  <si>
    <t xml:space="preserve">If EIC dependencies at BNL are not provided as planned, then there will be schedule delays and cost increase.  </t>
  </si>
  <si>
    <t>Work with BNL leadership on funding and due dates for EIC external detector dependencies.</t>
  </si>
  <si>
    <t>Probability estimated as moderate. Delays are 6-12-18mo for low-likely-high impacts. Cost is calculated as Standing Army Cost based on current $40.8M/year</t>
  </si>
  <si>
    <t>RT-6-001-019</t>
  </si>
  <si>
    <t>RCS Integration into the Tunnel</t>
  </si>
  <si>
    <t>L. Lari / A. Lung</t>
  </si>
  <si>
    <t>Long Lead Procurements</t>
  </si>
  <si>
    <t>Request CD-3A approval</t>
  </si>
  <si>
    <t>Individual LLP risks have been developed</t>
  </si>
  <si>
    <t>No</t>
  </si>
  <si>
    <t>Oct 2022: First added this risk, above the individual LLP risks</t>
  </si>
  <si>
    <t>n/a</t>
  </si>
  <si>
    <t>6</t>
  </si>
  <si>
    <t>Skilled Labor Shortage</t>
  </si>
  <si>
    <t xml:space="preserve">If skilled designers and engineers are not available on time, there will be schedule delays. </t>
  </si>
  <si>
    <t>Contract with other labs and offer remote work where appropriate.</t>
  </si>
  <si>
    <t>Recent project experience</t>
  </si>
  <si>
    <t>Consolidate with risk 1</t>
  </si>
  <si>
    <t>Aug 2022: Added to reflect newly available IRA funding</t>
  </si>
  <si>
    <t>2</t>
  </si>
  <si>
    <t>Matrixed Labor Conflicts</t>
  </si>
  <si>
    <t>If matrixed labor is not available when needed by the EIC project, it could result in delays in work that would push out the schedule.</t>
  </si>
  <si>
    <t>Significant</t>
  </si>
  <si>
    <t xml:space="preserve">1.  Develop tools to understand what resources we need when.  DONE  2.  Detail plan all EIC work.  3.  Detail plan other work at C-AD.   4.  Vigorously resource level .   5.  Hire dedicated EIC staff whenever possible.   </t>
  </si>
  <si>
    <t>AS_0401_9090</t>
  </si>
  <si>
    <t>Applies to both BNL and TJ Labor. Assume all of TJ labor is matrixed. Assume 50% of BNL labor is matrixed. Total CD-1 labor = $710M. 25% of labor = TJ = $177.5M. 75% of labor = BNL = $532.5M x 50% = 266.25. Total matrixed labor = $443.75M. Schedule delays are assumed to be 3-6-12mo for Low-Likely-Best case scenarios.</t>
  </si>
  <si>
    <t>NO</t>
  </si>
  <si>
    <t>Jan 27, 2022: Probability changed to 20% from 80%. Reason - MOUs in place, schedule maturity.</t>
  </si>
  <si>
    <t>9</t>
  </si>
  <si>
    <t>C. Lavelle / A. Lung</t>
  </si>
  <si>
    <t>C. Lavelle</t>
  </si>
  <si>
    <t xml:space="preserve">JLAB Scope Rate impact </t>
  </si>
  <si>
    <t xml:space="preserve">If the JLAB work scope (assume 25%) of labor in the baseline is replaced with JLAB rates, then the cost will go down </t>
  </si>
  <si>
    <t>Assume 30% of labor costs (Sept Review) with a 15% reduction in rates at 90% confidence.</t>
  </si>
  <si>
    <t>L2_0320</t>
  </si>
  <si>
    <t>See tab Risk BOE 6_01</t>
  </si>
  <si>
    <t>JLAB rates are in P6 as of June 2022</t>
  </si>
  <si>
    <t>June 2022: Retire</t>
  </si>
  <si>
    <t>160</t>
  </si>
  <si>
    <t>Escalation Reduction</t>
  </si>
  <si>
    <t>If the prices for procurements decreases 1% per year beyond the expected percentages, then there will be a positive cost impact to the project</t>
  </si>
  <si>
    <t>May 2022 Escalation analysis.</t>
  </si>
  <si>
    <t xml:space="preserve">Oct 8, 2021: Probability reduced to 5% from 30%. Reason - current inflation forecasts </t>
  </si>
  <si>
    <t>176</t>
  </si>
  <si>
    <t>L. Stiegler</t>
  </si>
  <si>
    <t>COVID-19 Delay in Work</t>
  </si>
  <si>
    <t>If COVID-19 continues after FY22 , then there could be impact to the project schedule.</t>
  </si>
  <si>
    <t>high (Risk is likely to occur with a probability of &gt;40 to &lt;65%)</t>
  </si>
  <si>
    <t xml:space="preserve">Cost Estimate-10% of Nov. Monthly Cost (Nov 2020 1.9M) for 6 mos. </t>
  </si>
  <si>
    <t xml:space="preserve">Work closely with BNL and JLab management and implement all COVID safety protocols. </t>
  </si>
  <si>
    <t>L1_050 CD-3</t>
  </si>
  <si>
    <t>This is already happening….. Schedule delays would be tied to R&amp;D activities because that is the hands on work that is going on right now.</t>
  </si>
  <si>
    <t xml:space="preserve">Current Covid restrictions do not impact the work being done, and if stricter restrictions are re-instated, we have experience in dealing with them without impacting work.  </t>
  </si>
  <si>
    <t>167</t>
  </si>
  <si>
    <t>Management/Oversight of in-kind Contributions</t>
  </si>
  <si>
    <t>If the If the in kind contributions are not properly managed, then the project could experience significant cost or schedule impacts.</t>
  </si>
  <si>
    <t>25M extra costs to replan and hire staff to address schedule impacts and loss of contributed labor.</t>
  </si>
  <si>
    <t>Document the commitments for in-kind contributions through CRADAs/MOUs that specify the agreement to meet technical specifications as well as schedule requirements.  Incorporate key milestones for in-kind scope in the EIC P6 schedule to support tracking of progress and ensure integration.</t>
  </si>
  <si>
    <t>L2_0400</t>
  </si>
  <si>
    <t>2.5M extra costs to replan and hire staff to address schedule impacts and loss of contributed labor.  The cost would cover an additional dedicated individual for this.   High estimate includes an additional person.  Schedule risk associated with delays.</t>
  </si>
  <si>
    <t>Management HR is in P6.</t>
  </si>
  <si>
    <t>179</t>
  </si>
  <si>
    <t>40</t>
  </si>
  <si>
    <t>6.02 Accelerator Development and R&amp;D</t>
  </si>
  <si>
    <t>M. Blaskiewicz / T. Satogata</t>
  </si>
  <si>
    <t>M. Blaskiewicz</t>
  </si>
  <si>
    <t>AD</t>
  </si>
  <si>
    <t>Accelerator Physics</t>
  </si>
  <si>
    <t>Proton Emittance Growth Observed with Finite Crab Frequency</t>
  </si>
  <si>
    <t>High</t>
  </si>
  <si>
    <t xml:space="preserve">Task force has been assembled and is devoting 3FTEs to this problem. </t>
  </si>
  <si>
    <t>CDR - Task Force complete by Sept, problem studied for additional year, should be addressed by CD-2.</t>
  </si>
  <si>
    <r>
      <t xml:space="preserve">Retired 
</t>
    </r>
    <r>
      <rPr>
        <sz val="11"/>
        <color rgb="FFFF0000"/>
        <rFont val="Arial"/>
        <family val="2"/>
      </rPr>
      <t>TO BE COMPLETED</t>
    </r>
  </si>
  <si>
    <t>33</t>
  </si>
  <si>
    <t>M. Blaskiewicz / Q. Wu</t>
  </si>
  <si>
    <t>H. Witte</t>
  </si>
  <si>
    <t>SC_MAG</t>
  </si>
  <si>
    <t>IR Magnet Prototype Maturity</t>
  </si>
  <si>
    <t xml:space="preserve">If the R&amp;D Magnet Prototype construction is started before the design is fully mature and vetted, the successful completion could be jeopardized leading to additional cost and delays. </t>
  </si>
  <si>
    <t>Start R&amp;D magnet prototype effort once design is fully mature and reviewed.</t>
  </si>
  <si>
    <t>RD_0303_2359</t>
  </si>
  <si>
    <t>Engineering judgement</t>
  </si>
  <si>
    <t>Not accepted</t>
  </si>
  <si>
    <t>30</t>
  </si>
  <si>
    <t>31</t>
  </si>
  <si>
    <t>IR Magnet Prototype Completion</t>
  </si>
  <si>
    <t xml:space="preserve">If the R&amp;D Magnet Prototype is not constructed and tested before CD-2, performance issues of the IR magnets may be realized too late and the KPPs may need to be adjusted. </t>
  </si>
  <si>
    <t>Complete successful R&amp;D magnet test before CD-2</t>
  </si>
  <si>
    <t>RD_0303_3310</t>
  </si>
  <si>
    <t>Risk didn't make it to the active status.  The R&amp;D Magnet Prototype WAS NOT constructed and tested before CD-2, so the IF event became reality.</t>
  </si>
  <si>
    <t>YES</t>
  </si>
  <si>
    <t>79</t>
  </si>
  <si>
    <t>Inadequate Momentum Aperture in the ESR</t>
  </si>
  <si>
    <t>If we can't get adequate momentum aperture on or before CD-2, we will have reduced luminosity and won't be able to meet the likely objective KPPs of the EIC.</t>
  </si>
  <si>
    <t>Very Low (There is a &lt;10% chance that this event will occur)</t>
  </si>
  <si>
    <t>FY20 change of injection scheme from longitudinal to on-axis.  This resulted in a lower requirement and lower probability of risk realization.</t>
  </si>
  <si>
    <t>Revisit upon completion of task force report expected Q1FY21.</t>
  </si>
  <si>
    <t>None - no cost or sched. Impact</t>
  </si>
  <si>
    <t>We have generated ESR lattices with sufficient momentum acceptance, demonstrated by dynamic aperture optimization and tracking.</t>
  </si>
  <si>
    <t>80</t>
  </si>
  <si>
    <t>Failure to Design a 90 Degree Lattice for 18GeV</t>
  </si>
  <si>
    <t>If we can't design a 90-degree lattice for 18GeV by CD-2, we won't be able to reach the likely objective KPPs related to the luminosity required.</t>
  </si>
  <si>
    <t>FY20 task force updating design optics to accommodate dynamic aperture for 90-degree lattice.</t>
  </si>
  <si>
    <t>HR_0100_1540</t>
  </si>
  <si>
    <t>90 Degree Lattice for 18GeV has been designed</t>
  </si>
  <si>
    <t>08.24.22</t>
  </si>
  <si>
    <t>Aug 24 2022: risk retired, design complete</t>
  </si>
  <si>
    <t>88</t>
  </si>
  <si>
    <t>Electron Polarization</t>
  </si>
  <si>
    <t>If predicted electron polarization is inadequate at or before CD-2, then additional technical measures, such as beam based alignment or additional snake, need to be included in the design which will increase the cost.</t>
  </si>
  <si>
    <t>FY20 task force is evaluating alternatives for additional electron snake design.  Extension of task force may be needed.</t>
  </si>
  <si>
    <t>Beam based alignment is in the design. Harmonic bumps are in the design.</t>
  </si>
  <si>
    <t>RT-6-002-001</t>
  </si>
  <si>
    <t>IR Prototype collared magnet does not meet performance</t>
  </si>
  <si>
    <t xml:space="preserve">If the R&amp;D Magnet Prototype fails to meet the performance requirements, the reasons need to be investigated and the design might need to be changed leading to delays and additional costs. </t>
  </si>
  <si>
    <t>Use contingency</t>
  </si>
  <si>
    <t>E0203_09650 Q1ABpF Complete</t>
  </si>
  <si>
    <t>404</t>
  </si>
  <si>
    <t>RT-6-002-002</t>
  </si>
  <si>
    <t>Complete R&amp;D prototype collared magnet failure</t>
  </si>
  <si>
    <t xml:space="preserve">If the R&amp;D magnet prototype construction fails at a fundamental level, the reasons need to be investigated and remedies have to be implemented leading to substantial delays and costs.  </t>
  </si>
  <si>
    <t>Critical</t>
  </si>
  <si>
    <t>405</t>
  </si>
  <si>
    <t>RT-6-002-003</t>
  </si>
  <si>
    <t>VAC</t>
  </si>
  <si>
    <t>Fast Ion Instability</t>
  </si>
  <si>
    <t xml:space="preserve">If the vacuum conditions are poor during commissioning, we may see the fast ion instability in the electrons which will blow up the protons and likely lead to an impact on objective KPPs related to luminosity. </t>
  </si>
  <si>
    <t>Work with vacuum group to minimize likelihood.</t>
  </si>
  <si>
    <t>Engineering Judgment</t>
  </si>
  <si>
    <t>Design changes have dropped the pressure in the electron storage ring to safe levels</t>
  </si>
  <si>
    <t>83</t>
  </si>
  <si>
    <t>RT-6-002-004</t>
  </si>
  <si>
    <t>C. Hetzel</t>
  </si>
  <si>
    <t>Vacuum Channel Welding</t>
  </si>
  <si>
    <t>If vacuum channel welding is not successful, then it could be necessary to perform ebeam welding, which is more expensive than TIG welding and therefore a cost risk.</t>
  </si>
  <si>
    <t xml:space="preserve">Coordinate with the design group
</t>
  </si>
  <si>
    <t>Q3 FY24</t>
  </si>
  <si>
    <t>E0405_01300 PDR: ESR Arc Vacuum Chambers - Preliminary Design Review Complete</t>
  </si>
  <si>
    <t xml:space="preserve">There have been many changes to the ESR chamber design with the switch to NEG coating and EB welding or soldering will have to be used to join the cooling tubes to the vacuum chamber. This will be reflected in the baseline cost. </t>
  </si>
  <si>
    <t>106</t>
  </si>
  <si>
    <t>RT-6-002-005</t>
  </si>
  <si>
    <t>Feedback Noise in the ESR</t>
  </si>
  <si>
    <t xml:space="preserve">If noise from the feedback system is too large by CD-2, then the electrons will blow up the hadron beam, which will impact the likely objective KPPs related to the luminosity.  </t>
  </si>
  <si>
    <t>Research low noise BPMs.</t>
  </si>
  <si>
    <t>E0202_05580 FY25 - ESM - Document Algorithm Trouble Shooting - Controls, Instrumentation, &amp; LLRF Systems Results in a Tech Note</t>
  </si>
  <si>
    <t>No feedback will be required during luminosity production so there is no</t>
  </si>
  <si>
    <t>81</t>
  </si>
  <si>
    <t>12</t>
  </si>
  <si>
    <t>6.03 Electron Injector</t>
  </si>
  <si>
    <t>V. Ranjbar / J. Grames</t>
  </si>
  <si>
    <t>V. Ranjbar</t>
  </si>
  <si>
    <t>PD</t>
  </si>
  <si>
    <t>RCS Polarization Transmission</t>
  </si>
  <si>
    <t>If we achieve less than 95% polarization at 18GeV, it impacts our ultimate key performance parameters.</t>
  </si>
  <si>
    <t>Partial snake added</t>
  </si>
  <si>
    <t>EJ_0305_3020</t>
  </si>
  <si>
    <t>risk of the feedback system causing harm.</t>
  </si>
  <si>
    <t>Electron Ion Insufficient Performance</t>
  </si>
  <si>
    <t xml:space="preserve">If the polarized electron gun, which is carried over from the corresponding R&amp;R effort, does not deliver sufficient charge, then an alternative method must be used and the cost for this is not taken into account.  </t>
  </si>
  <si>
    <t>There is now money in the current budget to build a new gun since it was anticipated that the existing gun might not be able to deliver the full charge necessary I think it was designed under R&amp;D during the linac-Ring days for 5 nC but now we need 7nC. So in the budget John and Erdong already have funds for the rebuild.</t>
  </si>
  <si>
    <t>13</t>
  </si>
  <si>
    <t>Pulsed Devices</t>
  </si>
  <si>
    <t>Kicker Performance into the ESR</t>
  </si>
  <si>
    <t xml:space="preserve">R&amp;D for this area at BNL and other labs is in the project baseline. </t>
  </si>
  <si>
    <t>If the fast kicker cannot inject bunches spaced at 10 ns THEN we increase our bunch spacing which decreases luminosity.</t>
  </si>
  <si>
    <t>147</t>
  </si>
  <si>
    <t>Instability in the RCS if Accumulator Ring is Utilized</t>
  </si>
  <si>
    <t>If the kicker does not work and if instability in the RCS is not suppressed THEN we would add more linac after the accumulator.  This would add more cost.</t>
  </si>
  <si>
    <t xml:space="preserve">Increase the dynamic aperture </t>
  </si>
  <si>
    <t>Retired in July 2021 since this risk is based on an extremely low risk of the RF kicker not working.</t>
  </si>
  <si>
    <t>148</t>
  </si>
  <si>
    <t>Supply of Photocathode Wafers for Polarized Gun</t>
  </si>
  <si>
    <t>If commercial supply of wafers for the polarized gun are not sufficient we will have to invest to help develop the manufacturing capacity for these wafers.</t>
  </si>
  <si>
    <t>Work with Commercial vendors to help them develop capacity. Invest in development of manufacturing capacity.</t>
  </si>
  <si>
    <t xml:space="preserve"> EJ_0402_6225</t>
  </si>
  <si>
    <t>Could be retired in July 2021 since this risk only affects ultimate KPP, but it's useful to track this risk. Residual cost &amp; sched. Impacts set to zero.</t>
  </si>
  <si>
    <t>Retired Nov 18 2021. Found the supplier.</t>
  </si>
  <si>
    <t>180</t>
  </si>
  <si>
    <t>RT-6-003-001</t>
  </si>
  <si>
    <t>J. Skaritka</t>
  </si>
  <si>
    <t>INJ</t>
  </si>
  <si>
    <t>400 MeV Linac Delivery is late</t>
  </si>
  <si>
    <t>If 400 MeV Linac experiences production delays, then there will be project schedule delays and cost increase.</t>
  </si>
  <si>
    <t>Close communication with vendor.</t>
  </si>
  <si>
    <t>E0304_03200 400 MeV Linac - Delivery Milestone (Vendor)</t>
  </si>
  <si>
    <t>The gradual cost increases with increasing delays in LINAC delivery and or commissioning is based on the rational that additional program oversite, in person travel, some inefficiencies and additional work for BNL stall will be required to support the program while we wait upon LINAC system delivery and or commissioning under three different and progressively worsening delay scenarios .</t>
  </si>
  <si>
    <t>latest technical decisions resulted in delays</t>
  </si>
  <si>
    <t>LLP_6.03_1</t>
  </si>
  <si>
    <t>RT-6-003-002</t>
  </si>
  <si>
    <t>S. Philip</t>
  </si>
  <si>
    <t>NC_MAG</t>
  </si>
  <si>
    <t>RCS Dipole Magnets First Article Delay</t>
  </si>
  <si>
    <t>If RCS Dipole FA contract is delayed and/or vendor experiences production delays, then it will negatively impact the project schedule</t>
  </si>
  <si>
    <t>Work with procurement to award the contract on time; good communication with vendors.</t>
  </si>
  <si>
    <t>need MS after E0402_01645</t>
  </si>
  <si>
    <t>Probability is estimated as moderate. No cost impacts. Delays stem from uncertainties with foreign vendors, vendor quality, vendor availability, tech challenges.</t>
  </si>
  <si>
    <t>LLP_6.03_2</t>
  </si>
  <si>
    <t>RT-6-003-003</t>
  </si>
  <si>
    <t>RCS Dipole Magnet First Article Requires Modifications</t>
  </si>
  <si>
    <t>If RCS Dipole First Article tests identify issues, then it will negatively impact the project cost &amp; schedule</t>
  </si>
  <si>
    <t>Have an activity in P6 for addressing issues found in tests.</t>
  </si>
  <si>
    <t>E0302_07260 is not there, need new connection</t>
  </si>
  <si>
    <t>Probability is estimated as low. Cost and schedule impacts are estimated based on the current design and most recent project experience.</t>
  </si>
  <si>
    <t>LLP_6.03_3</t>
  </si>
  <si>
    <t>RT-6-003-004</t>
  </si>
  <si>
    <t xml:space="preserve">PS </t>
  </si>
  <si>
    <t>Power Supply Footprint</t>
  </si>
  <si>
    <t>If the power supply footprint increases, there will be an increase in associated building costs.</t>
  </si>
  <si>
    <t>Q4 FY33</t>
  </si>
  <si>
    <t>E0302_12472</t>
  </si>
  <si>
    <t>15</t>
  </si>
  <si>
    <t>RT-6-003-005</t>
  </si>
  <si>
    <t>INF</t>
  </si>
  <si>
    <t>Reconfigure/rebuild the IR12 Central Tunnel to provide space for RCS to ESR Transfer Systems.</t>
  </si>
  <si>
    <t>If the IR12 central tunnel area is not reconfigured and rebuilt to provide lateral space for the EIC RCS to ESR beam lines and transfer systems then the systems will have to be moved to another location.  If the IR12 rebuild is delayed, it will delay the overall installation schedule.</t>
  </si>
  <si>
    <t>If the IR12 tunnel is not rebuilt, then an alternative location will be needed for the RCS to ECR transfer.  At this time there are no open locations in either ring lattice around the ring.  This would be a significant redesign effort that may not provide a closed lattice. Other mitigation would be to complete the central tunnel rebuild/reconfiguration in 2024 prior to the end of the RHIC run program.</t>
  </si>
  <si>
    <t>not linked</t>
  </si>
  <si>
    <t>The IR12 Central Tunnel needs to be reconfigured to provide space for RCS to ESR Transfer Systems.  There is no other solution that has been put forward.</t>
  </si>
  <si>
    <t>60</t>
  </si>
  <si>
    <t>RT-6-003-006</t>
  </si>
  <si>
    <t>RCS Magnets Field Quality</t>
  </si>
  <si>
    <t xml:space="preserve">If the field quality requirements for the RCS magnets are tighter than assumed, then shimming and magnet sorting may become necessary leading to delays and cost increase. </t>
  </si>
  <si>
    <t>Q3 FY27</t>
  </si>
  <si>
    <t>E0302_05930 Magnetic Measurement Complete - AS09</t>
  </si>
  <si>
    <t>406</t>
  </si>
  <si>
    <t>RT-6-003-007</t>
  </si>
  <si>
    <t xml:space="preserve">400 MeV Linac Procurement Needs More Project Labor Support </t>
  </si>
  <si>
    <t>If Linac vendor requires more engineering support due to unexpected technical issues, then the project will provide more support that will increase cost.</t>
  </si>
  <si>
    <t>Work closely with Linac vendor to resolve issues early</t>
  </si>
  <si>
    <t>Assume 0.75 - 1.5 - 2.5 FTE of a senior engineer for low-likely-high cost impacts. Assume no schedule delay since additional support will result in all issues resolution on time.</t>
  </si>
  <si>
    <t xml:space="preserve">2 FTE’s of labor and additional travel budget was approved to be added for EIC support of the 400MeV Linac Systems procurement. </t>
  </si>
  <si>
    <t>RT-6-003-008</t>
  </si>
  <si>
    <t>400 MeV Linac Final Design is Delayed</t>
  </si>
  <si>
    <t>EJ_0401_2224  400 MeV LINAC – FDR/MRR – Final Design Review Complete (Vendor)</t>
  </si>
  <si>
    <t>Probability is estimated low. Delays are estimated based on most recent project experience.</t>
  </si>
  <si>
    <t>2 FTE’s of labor and additional travel budget was approved to be added for EIC support of the 400MeV Linac Systems procurement.</t>
  </si>
  <si>
    <t>RT-6-003-009</t>
  </si>
  <si>
    <t>400 MeV LINAC doesn't meet RCS reqs</t>
  </si>
  <si>
    <t>RT-6-003-010</t>
  </si>
  <si>
    <t>RCS performance doesn't meet ESR reqs</t>
  </si>
  <si>
    <t>RO-6-004-001</t>
  </si>
  <si>
    <t>6.04 Electron Storage Ring</t>
  </si>
  <si>
    <t>C. Montag /S. Nagaitsev</t>
  </si>
  <si>
    <t>APS quadrupoles and sextupoles are suitable for the ESR</t>
  </si>
  <si>
    <t>If the APS quadrupoles and sextupoles are suitable for the ESR, we will use them throughout the ring where possible. This will reduce the cost and mitigate the risk of schedule delays.</t>
  </si>
  <si>
    <t>Perform early APS magnets tests</t>
  </si>
  <si>
    <t>Q2 FY24</t>
  </si>
  <si>
    <t>SR_0200_2220 ESR Sextupole - Magnet II - Fabrication</t>
  </si>
  <si>
    <t>Latest Project Experience</t>
  </si>
  <si>
    <t>Opportunity realized</t>
  </si>
  <si>
    <t>March 2023: change HERA to APS</t>
  </si>
  <si>
    <t>19_LLP</t>
  </si>
  <si>
    <t>RT-6-004-001</t>
  </si>
  <si>
    <t>Vacuum Fab Facility Delivery Delay</t>
  </si>
  <si>
    <t>If the Vacuum Fab Facility is not operational by the time when the vacuum chambers arrive, then the project will experience schedule delays.</t>
  </si>
  <si>
    <t>Request CD-3B approval</t>
  </si>
  <si>
    <t xml:space="preserve">E0202_05580 </t>
  </si>
  <si>
    <t>Engineering estimates</t>
  </si>
  <si>
    <t>LLP_6.04_1</t>
  </si>
  <si>
    <t>RT-6-004-002</t>
  </si>
  <si>
    <t xml:space="preserve">Zack Conway </t>
  </si>
  <si>
    <t>Beam Loading in SRF cavities</t>
  </si>
  <si>
    <t>If beam loading effects with the design beam parameters are unacceptable, then we have to operate using a different, less aggressive parameter set with a different bunch pattern, reduced number of bunches, and/or reduced bunch intensity.</t>
  </si>
  <si>
    <t xml:space="preserve">
Cavity design optimization via R&amp;D.
develop feedback control systems.</t>
  </si>
  <si>
    <t>RD_0202_1260 Transient beam loading in ESR 2</t>
  </si>
  <si>
    <t>Accelerator performance/design requirements within this risk scope are addressed in existing calculations (Themis M.) Hardware risks are accounted for under 6.08</t>
  </si>
  <si>
    <t>16</t>
  </si>
  <si>
    <t>RT-6-004-003</t>
  </si>
  <si>
    <t>Vacuum System Impedance</t>
  </si>
  <si>
    <t xml:space="preserve">If the vacuum system impedance is higher than the design value required for stable operation, then the electron beam intensity has to be lowered until stability is achieved. This will impact the luminosity performance. </t>
  </si>
  <si>
    <t>Additional simulations and light source testing to validate simulations.</t>
  </si>
  <si>
    <t>RD_0309_1580 Vacuum Design ready for PDR (CD-2)</t>
  </si>
  <si>
    <t>17</t>
  </si>
  <si>
    <t>RT-6-004-004</t>
  </si>
  <si>
    <t>MAP</t>
  </si>
  <si>
    <t>Detector Background During Bunch Replacement</t>
  </si>
  <si>
    <t xml:space="preserve">If the detector background during electron bunch replacement is too high to safely operate the detector during this process, then continuous bunch replacement at approximately 1 Hz cannot be performed. This will impact the performance of the collider. </t>
  </si>
  <si>
    <t>Do more extensive simulations.</t>
  </si>
  <si>
    <t>RD_0201_2580 Beam commission support</t>
  </si>
  <si>
    <t>18</t>
  </si>
  <si>
    <t>RT-6-004-005</t>
  </si>
  <si>
    <t>Heating of accelerator vacuum components</t>
  </si>
  <si>
    <t>If dedicated vacuum elements experience unexpected heating, then additional mitigation would be required to avoid performance impacts or equipment damage.</t>
  </si>
  <si>
    <t>R&amp;D</t>
  </si>
  <si>
    <t>it should not be considered a project risk. It is really something we would have to deal with after we move to operations and increase the current to higher levels (&gt;0.5A)  </t>
  </si>
  <si>
    <t>126</t>
  </si>
  <si>
    <t>RT-6-004-006-LLP-CD3B</t>
  </si>
  <si>
    <t>ESR Dipole Magnets Field Quality</t>
  </si>
  <si>
    <t xml:space="preserve">If the performance of the ESR magnets is not sufficient, then newly designed prototypes would need to be purchased  leading to delays and cost increase. </t>
  </si>
  <si>
    <t>Get CD-3B approval and test magnets early</t>
  </si>
  <si>
    <t>Q1 FY28</t>
  </si>
  <si>
    <t>E0402_04690 ESR Magnetic Measurement Complete - AS03</t>
  </si>
  <si>
    <t>Probability estimated as low, cost is based on P6  magnet costs for labor and material, schedule delays estimated as 6-9-18mo</t>
  </si>
  <si>
    <t>407</t>
  </si>
  <si>
    <t>RT-6-004-007</t>
  </si>
  <si>
    <t>JLAB</t>
  </si>
  <si>
    <t>Radioactive waste disposal from APS girders</t>
  </si>
  <si>
    <t>IF APS girder components planned to be excessed or sold as scrap, are found to be radioactive, THEN the project will have to pay additional LLRW disposal costs.</t>
  </si>
  <si>
    <t>Conduct radiological surveys of components from initial girders delivered to JLab and BNL promptly to verify assessments/assumptions.</t>
  </si>
  <si>
    <t>The assessment is budgeted for at JLab and is required by waste management planning and RadCon procedures for worker safety and health so there is no additional cost.  Conducting detailed RadCon surveys of all materials from all girders to reduce LLRW stream will be time consuming and will largely offset cost savings of reducing LLRW disposal.</t>
  </si>
  <si>
    <t>RT-6-004-008</t>
  </si>
  <si>
    <t>D. Bruno</t>
  </si>
  <si>
    <t>PS</t>
  </si>
  <si>
    <t>ESR Main Dipole PS Low Ripple Reqs</t>
  </si>
  <si>
    <r>
      <t>If the ESR main Dipole PS has a low ripple requirement (</t>
    </r>
    <r>
      <rPr>
        <sz val="11"/>
        <rFont val="Arial"/>
        <family val="2"/>
      </rPr>
      <t>0.5ppm</t>
    </r>
    <r>
      <rPr>
        <sz val="11"/>
        <color rgb="FFFF0000"/>
        <rFont val="Arial"/>
        <family val="2"/>
      </rPr>
      <t xml:space="preserve"> </t>
    </r>
    <r>
      <rPr>
        <sz val="11"/>
        <color theme="1"/>
        <rFont val="Arial"/>
        <family val="2"/>
      </rPr>
      <t>rms) then it will result in additional cost and schedule delay.</t>
    </r>
  </si>
  <si>
    <t>Investigate changing dipole wiring scheme or changing dipole magnet design to stay with less strict ripple reqs.</t>
  </si>
  <si>
    <t>E0404_01980 Main Dipole / Arc Quads / Arc Sext - Delivery</t>
  </si>
  <si>
    <t>Cost impact is $500K plus Euro 500K (more R&amp;D cost - vendor communication). Assuming average $ to Euro rate of 0.85669, the total is $1,084K. Probability assumed moderate, schedule impacts are estimates for more R&amp;D and additional components.</t>
  </si>
  <si>
    <t>125</t>
  </si>
  <si>
    <t>C. Montag /M. Wiseman</t>
  </si>
  <si>
    <t>Accelerator layout in the tunnel</t>
  </si>
  <si>
    <t>Layout exists</t>
  </si>
  <si>
    <t>RT-6-004-009-LLP-CD3B</t>
  </si>
  <si>
    <t>Damaged APS sextupole coils</t>
  </si>
  <si>
    <t>If APS sextupole coils are damaged beyond repair, then we have to procure new sextupole coils from industry.</t>
  </si>
  <si>
    <t>Crisis</t>
  </si>
  <si>
    <t>Get CD-3B approval and test sextupole coils early on to have sufficient time to procure new coils if necessary</t>
  </si>
  <si>
    <t>E0402_05985 ESR Magnets - APS Sextupole - Magnet Testing - Complete</t>
  </si>
  <si>
    <t>Probability estimated as very low. Assuming 20% of sextupole need all new coils. That's 336 coils. Cost per coil is $5380, based on PO 397730 and 397438, escalated to 2023 and doubled to take into account larger coils size</t>
  </si>
  <si>
    <t>RT-6-004-010-LLP-CD3B</t>
  </si>
  <si>
    <t>Unsuitable APS quadrupole coils</t>
  </si>
  <si>
    <t>If the APS quadrupole coils are damaged beyond repair, then we have to procure new quadrupole coils from industry.</t>
  </si>
  <si>
    <t>Get CD-3B approval and  test coils early to provide sufficient time to procure replacements</t>
  </si>
  <si>
    <t>E0403_01915 APS Magnets - Refurbishment Parts - Contract Award Batch 1</t>
  </si>
  <si>
    <t>RT-6-004-011-LLP-CD3B</t>
  </si>
  <si>
    <t>G. Mahler</t>
  </si>
  <si>
    <t>ESR Dipole Magnets Unfavorable Steel Market</t>
  </si>
  <si>
    <t>If ESR Dipole Magnets steel contract award is delayed because of tight market, or vendor fabrication is delayed, then the project will experience schedule delays.</t>
  </si>
  <si>
    <t>Get CD-3B approval. Work with procurement to award the contract on time; good communication with vendor(s).</t>
  </si>
  <si>
    <t>E0402_01572</t>
  </si>
  <si>
    <t>Probability estimated as low. No cost impact. Schedule delays estimated 3-6-9mo for low-likely-high schedule impacts based on prior experience.</t>
  </si>
  <si>
    <t>RT-6-004-012-LLP-CD3B</t>
  </si>
  <si>
    <t>Measurement Bench for ESR Dipole Magnets Delivery Delay</t>
  </si>
  <si>
    <t>If the magnet measurement bench market is tight and there are many competing customers, or a contract is placed later than planned, then the delivery will be delayed</t>
  </si>
  <si>
    <t>Q3 FY26</t>
  </si>
  <si>
    <t>E0402_06162</t>
  </si>
  <si>
    <t>Probability estimated as low. No cost impact. Schedule delays estimated 2-4-6mo for low-likely-high schedule impacts based on prior experience.</t>
  </si>
  <si>
    <t>RT-6-004-012a-LLP-CD3B</t>
  </si>
  <si>
    <t>Measurement Bench for ESR Quad Magnets Delivery Delay</t>
  </si>
  <si>
    <t>E0402_03706</t>
  </si>
  <si>
    <t>RT-6-004-013-LLP-CD3B</t>
  </si>
  <si>
    <t>Specialty Steel For ESR magnets: bids come back higher</t>
  </si>
  <si>
    <t>If specialty steel bids come higher than planned and beyond the EU because of unforeseen market forces, there will be additional project cost.</t>
  </si>
  <si>
    <t>Q1 FY27</t>
  </si>
  <si>
    <t>E0402_01627</t>
  </si>
  <si>
    <t>Specialty steel market is affected by the commodity price fluctuation and availability issues. Probability estimated as low, costs are 5%, 10% and 20% above planned cost</t>
  </si>
  <si>
    <t>RT-6-004-013a-LLP-CD3B</t>
  </si>
  <si>
    <t>Specialty Steel For ESR magnets: currency fluctuations</t>
  </si>
  <si>
    <t>If foreign currency exchange rate is different at the contract award time, then the cost will be different from the planned</t>
  </si>
  <si>
    <t>Probability estimated as low, cost is -10%, 0%, 10%</t>
  </si>
  <si>
    <t>RT-6-004-013b-LLP-CD3B</t>
  </si>
  <si>
    <t>Specialty Steel For ESR magnets: delivery delay</t>
  </si>
  <si>
    <t>If the contract is awarded later than planned and/or vendors have problems manufacturing specialty steel, then there will be schedule delays.</t>
  </si>
  <si>
    <t>Probability estimated as low, delays are based on planned procurement duration.</t>
  </si>
  <si>
    <t>RT-6-004-013c-LLP-CD3B</t>
  </si>
  <si>
    <t>Specialty Steel For ESR magnets: magnetic properties</t>
  </si>
  <si>
    <t>If we do not procure the steel for ALL the dipoles from one heat up front,  then the dynamic aperture of the ESR and therefore the performance of the collider will be affected.</t>
  </si>
  <si>
    <t>Get CD-3B approval to procure steel for all dipoles</t>
  </si>
  <si>
    <t>Not in Monte Carlo Analysis</t>
  </si>
  <si>
    <t>Professional expertise</t>
  </si>
  <si>
    <t>RT-6-004-014-LLP-CD3B</t>
  </si>
  <si>
    <t>First Production ESR Dipole Magnets</t>
  </si>
  <si>
    <t>if magnet market conditions change since the last quote and a contract is placed later than planned, then there will be cost increase and schedule delay</t>
  </si>
  <si>
    <t>Q4 FY27</t>
  </si>
  <si>
    <t>E0402_01647</t>
  </si>
  <si>
    <t>Probability estimated as low, cost is 5%, 25%, 40% of $9.5M</t>
  </si>
  <si>
    <t>RO-6-005-001</t>
  </si>
  <si>
    <t>6.05 Hadron Ring</t>
  </si>
  <si>
    <t>V. Ptitsyn</t>
  </si>
  <si>
    <t>D. Gassner</t>
  </si>
  <si>
    <t>INS</t>
  </si>
  <si>
    <t>Possibility of needing a second HSR BPM pick-up design as a potential cost saving measure</t>
  </si>
  <si>
    <t>If a second HSR BPM pick-up design presents potential cost saving measure, then it will be pursued.</t>
  </si>
  <si>
    <t>Review coming up in the next few weeks to decide if second BPM design is needed, schedule will be taken into consideration</t>
  </si>
  <si>
    <t>Probability is assumed low. Cost impacts are based on estimated potential saving of $500K offset by additional $50K designer &amp; mechanical engineer labor. Delays are based on required new design time of 3mo.</t>
  </si>
  <si>
    <t>Retire (D. Gassner email from 16.08.2024)</t>
  </si>
  <si>
    <t>06.27.23</t>
  </si>
  <si>
    <t>RT-6-005-001</t>
  </si>
  <si>
    <t>Radiation Damage to the Diodes</t>
  </si>
  <si>
    <t>If testing of an assumed good diode that has been removed from a magnet shows it has suffered radiation damage by measuring the forward voltage drop then the other magnet diodes may have to be replaced</t>
  </si>
  <si>
    <t>Make the study a priority</t>
  </si>
  <si>
    <t>RD_0202_1890</t>
  </si>
  <si>
    <t>76</t>
  </si>
  <si>
    <t>RT-6-005-002</t>
  </si>
  <si>
    <t>Injection Kicker has to have pulse profile Flat, and be Reliable</t>
  </si>
  <si>
    <t>If the injection kicker is not flat, reliable and strong, it could lead to larger emittance which would result in larger  bunch size  and reduced luminosity.</t>
  </si>
  <si>
    <t>Take into account during polarization and cooling design studies that the beam emittance margin might be needed
R&amp;D program</t>
  </si>
  <si>
    <t xml:space="preserve">HR_0404_1580 </t>
  </si>
  <si>
    <t>74</t>
  </si>
  <si>
    <t>RT-6-005-003</t>
  </si>
  <si>
    <t>Inadequacy of existing power supplies and leads</t>
  </si>
  <si>
    <t>If the existing power supplies are not adequate then we will need better power supplied which will impact cost.</t>
  </si>
  <si>
    <t>Try to complete the hadron lattice sooner to identify possible PS and leads problems. Consider optics optimization to address some of the PS limits.</t>
  </si>
  <si>
    <t>RD_0201_2060</t>
  </si>
  <si>
    <t>152</t>
  </si>
  <si>
    <t>RT-6-005-004</t>
  </si>
  <si>
    <t>B. Gallagher</t>
  </si>
  <si>
    <t>aC Coating Facility Delivery Delay</t>
  </si>
  <si>
    <t>If the aC Coating Facility is not operational by the time when the beam screens arrive, then the project will experience schedule delays</t>
  </si>
  <si>
    <t>HR_0500_5230</t>
  </si>
  <si>
    <t>LLP_6.05_1</t>
  </si>
  <si>
    <t>RT-6-005-005</t>
  </si>
  <si>
    <t>HSR Beam Screen Coating Performance</t>
  </si>
  <si>
    <t>If the R&amp;D program for the amorphous carbon coating indicates it does not provide secondary electron yield (SeY) expected or degrades over time in air needed for installation or the coating increases the surface resistivity of the copper liner; then beam tube heating will be higher and SC magnet coil temperature will be higher than required. It will require an upgrade to the cryo system to lower the coil temperature.</t>
  </si>
  <si>
    <t xml:space="preserve">Concentrate efforts on the aC coating R&amp;D to get conclusions on the aC coating adhesion and its degradation as soon as possible. </t>
  </si>
  <si>
    <t>RD_0306_4210</t>
  </si>
  <si>
    <t>This risk was based on coating the magnet cold bore, which goes directly to the magnet coil. With the actively cooled beam screen we can increase the flow and handle higher loads.</t>
  </si>
  <si>
    <t>72</t>
  </si>
  <si>
    <t>RT-6-005-006</t>
  </si>
  <si>
    <t>Reuse Cold Crossing Bus (CCB) in WBS 6.5.2.2 and 6.5.4.2</t>
  </si>
  <si>
    <t>If the CCB cannot be salvaged and reused due to problems with the green insulation , then we will need to purchase them.</t>
  </si>
  <si>
    <t>Open communications with Vendor. Give vendor length of required CCB. Get cost estimates and delivery time for CCB. We have 400ft of spare CCB at BNL. Recommend modifications of cryostats so short CCB will be done</t>
  </si>
  <si>
    <t>$1200K material + $300K labor. Probability estimated as low.</t>
  </si>
  <si>
    <t>we have decided we will not re-use the old cold crossing bus. Realized risk is about 1.5 $M.</t>
  </si>
  <si>
    <t>With the actively cooled beam screen we can increase the flow and handle higher loads.</t>
  </si>
  <si>
    <t>161</t>
  </si>
  <si>
    <t>RT-6-005-007</t>
  </si>
  <si>
    <t>SHC</t>
  </si>
  <si>
    <t>IR 2 cooling space</t>
  </si>
  <si>
    <t>if IR2 straight cannot provide sufficient space requested by cooler elements , the cooling performance will drop</t>
  </si>
  <si>
    <t>Put accent on IR2 hadron ring and cooler lattice studies to identify the problem as soon as possible.</t>
  </si>
  <si>
    <t>Tech only risk. No connection needed.</t>
  </si>
  <si>
    <t>170</t>
  </si>
  <si>
    <t>RT-6-005-008</t>
  </si>
  <si>
    <t>Electron Source</t>
  </si>
  <si>
    <t>If electron source  R&amp;D cannot meet the cathode  lifetime or quality requirement, we need longer time to address this difficulties</t>
  </si>
  <si>
    <t>Extend R&amp;D time.</t>
  </si>
  <si>
    <t>169</t>
  </si>
  <si>
    <t>RT-6-005-009</t>
  </si>
  <si>
    <t>Beam halo and beam</t>
  </si>
  <si>
    <t>If during cooler commissioning it will be found that  the beam halo is higher than predicted by simulation and analysis, and ERL cannot achieve design current, then one needs redesign the optics and redesign the beam pipe.</t>
  </si>
  <si>
    <t>Put more effort on simulation and theoretical analysis of potential sources of beam halo.</t>
  </si>
  <si>
    <t>Q2 FY32</t>
  </si>
  <si>
    <t>HR_0801_1470</t>
  </si>
  <si>
    <t>171</t>
  </si>
  <si>
    <t>RT-6-005-010</t>
  </si>
  <si>
    <t>SHC performance Issues</t>
  </si>
  <si>
    <t>If further development would reveal that SHC based on the coherent electron cooling approach does not work to the required performance level, the luminosity will be below 1034cm-2s-1, unless this shortcoming
is mitigated by alternative cooling schemes.</t>
  </si>
  <si>
    <t>Design low energy cooler to achieve the objective KPP (but not the ultimate KPP)</t>
  </si>
  <si>
    <t>HR_0801_1490</t>
  </si>
  <si>
    <t xml:space="preserve"> EIC-HDR-PLN-019-The Roadmap of Electron Cooler for EIC_update_Oct2023_final.pdf</t>
  </si>
  <si>
    <t>183</t>
  </si>
  <si>
    <t>RT-6-005-011-LLP-CD3A</t>
  </si>
  <si>
    <t>Beam Screen Materials &amp; Forming cannot be obtained on time</t>
  </si>
  <si>
    <t>If Cu clad/P506 stainless steel cannot be obtained in time, then the beam screens availability will be delayed.</t>
  </si>
  <si>
    <t>Work closely with BNL procurement and cognizant engineers to ensure timely award of contract. Regular communication with vendor.</t>
  </si>
  <si>
    <t>E0504_02280 Beam Screen Material - Ready for Profile Fabrication - CD3A Scope Complete</t>
  </si>
  <si>
    <t xml:space="preserve"> Probability estimated as high because P506 vendor pool is very limited. Schedule delays estimated on recent conversations with P506 vendor.</t>
  </si>
  <si>
    <t>Aug 6, 2024: added 'Forming' to the title; changed sched. Impacts from 6-9-12 to 3-6-9mo</t>
  </si>
  <si>
    <t>RT-6-005-012</t>
  </si>
  <si>
    <t>Equipment and tooling not available for beam screen fabrication.</t>
  </si>
  <si>
    <t>If the beam screen fabrication equipment and tooling is not ready for the scheduled start of beam screen production, then the beam screens will not be ready in time to support the installation schedule.</t>
  </si>
  <si>
    <t>Request CD-3B(3X) approval</t>
  </si>
  <si>
    <t xml:space="preserve">Beam screen fixturing, coating process and fabrication facility designs are still not sufficiently mature. </t>
  </si>
  <si>
    <t>RT-6-005-013</t>
  </si>
  <si>
    <t>aC coating equipment is not ready to support the production schedule</t>
  </si>
  <si>
    <t>If the horizontal coating systems are not fully qualified in time, then the beam screens will not be ready in time to support the installation schedule.</t>
  </si>
  <si>
    <t>Prototype 3m long horizontal coating system is currently being tested. Scaling to 10m length is required for production beam screens.</t>
  </si>
  <si>
    <t>RT-6-005-014</t>
  </si>
  <si>
    <t>aC Coating Facility: Full length horizontal coating approach is not viable</t>
  </si>
  <si>
    <t xml:space="preserve">If the full length horizontal coating system is not viable, then the time required to coat a beam screen will need to be increased and the coating time for each arc will escalate. </t>
  </si>
  <si>
    <t>Expedite the testing of full length horizontal coating approach.</t>
  </si>
  <si>
    <t>RT-6-005-015</t>
  </si>
  <si>
    <t>BPM cryo-button: Lack of opportunity to evaluate design verification buttons before FDR</t>
  </si>
  <si>
    <t xml:space="preserve">If design verification BPM cryo-buttons are not fully evaluated before the FDR, then the vendor might need to make small design changes.  </t>
  </si>
  <si>
    <t>Work closely with BNL procurement and cognizant engineers to ensure timely award of contract(s). Regular communication with vendor(s)</t>
  </si>
  <si>
    <t>We expect to order the design verification buttons soon, and expect to receive them soon after the FDR</t>
  </si>
  <si>
    <t>RT-6-005-016-LLP-CD3A</t>
  </si>
  <si>
    <t>BPM cryo-button: Vendor fabrication problems</t>
  </si>
  <si>
    <t>If BPM cryo-button vendor experiences material, and/or design, and/or fabrication problems, then it will increase the cost and delay the delivery.</t>
  </si>
  <si>
    <t>Work closely with BNL procurement and cognizant engineers to ensure timely award of contract. Regular communication with vendors.</t>
  </si>
  <si>
    <t>E0505_02320 HSR BPM Buttons - CD3A Scope Complete</t>
  </si>
  <si>
    <t>Probability is assumed low. There could be material problems, design problems, fabrication problems that would result in 1-3-6mo delays for best, likely and worst case scenarios. Cost to re-order design verification buttons ~$25k. Cost of changing the vendor ~200K.</t>
  </si>
  <si>
    <t>RT-6-005-017-LLP-CD3A</t>
  </si>
  <si>
    <t>BPM cryo-cables: Vendor Issues</t>
  </si>
  <si>
    <t>If there are any problems with BPM cryo-cable vendor, then it will increase the cost and delay the delivery.</t>
  </si>
  <si>
    <t>Work closely with BNL procurement and cognizant engineers to ensure timely award of contract(s). Regular communication with vendor(s).</t>
  </si>
  <si>
    <t>E0505_03300 HSR BPM Cryo Cables - CD3A Scope Complete</t>
  </si>
  <si>
    <t>Probability is assumed high. Cost and schedule impacts are based on the following: there are only 2 known vendors, one has a better reputation than other. If the chosen vendor has problems, there is only one other vendor to choose from. Cost is assumed to go up 40% in the worst case.</t>
  </si>
  <si>
    <t>RT-6-005-018</t>
  </si>
  <si>
    <t>BPM cryo-cables: Late Delivery</t>
  </si>
  <si>
    <t>If there are any problems with cryo-cable fabrication, then there will be delays to project schedule.</t>
  </si>
  <si>
    <t>(1) Work closely with BNL procurement and cognizant engineers to ensure timely award of contract(s), (2) Regular communication with vendor(s)</t>
  </si>
  <si>
    <t>Q1 FY 25 HSR BPM Cryo Cables - RCV: Production Units Delivery (Arc 9)</t>
  </si>
  <si>
    <t>Probability is assume moderate. Historically (at BNL and other labs) the delivery of SiO2 cables are later than planned.</t>
  </si>
  <si>
    <t>Combined with risk RT-6-05-017-LLP-CD3A</t>
  </si>
  <si>
    <t>RT-6-005-019</t>
  </si>
  <si>
    <t>Screen Coating Rate</t>
  </si>
  <si>
    <t>If the screen fabrication and coating rate is longer than anticipated during R&amp;D additional time needed to validate prototypes, then design of production systems  will be delayed and the schedule will be impacted and/or the cost will go up.</t>
  </si>
  <si>
    <t>Additional Staffing , material and resources for R&amp;D, e.g. Equipment</t>
  </si>
  <si>
    <t>RD_0306_5340</t>
  </si>
  <si>
    <t>153</t>
  </si>
  <si>
    <t>RT-6-005-020</t>
  </si>
  <si>
    <t>Strong Hadron Cooling Design Late</t>
  </si>
  <si>
    <t>If the team cannot resolve the design challenges on Strong Hadron Cooling  in a timely fashion, then design and construction of the cooling  facility  might be delayed and this might have an impact on project completion</t>
  </si>
  <si>
    <t>Not technical risk for KPPs and no schedule impact.</t>
  </si>
  <si>
    <t>Devoting a strong, very skilled and motivated workforce. Involving worldwide experts to obtain advice on technical challenges and  the path forward. Investment into a modified cooling  scheme by an independent team.</t>
  </si>
  <si>
    <t xml:space="preserve">Plan for a strong cooling design team activity to be active until satisfactory answers for all questions have been resolved ~6FTE, plan for a team to work on dte development of a modified scheme (6FTE) until a feasible solution has been developed </t>
  </si>
  <si>
    <t xml:space="preserve">Risk triggered since SHC design is later than planned. </t>
  </si>
  <si>
    <t>11</t>
  </si>
  <si>
    <t>RT-6-005-021</t>
  </si>
  <si>
    <t xml:space="preserve"> Solenoidal Windings addition</t>
  </si>
  <si>
    <t>If in the course of further accelerator design studies or hadron beam parameter modifications the electron cloud accumulation in warm beam pipes will be found not acceptable then solenoidal windings have to be added around these pipes</t>
  </si>
  <si>
    <t>Risk is accepted, no mitigation.</t>
  </si>
  <si>
    <t>HR_0203_5350 IR12 - Pre-Tunnel Assembly, Installation and Testing</t>
  </si>
  <si>
    <t xml:space="preserve">Probability estimated as low. $3M is the cost to mitigate this risk by installing beam tube solenoid windings, power supplies, cables, and controls on the HSR warm drift vacuum sections in IR04, IR06, IR08, IR10, and IR12. No schedule impact. </t>
  </si>
  <si>
    <t>185</t>
  </si>
  <si>
    <t>RT-6-005-022</t>
  </si>
  <si>
    <t>Amorphous carbon coating performance</t>
  </si>
  <si>
    <t>If a sufficiently low SEY aC coating cannot be maintained throughout beam screen production then beam screens not meeting the required performance level will need to be stripped and recoated which will result in a longer than planned production time.</t>
  </si>
  <si>
    <t>Continue development of coating parameters, Constant monitoring and sampling throughout coating production, Tight process control</t>
  </si>
  <si>
    <t>Need to add a milestone after activity E0504_07480</t>
  </si>
  <si>
    <t>J. Tuozzolo</t>
  </si>
  <si>
    <t>Screen Performance during Commissioning</t>
  </si>
  <si>
    <t xml:space="preserve">If the coating starts flaking during commissioning, then vacuum and beam performance may be compromised and there would be cost/schedule impacts. </t>
  </si>
  <si>
    <t>Extend R&amp;D if there is any indication of poor coating performance, poor coating adhesion (flaking), poor coating performance (dust) or poor coating performance after exposure to air during installation.</t>
  </si>
  <si>
    <t>Additional R&amp;D   
CHECK: MAYBE TO BE REMOVED</t>
  </si>
  <si>
    <t>PO_0304_1140</t>
  </si>
  <si>
    <t>Retired</t>
  </si>
  <si>
    <t>151</t>
  </si>
  <si>
    <t>In-Situ Pipe Coating Rate</t>
  </si>
  <si>
    <t>If the In-situ pipe coating rate is longer than anticipated, the schedule will be impacted and/or the cost will go up.</t>
  </si>
  <si>
    <t>Retired , consider new residual risks, Brainstorm new risk</t>
  </si>
  <si>
    <t>Risk Workshop #3 retired by WBS 6.05</t>
  </si>
  <si>
    <t>68</t>
  </si>
  <si>
    <t>Beam Current Increase</t>
  </si>
  <si>
    <t>If the current increases to 1A, then without cooling, there is a performance risk that could impact the assumed KPPs.</t>
  </si>
  <si>
    <t>Initially it was introduced for a scope without hadron cooling. Present scope is fully based on strong hadron cooling and does not have this risk.</t>
  </si>
  <si>
    <t>71</t>
  </si>
  <si>
    <t>Inadequacy  of RHIC BLM system</t>
  </si>
  <si>
    <t>If the existing RHIC Beam Loss Monitor System cannot provide the required beam loss measurements and machine protection capability, then it will need to be upgraded.</t>
  </si>
  <si>
    <t xml:space="preserve">Study the capability of the existing RHIC BLM system with the planned EIC beam parameters.  This includes calculations, simulations and possibly beam tests during a RHIC run to confirm the study results. </t>
  </si>
  <si>
    <t>IR_0301_2000</t>
  </si>
  <si>
    <t>Risk realized</t>
  </si>
  <si>
    <t>168</t>
  </si>
  <si>
    <t>Dipole Magnet PS limit</t>
  </si>
  <si>
    <t xml:space="preserve">  If the existing RHIC dipole magnet power supply to be used for EIC cannot meet the top energy (275 GeV) performance goal for the EIC Hadron ring then it will have to replaced or the top energy goal reduced.</t>
  </si>
  <si>
    <t>We have a quote from Applied Power Systems for this new Dipole power Supply. As long as we purchase it far enough in advance there will be no schedule impact. We also need 1 engineer working on this, 2 technicians, riggers and 2 electricians.</t>
  </si>
  <si>
    <t>The mitigation would be to purchase a new main dipole power supply.</t>
  </si>
  <si>
    <t>Getting files to procurement and placing the order: 1 year; Construction of PS and delivery: 1.5 years; Total 2.5 years</t>
  </si>
  <si>
    <t>We are waiting for approval to put the purchase of this new power supply into the cost and schedule</t>
  </si>
  <si>
    <t>New power supplies purchase was approved</t>
  </si>
  <si>
    <t>150</t>
  </si>
  <si>
    <t>150a</t>
  </si>
  <si>
    <t>Quad Magnet PS Limit</t>
  </si>
  <si>
    <t>If we have a phase advance of 90 degree per cell in both planes then the Yellow Quad Main PS will have to be replaced because the current will be approximately 5485 A for the defocusing buss and 5478 A for the focusing buss which is to close to the PS max limit of 5500A</t>
  </si>
  <si>
    <t>The mitigation would be to purchase a new main quad power supply.</t>
  </si>
  <si>
    <t>Getting files to procurement and placing the order: 1 year
Construction of PS and delivery: 1.5 years
Total 2.5 years</t>
  </si>
  <si>
    <t>RO-6-006-001</t>
  </si>
  <si>
    <t>6.06 Interaction Region and Detector Interface</t>
  </si>
  <si>
    <t>A. Drees / B. Wahl</t>
  </si>
  <si>
    <t>High field direct wind magnets prove to be possible</t>
  </si>
  <si>
    <t>If the R&amp;D high field direct wind magnet is successful, the collared IR magnets can be replaced with direct wind magnets</t>
  </si>
  <si>
    <t xml:space="preserve">Q1ABpF R&amp;D Magnet included in R&amp;D budget. </t>
  </si>
  <si>
    <t>121</t>
  </si>
  <si>
    <t>RO-6-006-002-LLP-CD3A</t>
  </si>
  <si>
    <t>Superconducting NbTi strand specification</t>
  </si>
  <si>
    <t xml:space="preserve">If the specification for the superconducting NbTi strand can be relaxed, then cost and Leadtime can be reduced. </t>
  </si>
  <si>
    <t xml:space="preserve">Include savings  in contingency calculation
</t>
  </si>
  <si>
    <t>E0602_19400 SC Strand - Collared Magnets - Delivery</t>
  </si>
  <si>
    <t>Recent engineering estimates</t>
  </si>
  <si>
    <t>Placed contract</t>
  </si>
  <si>
    <t>identified after MC was done for CD-3A review</t>
  </si>
  <si>
    <t>RT-6-006-002</t>
  </si>
  <si>
    <t>A. Drees</t>
  </si>
  <si>
    <t>Beam Dump System</t>
  </si>
  <si>
    <t>If the present  beam dump system won't be satisfactory due to secondary particles leaking out of the dump, then we would need to upgrade them which would cause a cost increase.</t>
  </si>
  <si>
    <t>Replace beam pipe with thicker shielding and additional shielding for the Q4 quadrupole</t>
  </si>
  <si>
    <t>E0603_02680</t>
  </si>
  <si>
    <t>75</t>
  </si>
  <si>
    <t>RT-6-006-003</t>
  </si>
  <si>
    <t>Abort Kicker System</t>
  </si>
  <si>
    <t>If the present abort kicker system heats up with high intensity beams, then we would need to upgrade the kicker which would cause a cost increase.</t>
  </si>
  <si>
    <t>Install and insert what can carry the image current</t>
  </si>
  <si>
    <t>E0603_03160</t>
  </si>
  <si>
    <t>Risk realized.</t>
  </si>
  <si>
    <t>154</t>
  </si>
  <si>
    <t>RT-6-006-004</t>
  </si>
  <si>
    <t>Skilled Labor Not Available For Design</t>
  </si>
  <si>
    <t xml:space="preserve">If skilled designers and engineers are not available on time, then there will be schedule delays. </t>
  </si>
  <si>
    <t>Use Resource Comparison Tool to plan design work</t>
  </si>
  <si>
    <t>E0203_02280; E0203_02500; E0203_02940; E0203_03140</t>
  </si>
  <si>
    <t>LLP_6.03_4</t>
  </si>
  <si>
    <t>RT-6-006-005</t>
  </si>
  <si>
    <t>Delays due to Limited Number of Magnet Vendors</t>
  </si>
  <si>
    <t>If the number of magnet vendors is limited or there is competition with other projects, then magnet delivery will be late</t>
  </si>
  <si>
    <t>Evaluate all production possibilities (industry, Nat. Labs, …)</t>
  </si>
  <si>
    <t>E0602_08780; E0602_13280</t>
  </si>
  <si>
    <t>LLP_6.03_5</t>
  </si>
  <si>
    <t>RT-6-006-006-LLP-CD3A</t>
  </si>
  <si>
    <t>NbTi Strand Delivery is late</t>
  </si>
  <si>
    <t>If the NbTi strand delivery is later than planned, then the project schedule will be delayed.</t>
  </si>
  <si>
    <t xml:space="preserve">Probability is estimated as moderate, no cost impacts. Delays are estimated based on recent communications with vendor and considering the limited number of vendors worldwide. Raw material shortage can potentially cause delivery delays. </t>
  </si>
  <si>
    <t>127_LLP</t>
  </si>
  <si>
    <t>RT-6-006-007</t>
  </si>
  <si>
    <t>IR SC Magnet Procurement problems</t>
  </si>
  <si>
    <t>If the correct magnet procurement strategy isn’t taken and alternative lower tier magnet vendors have to be chosen, this could have a large negative impact on both cost and schedule.</t>
  </si>
  <si>
    <t xml:space="preserve">Finalize magnet specifications to begin early detail design. 
Hire qualified SC magnet engineers / designers to increase throughput. Write the SOW and specification and do effective vendor qualification.
Procure materials such as SC strands and have cables fabricated by the Project to shorten magnet deliver schedules. (see “New Risk 1” below)
Investigation of and outreach to known and new SC magnet vendors for interest / capability/ availability.
Plan and stage procurements to fit availability and interest to bid of first tier vendors.
Building magnets in house can allow more delivery control (note: in-house capability is limited)
Plan to hold an early vendor procurement conference. (see first bullet above) 
</t>
  </si>
  <si>
    <t>E0602_08780</t>
  </si>
  <si>
    <t>23</t>
  </si>
  <si>
    <t>RT-6-006-008</t>
  </si>
  <si>
    <t>Use of Quads and Dipoles Needs to be Proven</t>
  </si>
  <si>
    <t>If the available RHIC SC magnets can't fulfill the IR physics-matching optics requirements, new magnets will have to be purchased creating the need for the design and purchase of additional SC magnets. This will have resource, cost and schedule impact. (Note: Progress in the successfully matching the hadron ring into the IR, may allow this risk to be reduced in both cost and schedule categories).</t>
  </si>
  <si>
    <t>Complete matching of hadron ring by 9/30/20 to determine if additional magnets will be required or existing magnets modified. Indicated costs and schedule impacts will have to be assessed and addressed at that time. (see Risk ID 23 and Risk ID 91)</t>
  </si>
  <si>
    <t>May be moderate not high risk making good progress.</t>
  </si>
  <si>
    <t>EJ_0201_1599</t>
  </si>
  <si>
    <t>Retire, can largely use RHIC magnets</t>
  </si>
  <si>
    <t>92</t>
  </si>
  <si>
    <t>RT-6-006-009</t>
  </si>
  <si>
    <t>Complete failure single direct wind magnet</t>
  </si>
  <si>
    <t xml:space="preserve">If at least one single direct wind magnet is unusable, the project cannot be completed as planned and will be delayed. </t>
  </si>
  <si>
    <t>Average cost single direct wind magnet</t>
  </si>
  <si>
    <t>Prototype R&amp;D direct wind magnet program</t>
  </si>
  <si>
    <t>Q2 FY30</t>
  </si>
  <si>
    <t>E0602_10130 - Direct Wind Magnets - Horizontal Cold Test Complete</t>
  </si>
  <si>
    <t>124c</t>
  </si>
  <si>
    <t>RT-6-006-010</t>
  </si>
  <si>
    <t>Single direct wind magnet does not meet performance</t>
  </si>
  <si>
    <t xml:space="preserve">If a single direct wind magnet fails to meet the performance requirements, the physics programme may be temporarily impacted. </t>
  </si>
  <si>
    <t>Average cost single direct wind magnet, downgraded assuming magnet can be fixed</t>
  </si>
  <si>
    <t>E0602_11580</t>
  </si>
  <si>
    <t>124d</t>
  </si>
  <si>
    <t>RT-6-006-011</t>
  </si>
  <si>
    <t>At least one single collared magnet doesn't meet performance</t>
  </si>
  <si>
    <t xml:space="preserve">If a single collared magnet fails to meet the performance requirements, the physics programme may be temporarily impacted. </t>
  </si>
  <si>
    <t>Replacement cost collared magnet, downgraded assuming fix is possible</t>
  </si>
  <si>
    <t>Use contingency &amp; develop response plans</t>
  </si>
  <si>
    <t xml:space="preserve">Q1 FY30 </t>
  </si>
  <si>
    <t>E0602_11660</t>
  </si>
  <si>
    <t>124e</t>
  </si>
  <si>
    <t>RT-6-006-012</t>
  </si>
  <si>
    <t>Complete failure multiple direct wind magnets</t>
  </si>
  <si>
    <t xml:space="preserve">If multiple direct wind magnets fail, the project cannot be completed as planned and will be delayed. </t>
  </si>
  <si>
    <t>Average cost single direct wind magnet, downgraded assuming magnet can be fixed, assuming two magnets</t>
  </si>
  <si>
    <t>superseded by 124b connected to individual magnets</t>
  </si>
  <si>
    <t>124f</t>
  </si>
  <si>
    <t>RT-6-006-013</t>
  </si>
  <si>
    <t>Complete failure multiple (&gt;2) collared magnets</t>
  </si>
  <si>
    <t xml:space="preserve">If multiple collared magnets fail, the project cannot be completed as planned and will be delayed. </t>
  </si>
  <si>
    <t>Replacement cost collared magnet, downgraded assuming fix is possible, assuming two magnets</t>
  </si>
  <si>
    <t>Safran simulation of  individual failures</t>
  </si>
  <si>
    <t>124g</t>
  </si>
  <si>
    <t>RT-6-006-014</t>
  </si>
  <si>
    <t>Multiple (&gt;2) direct wind magnets do not meet performance</t>
  </si>
  <si>
    <t xml:space="preserve">If multiple direct wind magnets fail to meet the performance requirements, the physics programme may be temporarily impacted. </t>
  </si>
  <si>
    <t>Safran simulation of  individual risks</t>
  </si>
  <si>
    <t>124h</t>
  </si>
  <si>
    <t>RT-6-006-015</t>
  </si>
  <si>
    <t>Multiple (&gt;2) collared magnets do not meet performance</t>
  </si>
  <si>
    <t xml:space="preserve">If multiple collared magnets fail to meet the performance requirements, the physics programme may be temporarily impacted. </t>
  </si>
  <si>
    <t>124i</t>
  </si>
  <si>
    <t>RT-6-006-016</t>
  </si>
  <si>
    <t>Momentum Collimation</t>
  </si>
  <si>
    <t>If the detector background studies will demonstrate a need in momentum collimation, this collimation must be arranged, at additional cost.</t>
  </si>
  <si>
    <t>Speed up studies defining the need in momentum collimation. Take into account when developing the lattice design allocating potential space for momentum collimator.</t>
  </si>
  <si>
    <t>78</t>
  </si>
  <si>
    <t>RT-6-006-017</t>
  </si>
  <si>
    <t>A. Drees / W. Wittmer</t>
  </si>
  <si>
    <t>Scope Change for IR &amp; Detector Interface</t>
  </si>
  <si>
    <t>If there are significant design changes after CD-1 in other areas of the EIC Project, it could impact the interaction region, which would change the current interaction region plans and result in significant rework.</t>
  </si>
  <si>
    <t>20</t>
  </si>
  <si>
    <t>RT-6-006-018</t>
  </si>
  <si>
    <t>Complete failure single collared magnet</t>
  </si>
  <si>
    <t xml:space="preserve">If a single collared magnet is unusable, the project cannot be completed as planned and will be delayed. </t>
  </si>
  <si>
    <t>Replacement cost collared magnet</t>
  </si>
  <si>
    <t>Prototype R&amp;D collared magnet program</t>
  </si>
  <si>
    <t>124b</t>
  </si>
  <si>
    <t>RT-6-006-019</t>
  </si>
  <si>
    <t>HSR abort kicker prefire prevention</t>
  </si>
  <si>
    <t xml:space="preserve">If delayed aborts and mechanical switches prove unsafe or unsatisfactory, an alternative prefire prevention scheme has to be implemented at additional cost. </t>
  </si>
  <si>
    <t xml:space="preserve">Perform all potential tests with enhanced MPS system and mechanical switches in the remaining RHIC and sPHENIX runs. </t>
  </si>
  <si>
    <t>IR_0301_34090</t>
  </si>
  <si>
    <t>RT-6-006-020-LLP-CD3A</t>
  </si>
  <si>
    <t>NbTi Strand cost increase (Collared Magnets)</t>
  </si>
  <si>
    <t xml:space="preserve">If the vendor supplying the NbTi strand increases the price for the remaining 50% of the NbTi strand for the collared magnets because of raw material price increase, then additional costs will be incurred. </t>
  </si>
  <si>
    <t>No mitigation, accept and include in contingency calculation</t>
  </si>
  <si>
    <t>Probability estimated as moderate. Cost: $3.6M in the procurement, so $1.8M for 50% of the order, 25% of 1.8M is 450K</t>
  </si>
  <si>
    <t>Time constraints related to Magnets</t>
  </si>
  <si>
    <t xml:space="preserve">If the prototype magnet design is not started by CD-1 (to be ready one year later), then their unique nature could cause delays in final design and fabrication.  </t>
  </si>
  <si>
    <t>Risk has been realized</t>
  </si>
  <si>
    <t>24</t>
  </si>
  <si>
    <t>Dressing IR magnets - Requirements Need to be Settled.</t>
  </si>
  <si>
    <t xml:space="preserve">If the requirements for defining the details of the IR magnets is not settled by CD-1, redesign may be necessary, which will take more time.  </t>
  </si>
  <si>
    <t>93</t>
  </si>
  <si>
    <t>DET</t>
  </si>
  <si>
    <t>Proposed Detector doesn’t fit in +/- 4.5 meters (distance rqmts)/physics rqmts
Correlated to Detectors</t>
  </si>
  <si>
    <t>if there is not sufficient space allowed for the optimized detector then the physics performance will be at impacted</t>
  </si>
  <si>
    <t>Define the optimized detector size as soon as possible – 09/30/20. Evaluate the impact on accelerator performance and the IR dimensional layout. If size occupied by the detector must be increased, determine impact on IR magnet and crab cavity locations.
Determine if re-design is necessary and its impact on cost &amp; schedule.</t>
  </si>
  <si>
    <t>Verifying sizing of magnets and placement are what is needed vs. space rqmts</t>
  </si>
  <si>
    <t>Retired: assuming detectors are designed to fit</t>
  </si>
  <si>
    <t>129</t>
  </si>
  <si>
    <t>124a</t>
  </si>
  <si>
    <t xml:space="preserve">
 Magnet Failure
</t>
  </si>
  <si>
    <t xml:space="preserve">If one unique SC magnet fails  then it has to be replaced and the schedule and/or performance of the EIC will be impacted. </t>
  </si>
  <si>
    <t>Detailed into risks 124b-i</t>
  </si>
  <si>
    <t>Magnets Fail to Meet Performance Parameters</t>
  </si>
  <si>
    <t xml:space="preserve">If a solution for the IR SC magnets, that are based on novel design ideas, cannot be found for yet unknown reasons, then the performance of the EIC will be impacted.   </t>
  </si>
  <si>
    <t>Prioritize IR magnet design and procurement to have testing of IR SC magnet testing as early in the project as possible. (see Risk ID 23)
Through continuous oversight and cooperation, work with the selected magnet vendor(s) to insure work is progressing within specifications and according to the contract schedule.
Require in the magnet contract that effort must be close and cooperative with Project.
Identify production issues early and resolve with vendor quickly.
Procure needed cable prior to placement of magnet contract to compress fabrication schedule to testing.</t>
  </si>
  <si>
    <t>1-Magnet fails to meet performance parameters in field limits -2- Magnet fails to meet performance parameters  in field quality</t>
  </si>
  <si>
    <t>124</t>
  </si>
  <si>
    <t>Start of final collared magnet design</t>
  </si>
  <si>
    <t xml:space="preserve">If the final design of the collared magnets is started before completion of the R&amp;D prototype magnet test, the designs may need to be revisited to incorporate necessary changes leading to delays and additional costs. </t>
  </si>
  <si>
    <t xml:space="preserve">Start final design of collared magnets after successful test of R&amp;D collared magnet. </t>
  </si>
  <si>
    <t>IR_0212_1000
IR_0212_1180
IR_0212_1360
IR_0212_1540
IR_0212_1720</t>
  </si>
  <si>
    <t>Risk didn't make it to the active status. The final design of the collared magnets started before completion of the R&amp;D prototype magnet test, so the IF event became reality.</t>
  </si>
  <si>
    <t>10.18.2022</t>
  </si>
  <si>
    <t>400</t>
  </si>
  <si>
    <t>Number of prototype magnets</t>
  </si>
  <si>
    <t xml:space="preserve">If not every collared magnet is prototyped, unique challenges of each magnet design may not be discovered, leading to issues in the magnet production. </t>
  </si>
  <si>
    <t>Prototype each collared magnet</t>
  </si>
  <si>
    <t>Risk didn't make it to the active status. Not every collared magnet is planned to be prototyped.</t>
  </si>
  <si>
    <t>401</t>
  </si>
  <si>
    <t>Start of R&amp;D tapered direct wind quadrupole prototype magnet</t>
  </si>
  <si>
    <t xml:space="preserve">If the tapered direct wind quadrupole R&amp;D magnet is started too late, the anticipated budget advantages may be reduced. </t>
  </si>
  <si>
    <t xml:space="preserve">Start of R&amp;D tapered direct wind quadrupole prototype magnet in time. </t>
  </si>
  <si>
    <t>RD_0303_1900</t>
  </si>
  <si>
    <t>Risk didn't make it to the active status.  The tapered direct wind quadrupole R&amp;D magnet is started later than optimal.</t>
  </si>
  <si>
    <t>402</t>
  </si>
  <si>
    <t>RT-6-007-001</t>
  </si>
  <si>
    <t>6.07 Accelerator Support Systems</t>
  </si>
  <si>
    <t>J. Jamilkowski</t>
  </si>
  <si>
    <t>CONT</t>
  </si>
  <si>
    <t>Changes in Technology</t>
  </si>
  <si>
    <t>If significant changes in technology occur during the life of the project, then our plans will need to be adjusted accordingly which could result in having to rethink or redo some work, which could cost more $ and/or take more time.</t>
  </si>
  <si>
    <t>NOTE: After Discussion, this could potentially be converted to an Opportunity.  Would the additional cost be under Operations or the Project?</t>
  </si>
  <si>
    <t>E1009_06070</t>
  </si>
  <si>
    <t>54</t>
  </si>
  <si>
    <t>RT-6-007-002</t>
  </si>
  <si>
    <t>Cybersecurity Oversight / Assessment Increases</t>
  </si>
  <si>
    <t>If the amount of cybersecurity oversight or assessment increases then there will be increased labor to address the responses.  This could affect cost and schedule.</t>
  </si>
  <si>
    <t>Continually review Cybersecurity needs</t>
  </si>
  <si>
    <t>E0702_10810</t>
  </si>
  <si>
    <t>55</t>
  </si>
  <si>
    <t>RT-6-007-003</t>
  </si>
  <si>
    <t>INST</t>
  </si>
  <si>
    <t>Space Constraints</t>
  </si>
  <si>
    <t xml:space="preserve">If space constraints in the tunnel make it difficult to disassemble components that need to be removed or modified, then additional components may need to be removed to make space.  This will require additional labor and will affect schedule. </t>
  </si>
  <si>
    <t>1) Detailed work planning for disassembling approach</t>
  </si>
  <si>
    <t>Q4 FY26</t>
  </si>
  <si>
    <t>01.26.24</t>
  </si>
  <si>
    <t>63</t>
  </si>
  <si>
    <t>RT-6-007-004</t>
  </si>
  <si>
    <t>Screen Installation</t>
  </si>
  <si>
    <t>If screen is not correctly installed according to vacuum standards (contamination) or RF fingers do not establish good connection, impact on vacuum and dynamic  heat load expected.  (Many connections, so likelihood increases.)</t>
  </si>
  <si>
    <t xml:space="preserve">1.Proper training, work planning, procedures, and QA inspection check (schedule presently includes an inspection with a video mole after installation) during rolling installation (don’t wait until the entire arc is done to check continuity).                                                 2.Develop an electrical continuity test method that can be done in sections before the entire section is completed.
</t>
  </si>
  <si>
    <t>149</t>
  </si>
  <si>
    <t>RT-6-007-005</t>
  </si>
  <si>
    <t>Damage to Recycled / Reused Equipment</t>
  </si>
  <si>
    <t>If there is damaged equipment that needs to reused for EIC during removals, then additional labor and materials will be needed for repair or replacement.  This could affect cost and schedule.</t>
  </si>
  <si>
    <t>1) Detailed work planning for equipment removal</t>
  </si>
  <si>
    <t>62</t>
  </si>
  <si>
    <t>RT-6-007-006</t>
  </si>
  <si>
    <t>Hadron Ring Sleeving Installation</t>
  </si>
  <si>
    <t>If there are delays with preparing and installing the Hadron ring sleeves and bellows assemblies then other tunnel installations that are staged after that will be delayed as well.</t>
  </si>
  <si>
    <t>1. Early planning, design, and procurement of beam screens.  2. Early planning, design, and procurement of beam screen aCarbon facility and storage systems.  3. Early aCarbon coating testing on full length beam screens.  4. Installation planning and test installations in short RHIC sections in 2024 shutdown before RHIC run ends.</t>
  </si>
  <si>
    <t>HR_0500_1500</t>
  </si>
  <si>
    <t>158</t>
  </si>
  <si>
    <t>RT-6-007-007</t>
  </si>
  <si>
    <t>Jump quad beam screens</t>
  </si>
  <si>
    <t>If the planned arc beam screen design is not adequate to meet the needs of transition crossing during the HSR ramp, then a new beam design which reduces the impact from Eddy currents will need to be designed and fabricated. This will require additional engineering resources to develop a new fabrication approach.</t>
  </si>
  <si>
    <t>APEX studies, physics simulations</t>
  </si>
  <si>
    <t>E0703_11160 - AS09 - HSR Cryostat Modifications Complete</t>
  </si>
  <si>
    <t>66</t>
  </si>
  <si>
    <t>Lack of Proper Installation Staging</t>
  </si>
  <si>
    <t>If beamline components are late and proper staging can't take place, then installation will be delayed or more time consumed.  This could affect cost and schedule.</t>
  </si>
  <si>
    <t>1) Detailed work planning for procurement, vendor oversights, deliveries, and installation plans</t>
  </si>
  <si>
    <t>End of FY26</t>
  </si>
  <si>
    <t>Risk originates from the upstream schedule.</t>
  </si>
  <si>
    <t>Magnet Girder Acceptance &amp; Assembly Facility</t>
  </si>
  <si>
    <t>If the conventional magnet acceptance testing and girder assembly facility is not fully equipped and staffed when production magnets begin to arrive and reach their production peak then there will be a schedule delay or the quality of early test, magnet measurement, and assembly may be poor.</t>
  </si>
  <si>
    <t xml:space="preserve">1.	Early planning, design, and assembly of the magnet acceptance facility.
2.	Early procurement of the eRCS magnets to allow a controlled ramp up of the facility with schedule float for the RCS magnet installation to allow for acceptance and assembly system modifications and improvements.
3.	Careful staging of the project schedule so magnet procurements do not create a peak that can not be handled by the magnet assembly teams.
4.	Magnet measurements by vendors with testing and oversight by the EIC.  Partial or complete girder assembly by vendors including survey and alignment, bus connections, and hosing.  </t>
  </si>
  <si>
    <t>157</t>
  </si>
  <si>
    <t>52</t>
  </si>
  <si>
    <t>Scope Change</t>
  </si>
  <si>
    <t xml:space="preserve">If scope changes in other systems with a significant impact on controls support (prior to CD-3) then it would impact schedule late in the project (when there is less time to catch up or make adjustments).  </t>
  </si>
  <si>
    <t xml:space="preserve">1) Early definition of size of the scope change.    2) Determine needs of resources/cost based upon the defined scope change. Engineering by CD-2; Cost by CD-3 </t>
  </si>
  <si>
    <t xml:space="preserve"> Cost impact will retire by CD-3</t>
  </si>
  <si>
    <t>Scope is now defined</t>
  </si>
  <si>
    <t>Quench margin: Hadron Storage Ring SC magnets</t>
  </si>
  <si>
    <t>If the  EIC beam heat load is too high for the SC magnet helium system then a quench may occur, then a cold compressor system would need to be added to lower the operating temperatures of the magnets.  This will affect design and installation labor, cost, and schedule.</t>
  </si>
  <si>
    <t xml:space="preserve">Apr 2021 - primary risk probability reduced from high to very low,  </t>
  </si>
  <si>
    <t>1) Completing the Task Force Effort to determine estimated Beam heating load (Estimate to complete by end of FY21)
2) Addition of 2 cold compressors [1+1hot standby] at the 1005 central cryogenic plant, to decrease operating temperatures by 0.4K, will increase electric power for plant by 1.5MW,     3) If the beam tube heating is higher then expected, then the EIC bunch intensity will have to be reduced lowering luminosity goals until the cold compressors are installed.</t>
  </si>
  <si>
    <t>May not be able to simulate/test quench margin. Trigger would be based on completion of FY21 Task Force Effort and design of the Beam screen.</t>
  </si>
  <si>
    <t>.5 FTE MD and .5 FTE ME = $205k (loaded)</t>
  </si>
  <si>
    <t>Dec 2021: Risk is replaced with Hadron Ring risks</t>
  </si>
  <si>
    <t>143</t>
  </si>
  <si>
    <t>Existing RHIC Upgrades</t>
  </si>
  <si>
    <t>If RHIC existing system upgrades, maintenance, and repairs are not completed then they will compete with engineering and technical resources during EIC construction.  This includes possible further diode repairs, upgrades to communications infrastructure and network systems, site power distribution, etc.  The estimates assume these are off project.</t>
  </si>
  <si>
    <t>1) Good communication with CAD Engineering Team: RHIC and EIC 2) Assumption is proper RHIC upgrade funding from DOE</t>
  </si>
  <si>
    <t>Resolved by CD-2</t>
  </si>
  <si>
    <t>External risk - RHIC Upgrades MS exists in the schedule</t>
  </si>
  <si>
    <t>145</t>
  </si>
  <si>
    <r>
      <t>Change in Data Volume</t>
    </r>
    <r>
      <rPr>
        <sz val="12"/>
        <rFont val="Arial"/>
        <family val="2"/>
      </rPr>
      <t xml:space="preserve"> (combine with risk 52)</t>
    </r>
  </si>
  <si>
    <t>If there is a significant change in data volume (more systems/more monitoring), then controls systems requirements will need to be adjusted (Network and Data Management).  This could affect cost and schedule.</t>
  </si>
  <si>
    <t>1) Pre-emptive request/analysis of data needs of teams, 2) Early definition of size of the scope change.  
3) Determine needs of resources/cost based upon the defined scope change.</t>
  </si>
  <si>
    <t>Engineering by CD-2; Cost by CD-3</t>
  </si>
  <si>
    <t>53</t>
  </si>
  <si>
    <t>Changes to Controls Interfaces (Duplicate?)</t>
  </si>
  <si>
    <t>If controls interfaces from vendor/partner-supplied systems change, then the controls systems interfaces might need to change also, which could change the controls plan and cause a cost or schedule increase.</t>
  </si>
  <si>
    <t>1) Good communication and information with vendor and partners
2) Collaboration in specification development</t>
  </si>
  <si>
    <t>CD-3 to mid-CD-3</t>
  </si>
  <si>
    <t>56</t>
  </si>
  <si>
    <t>Changes in Pre-Operations Requirements for Controls (Duplicate?)</t>
  </si>
  <si>
    <t>If the pre-operations requirements change for controls before commissioning, then it will take more time to complete additional software development.</t>
  </si>
  <si>
    <t>1) Good communication with commissioning team
2) Start commissioning planning early CD-3</t>
  </si>
  <si>
    <t>57</t>
  </si>
  <si>
    <t>Adopting other Control System Components to RHIC Controls</t>
  </si>
  <si>
    <t xml:space="preserve">If major systems procurements that include controls systems are not fully compatible with the RHIC controls system design then additional time and $ will be required to modify or adapt the systems and this could lead to an increase in cost and schedule.  </t>
  </si>
  <si>
    <t>NOTE: Evaluate if this risk is needed. If so, further definition is required.</t>
  </si>
  <si>
    <t>59</t>
  </si>
  <si>
    <t>RT-6-008-001</t>
  </si>
  <si>
    <t>6.08 RF</t>
  </si>
  <si>
    <t>Z. Conway /P. Berrutti</t>
  </si>
  <si>
    <t>RF</t>
  </si>
  <si>
    <t>Kicker Performance</t>
  </si>
  <si>
    <t>If the kicker cannot inject into a neighboring RF bucket, THEN we would have to utilize the accumulator ring  for the merge which may increase the costs</t>
  </si>
  <si>
    <t>Use an accumulator ring</t>
  </si>
  <si>
    <t>146</t>
  </si>
  <si>
    <t>RT-6-008-002</t>
  </si>
  <si>
    <t>LLRF Supply Chain Delays</t>
  </si>
  <si>
    <t>If the electronic supply chain delays currently being experienced continue beyond CY 21, then design and prototype PED efforts for the LLRF systems will be delayed.</t>
  </si>
  <si>
    <t>Procure critical electronic components as early as practical but no too early as this would increase risk of early obsolescence.</t>
  </si>
  <si>
    <t>E0203_22680, ESR Vacuum Development - Vacuum design ready for PDR (CD-2)</t>
  </si>
  <si>
    <t>310</t>
  </si>
  <si>
    <t>RT-6-008-003</t>
  </si>
  <si>
    <t>Accelerator design maturity</t>
  </si>
  <si>
    <t>If the final accelerator design changes requirements for RF systems then new designs will need to be developed (jp)</t>
  </si>
  <si>
    <t>Work closely with accelerator team to keep RF design current.</t>
  </si>
  <si>
    <t>318</t>
  </si>
  <si>
    <t>RT-6-008-004</t>
  </si>
  <si>
    <t>Crab Cavity Prototype</t>
  </si>
  <si>
    <t>If the 197 MHz crab cavity prototype R&amp;D effort exposes unexpected challenges in fabrication, processing or test, then physics and/or engineering redesign will be required to address and remediate the problem, causing schedule delay and added cost for another prototype.</t>
  </si>
  <si>
    <t>Complete crab cavity prototype R&amp;D</t>
  </si>
  <si>
    <t>E0502_01320, Path Length Variation Magnets - Pin Procurement</t>
  </si>
  <si>
    <t>184</t>
  </si>
  <si>
    <t>RT-6-008-005</t>
  </si>
  <si>
    <t>Scaling of IR Crab Cavity Design</t>
  </si>
  <si>
    <t xml:space="preserve">If scaling of the successfully tested BNL/LHC cavity design leads to unexpected results, more time will be needed to adjust the design which could lead to schedule delays. </t>
  </si>
  <si>
    <t>26</t>
  </si>
  <si>
    <t>RT-6-008-006</t>
  </si>
  <si>
    <t>C. Folz</t>
  </si>
  <si>
    <t>Increase in Power Rqmts. Specific to RF</t>
  </si>
  <si>
    <t>If the project decides to use solid state technology, then there needs to be a cost/benefit analysis between RF and energy losses within conventional design resulting in larger cable energy rqmts and additional cost and technical impacts.</t>
  </si>
  <si>
    <t xml:space="preserve">Participate in the RF decision.
</t>
  </si>
  <si>
    <t>Retire after scope changes</t>
  </si>
  <si>
    <t>134</t>
  </si>
  <si>
    <t>RT-6-008-007</t>
  </si>
  <si>
    <t>RCS Multi-Harmonic RF Kicker</t>
  </si>
  <si>
    <t>If the RCS Multi-Harmonic RF Kicker prototype fails to achieve specified performance, then an alternate set of conventional cavities will need to be designed and fabricated to perform the injection kicker function.</t>
  </si>
  <si>
    <t>Expedite kicker prototype and high power test effort.</t>
  </si>
  <si>
    <t>301</t>
  </si>
  <si>
    <t>RT-6-008-008</t>
  </si>
  <si>
    <t>ESR Cryomodule Space Constraints</t>
  </si>
  <si>
    <t>If the IR-10 lattices and devices can't be tailored to provide sufficient space for the ESR single cavity cryomodules, then the ESR cryomodule will need to be redesigned to accommodate 2x ESR cavities per cryomodule.</t>
  </si>
  <si>
    <t>Dedicate resources to the IR-10 lattice design. Dedicate resources to the ESR 2-cavity cryomodule design.</t>
  </si>
  <si>
    <t>302</t>
  </si>
  <si>
    <t>RT-6-008-009</t>
  </si>
  <si>
    <t>ESR Cavity Prototype</t>
  </si>
  <si>
    <t>If the prototype ESR 591 MHz Cavity does not achieve design performance specifications in vertical test … then an additional cavity will need to be built (jp).</t>
  </si>
  <si>
    <t>Expedite cavity prototype effort. Order spare material for SRF cavity prototyping.</t>
  </si>
  <si>
    <t>303</t>
  </si>
  <si>
    <t>RT-6-008-010-LLP-CD3A</t>
  </si>
  <si>
    <t>ESR Cryo FA doesn't meet performance</t>
  </si>
  <si>
    <t>If ESR cryomodule FA doesn't achieve specified performance and requires mos, then additional time and labor will be needed to identify and remediate the issues.</t>
  </si>
  <si>
    <t>Plan design reviews with associated resources in P6 schedule. Keep good communication with vendor(s).</t>
  </si>
  <si>
    <t>E0803_11460 Complete First Article Cavity Dressed Qualification (591 1-Cell 1st Art)</t>
  </si>
  <si>
    <t>Probability estimated as low. Cost impacts are based on previous project experience that includes disassembly, modifications and re-assembly.  It could be $750K/$1M/$1.5M Burdened. Compounded escalation rate of 1.134 applied for delivery year 2027. The schedule reflects past experience with LCLS-II and CEBAF.</t>
  </si>
  <si>
    <t>304_LLP</t>
  </si>
  <si>
    <t>RT-6-008-011</t>
  </si>
  <si>
    <t xml:space="preserve">197 Crab Cryomodule First Article </t>
  </si>
  <si>
    <t>If the first article 197 MHz Crab cryomodule does not achieve specified performance and requires significant redesign, then additional time and labor will be needed to identify and remediate the issue.</t>
  </si>
  <si>
    <t>Expedite first article cryomodule development and test.</t>
  </si>
  <si>
    <t>307</t>
  </si>
  <si>
    <t>RT-6-008-012</t>
  </si>
  <si>
    <t>ESR Lattice Change</t>
  </si>
  <si>
    <t>If the ESR 18 GeV lattice changes to a 60 degree phase advance, then substantially more installed voltage will be required, requiring redesign of the cavities and cryomodules, and potentially more IR and support building space.</t>
  </si>
  <si>
    <t>Expedite the ESR lattice design effort.</t>
  </si>
  <si>
    <t>314</t>
  </si>
  <si>
    <t>RT-6-008-013</t>
  </si>
  <si>
    <t>RCS Lattice Change</t>
  </si>
  <si>
    <t>If the RCS 18 GeV lattice changes to a 60 degree lattice then substantially more installed voltage will be required, requiring one or two extra cryomodules to be installed, increasing cost and required IR and support building space.</t>
  </si>
  <si>
    <t>Expedite the RCS lattice design effort.</t>
  </si>
  <si>
    <t>315</t>
  </si>
  <si>
    <t>RT-6-008-014</t>
  </si>
  <si>
    <t>Power Couplers</t>
  </si>
  <si>
    <t>If we cannot reach 500kW CW, but successfully achieve a somewhat lower power, then we need to install more cryomodules to reduce power per coupler to an acceptable limit. This adds cost and required beamline space in IR10.</t>
  </si>
  <si>
    <t>Increase number of cryomodules or additional R&amp;D effort.</t>
  </si>
  <si>
    <t>114</t>
  </si>
  <si>
    <t>RT-6-008-015</t>
  </si>
  <si>
    <t>HOM Absorbers</t>
  </si>
  <si>
    <t>If we cannot achieve required power, then we need to install likely two more absorbers per cryomodule. This adds to cost and required beamline space in IR10.</t>
  </si>
  <si>
    <t>R&amp;D to validate the design.
Add more absorbers or do additional R&amp;D.</t>
  </si>
  <si>
    <t>115</t>
  </si>
  <si>
    <t>RT-6-008-016</t>
  </si>
  <si>
    <t>Changes to Crab Cavities</t>
  </si>
  <si>
    <t xml:space="preserve">If the crab cavity frequencies are not finalized soon, this will stall the formulation of reasonable, maximum cryomodule-required spacing in the  IR. This will negatively impact the present magnet layout, requiring the repeating of the ongoing magnet design work. This will lead to a negative impact on the magnet procurement schedule.
</t>
  </si>
  <si>
    <t>Complete determination of crab cavity frequency and define overall required cryomodule spacing in the IR by 9/30/20. (See Risk ID 23)</t>
  </si>
  <si>
    <t>91</t>
  </si>
  <si>
    <t>RT-6-008-017</t>
  </si>
  <si>
    <t>ESR Cryomodule Transportation Issues</t>
  </si>
  <si>
    <t>If there are unexpected CM transportation issues, then it would increase the cost and result in delays.</t>
  </si>
  <si>
    <t>Carefully plan and monitor CM transportation, use qualified vendors and use realistic durations.</t>
  </si>
  <si>
    <t>20 years experience with CM transportation</t>
  </si>
  <si>
    <t>RT-6-008-018-LLP-CD3A</t>
  </si>
  <si>
    <t>ESR Cryo FA Delivery Delay</t>
  </si>
  <si>
    <t>If Cryo FA is delivered later than planned, then the project will experience schedule delays.</t>
  </si>
  <si>
    <t>Work with procurement to award the contract on time; good communication with vendor(s).</t>
  </si>
  <si>
    <t>E0803_16980 Start First Article Cavity String Assembly (591 1-Cell 1st Art)</t>
  </si>
  <si>
    <t>RT-6-008-019-LLP-CD3A</t>
  </si>
  <si>
    <t>ESR Cryo FA Bids come higher than expected</t>
  </si>
  <si>
    <t>If Cryo FA contract cost is higher than planned, then the project will have cost increase.</t>
  </si>
  <si>
    <t>E0803_10065 04 10 2024 AWARD: First Article Cavity  (591 1-Cell 1st Art) COMPLETE</t>
  </si>
  <si>
    <t>Probability estimated as moderate. Cno schedule impacts. Cost impacts are 10-15-20 % of total burdened and escalated cost.</t>
  </si>
  <si>
    <t>84</t>
  </si>
  <si>
    <t>S. Nagaitsev / K. Smith</t>
  </si>
  <si>
    <t>3rd Harmonic RF</t>
  </si>
  <si>
    <t>Removing 3rd Harmonic system and increase complexity of vacuum components. (No longer have 3rd Hamonic systems)</t>
  </si>
  <si>
    <t>Could cause additional impact or increase probability of risks in vacuum components</t>
  </si>
  <si>
    <t>Retired 
TO BE COMPLETED</t>
  </si>
  <si>
    <t>591 MHz 5-Cell Cryomodule</t>
  </si>
  <si>
    <t>If PED reveals that the single cavity 5-cell cryomodule can't be used as a common cryomodule design for the ERL, RCS and HSR, then one or more customized cavity and cryomodule combinations will need to be developed.</t>
  </si>
  <si>
    <t>Dedicate resources to the 591 MHz 5-cell evaluation and design effort.</t>
  </si>
  <si>
    <t>HR_0805_1060, RF-ERL-1-CM: Ready for Installation</t>
  </si>
  <si>
    <t>Scaled based on estimates for CM design, procurement and assembly in other areas for RF systems.</t>
  </si>
  <si>
    <t>Oct 21, 2022. Risk realized. More design effort will be in proposed Baseline.</t>
  </si>
  <si>
    <t>Oct 21, 2022: Realized, retired</t>
  </si>
  <si>
    <t>300</t>
  </si>
  <si>
    <t>ESR 400 kW Solid State Amplifiers 2</t>
  </si>
  <si>
    <t>If the ESR 400 kW SSA footprint or volume increases during the vendor detailed design phase, then the RF1010 building size will need to increase to accommodate the larger amplifiers.</t>
  </si>
  <si>
    <t>Ensure that the first article amplifier procurement receives high priority.</t>
  </si>
  <si>
    <t>IF_0204_1440, Ready for Accelerator Installation - 1010 RF Building</t>
  </si>
  <si>
    <t>Oct 21, 2022. This risk was a duplicate.</t>
  </si>
  <si>
    <t>Oct 21, 2022: Was a duplicate, retired</t>
  </si>
  <si>
    <t>306</t>
  </si>
  <si>
    <t>Crab Cavity Performance Requirements 1</t>
  </si>
  <si>
    <t>If the crab cavity performance requires greater than state of the are RF noise control, then additional time and labor will be needed to address the RF control challenges.</t>
  </si>
  <si>
    <t>Expedite analysis and simulation efforts to mature requirements as early as possible.</t>
  </si>
  <si>
    <t>AS_0302_6040, Controls - Crab Cavity Systems - Ready for Systems Readiness Review</t>
  </si>
  <si>
    <t>Oct 21, 2022. Risk realized.</t>
  </si>
  <si>
    <t>308</t>
  </si>
  <si>
    <t>Crab Cavity Performance Requirements 2</t>
  </si>
  <si>
    <t>If the crab cavity performance requires strong RF feedback for impedance control , then the resulting high gain, low group delay feedback implementation will require a new RF support building due to siting and proximity requirements.</t>
  </si>
  <si>
    <t>IF_0203_1265, Cryogenic 1002I - BORE</t>
  </si>
  <si>
    <t>309</t>
  </si>
  <si>
    <t xml:space="preserve">ERL Injector RF </t>
  </si>
  <si>
    <t>If the ERL Injector physics requirement calls for an SRF injector cryomodule, then the injector RF cost will increase, significant additional design time will be required and cryogenic requirements will increase.</t>
  </si>
  <si>
    <t>Expedite the ERL Injector design effort.</t>
  </si>
  <si>
    <t>HR_0802_1280, Milestone: High Current HCeS - High Current Hadron cooling e-source  subsystems complete</t>
  </si>
  <si>
    <t>Scaled based on estimates for CM design, procurement and assembly in other areas fro RF systems.</t>
  </si>
  <si>
    <t>Oct 21, 2022. Realized, will be part of proposed Baseline.</t>
  </si>
  <si>
    <t>316</t>
  </si>
  <si>
    <t xml:space="preserve">
K. Smith</t>
  </si>
  <si>
    <t>If Alumina window design which is robust against transportation stresses is not developed, then test couplers would need to be removed after test at JLAB, and final cryomod assembly with the current BeO FPC will need to occur at BNL.  This would cause schedule delay, added cost and add significant risk for degradation of cavity performance.</t>
  </si>
  <si>
    <t>Expedite R&amp;D on a new alumina window design.
If this fails,  think about a backup plan...</t>
  </si>
  <si>
    <t>RD_0309_1580, ESR Vacuum Development - Vacuum design ready for PDR (CD-2)</t>
  </si>
  <si>
    <t>Oct 21, 2022. New couplers design is in the proposed Baseline.</t>
  </si>
  <si>
    <t>323</t>
  </si>
  <si>
    <t>ESR 400 kW Solid State Amplifiers 1</t>
  </si>
  <si>
    <t>If the ESR 400 kW SSA first article does not achieve specified performance, then the vendor will require more time to develop a solution. (Should there be an entry about getting the long lead procurement placed? This speaks to having a CD03a. Jp, below #37 kss)</t>
  </si>
  <si>
    <t>None - no cost or sched. Impacts, not in Safran</t>
  </si>
  <si>
    <t>Never detailed</t>
  </si>
  <si>
    <t>305</t>
  </si>
  <si>
    <t>HSR HPRF Tetrodes</t>
  </si>
  <si>
    <t>Any risk of note?</t>
  </si>
  <si>
    <t>311</t>
  </si>
  <si>
    <t>HSR 1004 HPRF Space</t>
  </si>
  <si>
    <t>312</t>
  </si>
  <si>
    <t>HSR 1004 Cooling Water</t>
  </si>
  <si>
    <t>313</t>
  </si>
  <si>
    <t>Facility Upgrades (JLAB)</t>
  </si>
  <si>
    <t>If JLab SRF facility upgrades are not started by January 2022 then there will be delays in fabricating prototype cavities. (jp)</t>
  </si>
  <si>
    <t>317</t>
  </si>
  <si>
    <t>Design team</t>
  </si>
  <si>
    <t>If the design team is not able to ramp up at the same rate as funding is available then there will be a delay in completing designs (jp)</t>
  </si>
  <si>
    <t>Ensure RF, HR and BizOps teams at JLAB and BNL are well prepared and positioned to open new staff requisitions, MOUs, contracts as needed to address staffing needs.</t>
  </si>
  <si>
    <t>319</t>
  </si>
  <si>
    <t>SRF cavity vendor availability</t>
  </si>
  <si>
    <t>If the existing cavity vendors have long lead times then cavity deliveries will be delayed (jp)</t>
  </si>
  <si>
    <t>320</t>
  </si>
  <si>
    <t>ESR 400 kW Solid State Amplifiers 3</t>
  </si>
  <si>
    <t>If the ESR 400 kW/200kW Solid State Amplifier first articles are not available by (date), then acceptance testing of the first article ESR cryomodule at JLAB and BNL will be delayed.</t>
  </si>
  <si>
    <t>CD-3A Long Lead Procurement</t>
  </si>
  <si>
    <t>321</t>
  </si>
  <si>
    <t>Facility Upgrades (BNL)</t>
  </si>
  <si>
    <t xml:space="preserve"> If BNL SRF facility upgrades are required, then </t>
  </si>
  <si>
    <t>322</t>
  </si>
  <si>
    <t>RT-6-009-001</t>
  </si>
  <si>
    <t>6.09 Cryogenics</t>
  </si>
  <si>
    <t>T. Michalski / R. Than</t>
  </si>
  <si>
    <t>T. Michalski</t>
  </si>
  <si>
    <t>CRYO</t>
  </si>
  <si>
    <t>Cryogenic system Long lead items (Design)</t>
  </si>
  <si>
    <t>If cryogenic system design is delayed  then accelerator commissioning will be delayed.</t>
  </si>
  <si>
    <t>1) Early Start of Interface Design Infrastructure Engineering /Resources
2) Add Engineering and Design Resources
3) Early Vendor Engineering Start prior to CD-3</t>
  </si>
  <si>
    <t>L2_090, DOE Independent Project Review (IPR) for CD-2/3A Approval</t>
  </si>
  <si>
    <r>
      <t xml:space="preserve">2 FTEs MD (ACI) and 2 FTEs ME (SEIII) = $818k (loaded)
1 FTE MD and 1 FTE ME = </t>
    </r>
    <r>
      <rPr>
        <b/>
        <sz val="11"/>
        <rFont val="Arial"/>
        <family val="2"/>
      </rPr>
      <t>$409k</t>
    </r>
    <r>
      <rPr>
        <sz val="11"/>
        <rFont val="Arial"/>
        <family val="2"/>
      </rPr>
      <t xml:space="preserve"> (loaded)</t>
    </r>
  </si>
  <si>
    <t>Cryo design complete.</t>
  </si>
  <si>
    <t>144</t>
  </si>
  <si>
    <t>RT-6-09-008</t>
  </si>
  <si>
    <t>Cryo LLP Refrigerators (non 3A)</t>
  </si>
  <si>
    <t>If cryogenic system design is delayed at the vendor( design, procurement, fabrication), then the project will have cost &amp; sched. Cons.</t>
  </si>
  <si>
    <t>replaced with RT-6-09-009</t>
  </si>
  <si>
    <t>Deleted</t>
  </si>
  <si>
    <t>RT-6-009-009</t>
  </si>
  <si>
    <t>B. Shell</t>
  </si>
  <si>
    <t>S. Yang</t>
  </si>
  <si>
    <t>Cryo LLP Distribution Sys</t>
  </si>
  <si>
    <t>If the cryogenic distribution system design/procurement/fabrication is delayed, then the project will experience schedule delays and incur additional cost</t>
  </si>
  <si>
    <t>1. Work with interface partners closely hoping to be able to nail down the design options ASAP. 2. Request more support for design effort when necessary. 3. Separate procurement contracts for IR02, IR06, and IR10 cryogenic distribution system. 4. Regular comm. with vendors. 5. Request separate shipment for different sections of CDS</t>
  </si>
  <si>
    <t>E0904_02820</t>
  </si>
  <si>
    <t xml:space="preserve">Probability estimated as moderate. Assumed 2 FTE ME (SEIII &amp; SEII) to be on each vendor site 100% for extended period. Assume total 13 weeks for Low, 26 weeks for Likely, and 52 weeks for High @ $2100/wk travel/lodging.  </t>
  </si>
  <si>
    <t>RT-6-009-002-LLP-CD3A</t>
  </si>
  <si>
    <t>Cryogenic Sys LLP items procurement delay</t>
  </si>
  <si>
    <t>If the satellite plant for IR10 is delayed because of the contract award delay or vendor issues, then the project will experience schedule delays and incur additional cost.</t>
  </si>
  <si>
    <t>2. Request more support for design effort when necessary</t>
  </si>
  <si>
    <t>E0902_04680 First Satellite Cryo Refrigerator Plant - IR10 - CD3A Scope Complete</t>
  </si>
  <si>
    <t>Probability estimated as moderate. Assume 1 FTE ME (SEIII) to be on site 100% for 1 year.  Assume 50 weeks @ $1500/wk travel/lodging TOTAL = $239k + $75k = $314k. For the worst case add 10% vendor Incentive = $4,000k</t>
  </si>
  <si>
    <t>144a_LLP</t>
  </si>
  <si>
    <t>RT-6-009-003</t>
  </si>
  <si>
    <t>R. Than</t>
  </si>
  <si>
    <t>4K Cryogenics Modifications</t>
  </si>
  <si>
    <t>If modifications to the RHIC cryogenic distribution system is more complicated than anticipated during detail engineering, then additional design and installation labor will be required.  This will affect cost and schedule.</t>
  </si>
  <si>
    <t>3. Separate procurement contracts for IR02, IR06, and IR10 cryogenic distribution system</t>
  </si>
  <si>
    <t>L3_0280, CD-2/3A Director's Review Complete</t>
  </si>
  <si>
    <t>1 FTE MD and 1 FTE ME = $409k (loaded)</t>
  </si>
  <si>
    <t>46</t>
  </si>
  <si>
    <t>RT-6-009-004</t>
  </si>
  <si>
    <t>Tunnel Space Availability for Cryogenic Systems</t>
  </si>
  <si>
    <t>If the space for installing the vacuum jacketed piping is not identified by CD-2 then it would result in more complicated and expensive VJP design that is difficult for installation.   This could affect cost and schedule.</t>
  </si>
  <si>
    <t>Early Start of Interface Design Infrastructure Engineering /Resources, add Engineering and Design Resources</t>
  </si>
  <si>
    <t>L2_100, CD-3A Independent Cost Review (ICR) Complete</t>
  </si>
  <si>
    <t>47</t>
  </si>
  <si>
    <t>RT-6-009-005</t>
  </si>
  <si>
    <t>Large, Expensive Equipment QA</t>
  </si>
  <si>
    <t>If large, expensive equipment, such as satellite refrigerators and He distribution systems, are not verified for quality and operation prior to arriving on site, being installed, and commissioned, then accelerator commissioning will be delayed.</t>
  </si>
  <si>
    <t xml:space="preserve">Assume 10% cost of Satellite Plant Cold Box and Distribution Systems.  </t>
  </si>
  <si>
    <t xml:space="preserve">Perform verification testing at vendors (leak tests, preliminary functional tests), on-site inspection of received </t>
  </si>
  <si>
    <t>Q3 FY28</t>
  </si>
  <si>
    <t>E0902_08800 TWR - 10 O'clock Bldg - Testing and Commissioning 06/22/28</t>
  </si>
  <si>
    <t>Probability is estimated moderate. For the likely cost impact assume 1 additional FTE ME (SEIII) to be on site 100% for 1 year. Assume 50 weeks @ $1500/wk travel/lodging TOTAL $239k + $75K = $314k. Low cost impact is half of the likely. Add 10% vendor incentive = $1,400k for the worst case. Sched. impacts are estimated based on recent history of similar procurements at a different DOE lab.</t>
  </si>
  <si>
    <t>324</t>
  </si>
  <si>
    <t>RT-6-009-006-LLP-CD3A</t>
  </si>
  <si>
    <t>Cryo LLP items (Procuring 1 sat. refrigerator rather than 3)</t>
  </si>
  <si>
    <t xml:space="preserve"> If the contract award is late and a single satellite refrigerator for IR10 costs more than 1/3 of the estimated cost for 3 plants (losing economies of scale), then it will lead to increased cost and project delays.</t>
  </si>
  <si>
    <t>Request IR06 and IR02 costing as options during the RFP process. Exercise the option for IR06 as early as feasible towards regaining some economies of scale for procuring 2 plants simultaneously</t>
  </si>
  <si>
    <t>Probability estimated as moderate. Cost impacts - assume 5% 10% 20% total cost increase for low, likely, high impacts. Schedule delays estimated based on recent communications with potential vendors.</t>
  </si>
  <si>
    <t>RT-6-009-007-LLP-CD3A</t>
  </si>
  <si>
    <t>IR10 Satellite Refrigerator Equipment Storage</t>
  </si>
  <si>
    <t>If the satellite plant building for the IR10 satellite refrigerator is not ready for equipment, then the IR10 satellite refrigerator equipment will need to be stored until the building is ready.</t>
  </si>
  <si>
    <t>Currently, the satellite refrigerator delivery is showing 7 months prior to BORE complete.  We should revise the delivery schedule in advance to set the baseline for BORE complete (plus 3 months float[?]) at the time of the Contract Award.</t>
  </si>
  <si>
    <t>Q2 FY28</t>
  </si>
  <si>
    <t>E0902_04640 Deliver First Satellite Cryo Refrigerator Plant - IR10 - Milestone:  23-Apr-27</t>
  </si>
  <si>
    <t>https://www.statista.com/statistics/527845/warehouse-primary-rent-cost-logistics-market-netherlands-europe/
Assume Rotterdam, 73 Euro/sq.meter x 250 sq.meter - monthly rate
Exchange rate from Google is 1.06 USD = 1 Euro (date - 10/25/2023)</t>
  </si>
  <si>
    <t>Existing RHIC Helium Refrigerator Upgrade</t>
  </si>
  <si>
    <t>If the existing RHIC Helium refrigerator upgrade (or replacement of the refrigerator)  is not completed in time, it will delay the commissioning of the installed SRF Cavities at IR10.  This will then delay commissioning of all three ring systems - the RCS, ESR, and HRS with beam.  The estimate assumes this upgrade or replacement is  off project.</t>
  </si>
  <si>
    <t>If the existing refrigerator will be upgraded; then the planning and execution most be well planned with integration and support for the EIC team.  If the refrigerator is to be replaced; then the replacement schedule most be integrated with a revised EIC commissioning schedule.  It may be necessary to maintain the existing refrigerator for EIC commissioning and schedule a down period to convert the LHe supply from the old system to the new system.  This will result in added cost.</t>
  </si>
  <si>
    <t>Off Project. Milestones added to monitor progress.</t>
  </si>
  <si>
    <t>March 2022. Retired since this risk is off project. Milestones added to RLS to monitor progress.</t>
  </si>
  <si>
    <t>182</t>
  </si>
  <si>
    <t>RO-6-010-001-LLP-CD3A</t>
  </si>
  <si>
    <t>6.10 Detector</t>
  </si>
  <si>
    <t>R. Ent / E. Aschenauer</t>
  </si>
  <si>
    <t>R. Ent</t>
  </si>
  <si>
    <t>PbWO4 Crystals Provided in-kind</t>
  </si>
  <si>
    <t>If NSF proposal is successful, then PbWO4 crystals become in-kind.</t>
  </si>
  <si>
    <t>Submit NSF proposal</t>
  </si>
  <si>
    <t>Q2 FY26</t>
  </si>
  <si>
    <t>E1005_01425 AWARD: Electron Endcap EMCal - PWO Crystals Batch 2 COMPLETE</t>
  </si>
  <si>
    <t>Probability estimated as high. Cost impacts are crystals total cost (Burdened &amp; escalated in P6). No schedule delays.</t>
  </si>
  <si>
    <t>opportunity didn't realize on time</t>
  </si>
  <si>
    <t>RO-6-010-002-LLP-CD3A</t>
  </si>
  <si>
    <t>New Experimental Solenoid Provided In-Kind</t>
  </si>
  <si>
    <t>If INFN in Italy and Saclay in France are able to ensure in-kind contribution from their funding agencies.</t>
  </si>
  <si>
    <t>Good communication with foreign agencies</t>
  </si>
  <si>
    <t>E1007_02120 CD3A Scope Complete - Kick Off Meeting Held</t>
  </si>
  <si>
    <t>Probability estimated as low. Cost impacts are based on the full total solenoid magnet cost in P6 (burdened &amp; escalated). No schedule impact.</t>
  </si>
  <si>
    <t>RO-6-010-003-LLP-CD3A</t>
  </si>
  <si>
    <t>If NSF proposal is successful, then phase 2,3,4 PbWO4 crystals become in-kind.</t>
  </si>
  <si>
    <t>Re-submit NSF proposal</t>
  </si>
  <si>
    <t>first batch was no in-kind</t>
  </si>
  <si>
    <t>RT-6-010-001-LLP-CD3A</t>
  </si>
  <si>
    <t>New Experimental Solenoid Delivery Delay</t>
  </si>
  <si>
    <t>If central magnet is delayed, then the project will be delayed and the project cost will increase.</t>
  </si>
  <si>
    <t>Estimated cost of a new magnet</t>
  </si>
  <si>
    <t xml:space="preserve">Work closely with JLab procurement to advance the procurement package following the earlier RFI; include cognizant engineers on the bid evaluation team; provide the conductor after QA as GFI; have regular communication with vendors including frequent visits by cognizant staff for vendor oversight; ensure attention to QA and transport requirements early in the procurement </t>
  </si>
  <si>
    <t>E1007_02460 CD3A Scope Complete - Detector Solenoid Arrival Checks Complete</t>
  </si>
  <si>
    <t>Large detector solenoids are one of a kind and can have technical, cost and schedule risks at vendor during construction. Probability and schedule estimates are based on experience with similar magnets. Cost impacts: Worst case - extreme problems with magnet contract lead to big magnet repairs and a need for new components. Likely and best case - cost increases to resolve various technical issues. Cost impacts estimated in burdened &amp; escalated dollars.</t>
  </si>
  <si>
    <t>137_LLP</t>
  </si>
  <si>
    <t>RT-6-010-001a-LLP-CD3A</t>
  </si>
  <si>
    <t>Detector Solenoid Doesn't Pass Acceptance Tests</t>
  </si>
  <si>
    <t>If central magnet is failing the Q&amp;A at arrival at BNL (factually not working), then a new magnet is required.</t>
  </si>
  <si>
    <t>Fold in technical and QA strength of vendor in procurement process. Work close together with vendor with frequent vendor visits to ensure quality control during construction and transport phase. Add parallel thermosiphons as backup, and sufficient quench protection and thermistors with backups to diagnose magnet during operations.</t>
  </si>
  <si>
    <t>Q3 FY29</t>
  </si>
  <si>
    <t>Probability estimated low. Cost impact is based on the current magnet cost of 15M FY2023 $. Non-labor compound escalation factor 1.18698 for 2029 is applied to $15M. Schedule impacts estimated based on current solenoid magnet production time.</t>
  </si>
  <si>
    <t>RT-6-010-002</t>
  </si>
  <si>
    <t>Accelerator &amp; detector scope are not aligned and coupled</t>
  </si>
  <si>
    <t>If the collider  and especially the IR design develop independently of the detector design then EIC science cannot be delivered.</t>
  </si>
  <si>
    <t>Intent to keep CD-2, CD-3 aligned. Keep IR and detector design integrated.  Develop interface control documents and have a dedicated person following closely the accelerator design to realize conflicts early.</t>
  </si>
  <si>
    <t>L1_050 CD-2/3 Approve Start of Construction</t>
  </si>
  <si>
    <t>Residual risk remains due to unknowns even if we remain working together among detector and IR to ensure nothing is forgotten. Impact of an unknown can be large though, including finding out late that one can not make all KPPs with only mitigation some beam line vacuum or magnet fixes.</t>
  </si>
  <si>
    <t>138</t>
  </si>
  <si>
    <t>RT-6-010-003</t>
  </si>
  <si>
    <t xml:space="preserve">No redundancy in detectors built </t>
  </si>
  <si>
    <t>If inner detectors fail after installation, then repair can only be done outside of Hall causing long schedule delays.</t>
  </si>
  <si>
    <t xml:space="preserve">Prioritize detector elements with multi-purpose use above performance.  Minimize the time from installation to maintenance mode. Ensure detectors have sufficient segmentation and redundancy in the design. Integrate as possible protection systems into the electronics. </t>
  </si>
  <si>
    <t>Can require additional scope or repairs to ensure redundancy, and a down to move detector to assembly hall and back in..</t>
  </si>
  <si>
    <t>139</t>
  </si>
  <si>
    <t>RT-6-010-004</t>
  </si>
  <si>
    <t>Background impact on Detector performance</t>
  </si>
  <si>
    <t>If the background in the IR region are not sufficiently controlled, then KPPs will be at risk.</t>
  </si>
  <si>
    <t>Maintain strong communication with Accelerator design teams developing hardware that could impact or mitigate backgrounds, e.g. collimator design, vacuum systems, beamlines, etc.    Continue modeling of physics processes to estimate backgrounds and use the results to guide accelerator and integrated interaction region/detector design.   As soon as possible, identify key accelerator components that are likely to generate backgrounds, and develop Interface Control Documents prior to CD-2.</t>
  </si>
  <si>
    <t>Q1 FY32</t>
  </si>
  <si>
    <t>L1_090 CD-4 Approval Early Completion</t>
  </si>
  <si>
    <t>Can require additional scope to ensure KPPs can be met, an example can be special shielding. Due to unknowns relate to unique e-p/ion collider probability for this remains.</t>
  </si>
  <si>
    <t>141</t>
  </si>
  <si>
    <t>RT-6-010-005</t>
  </si>
  <si>
    <t>Detector DIRC technologies</t>
  </si>
  <si>
    <t>If DIRC technology for particle identification up to 8 GeV/c momenta in the Central detector barrel region proves prohibitive, then we do not have an alternate technology.</t>
  </si>
  <si>
    <t>DIRC development supported as part of generic EIC-related detector R&amp;D program to reduce risk. OPC activity to resolve interference with need of hermetic EM calorimetry. Project R&amp;D to resolve remaining optics issues with readout. Fold in expected timeline for (R&amp;D and) PED of proximity RICH as alternate candidate detector. Move to this backup solution as needed.</t>
  </si>
  <si>
    <t>DE_0200_3000, Detector R&amp;D and Physics Design - Complete</t>
  </si>
  <si>
    <t>Signs are positive this does not happen, but remains a probability until R&amp;D is completed and further design maturity is reached for integration.</t>
  </si>
  <si>
    <t>Elke and Rolf</t>
  </si>
  <si>
    <t>156</t>
  </si>
  <si>
    <t>RT-6-010-005b</t>
  </si>
  <si>
    <t>If it turns out the reuse of the DIRC bars from the BaBar experiment is not possible, one will have to find a vendor to do this quarz bars and the tedious polishing. This will lead to a delay in schedule DIRC might not be ready for CD-4 deadline.</t>
  </si>
  <si>
    <t>DIRC development supported as part of generic EIC-related detector R&amp;D program to reduce risk. Off project activity to secure the BaBAR DIRC bars and test as soon as possible to take on of the boxes apart and refurbish individual bars.</t>
  </si>
  <si>
    <t>E1002_04080 Detector R&amp;D and Physics Design - Complete</t>
  </si>
  <si>
    <t>Signs are positive this does not happen, but remains a probability until R&amp;D and work to complete the refurbishment of one bar is complete.</t>
  </si>
  <si>
    <t>RT-6-010-006</t>
  </si>
  <si>
    <t>E. Aschenauer</t>
  </si>
  <si>
    <t>Failure to Secure in-Kind Detector Components</t>
  </si>
  <si>
    <t>If collaborators are not available to support in kind contributions, the cost of the detector to DOE will increase.</t>
  </si>
  <si>
    <t>Call for Eol and international engagement.  Keep international community aligned and well informed.  Collaborate with DOE/NP on written agreements to secure in-kind contributions in dynamic environment. Verify that reuse of existing equipment is available and functional.</t>
  </si>
  <si>
    <t>Assume 1/3 of the detector cost as worst-case scenario - this was assumed as in-kind contribution to detector scope at start of EIC project.</t>
  </si>
  <si>
    <t>120</t>
  </si>
  <si>
    <t>RT-6-010-007</t>
  </si>
  <si>
    <t>Detector Sci-Glass Technologies</t>
  </si>
  <si>
    <t>If final stage of R&amp;D for Sci-Glass towards large-scale production is not successful, the detector technology choices in some region of the reference detector need to be changed to either more costly options or one will have to sacrify science performance.</t>
  </si>
  <si>
    <t xml:space="preserve">Continue R&amp;D as supported by SBIR and the generic EIC-related R&amp;D for high-density glass suitable for electromagnetic calorimetry (Sci-Glass). Early tests show good quality and good radiation hardness. Continue scale-up to glass of up to 50 cm longitudinal dimension, and large-scale glass production in furnaces to make many tens of glass blocks per day. Alternatives would be more costly lead-tungstate, reuse (if possible) of sufficient Pb-glass, or worsened science reach. </t>
  </si>
  <si>
    <t>Q3 FY23</t>
  </si>
  <si>
    <t>E1002_11170</t>
  </si>
  <si>
    <t>Initial R&amp;D looks positive. Remains a risk until detector tests with  8x8  prototype completed. Alternate backup options are significantly more expensive.</t>
  </si>
  <si>
    <t>Retired April 2023. Sci-Glass is not the technology chosen by the collaboration</t>
  </si>
  <si>
    <t>172</t>
  </si>
  <si>
    <t>RT-6-010-008</t>
  </si>
  <si>
    <t xml:space="preserve">Hadron Polarimeter technology not applicable for EIC </t>
  </si>
  <si>
    <t>If Hadron Polarimeter technology from RHIC is not applicable to EIC, especially with the increased bunch current and bunch frequency, then the physics performance requirements of 1% to 1.5% systematics will not be achieved</t>
  </si>
  <si>
    <t>1) improved detector read-out technology, 2) Find new target technology with R&amp;D , 3) Find new physics process with R&amp;D</t>
  </si>
  <si>
    <t>128</t>
  </si>
  <si>
    <t>RT-6-010-009</t>
  </si>
  <si>
    <t>Location of detector is IP6</t>
  </si>
  <si>
    <t>If detector location is IP6, then a dependency on STAR operations is introduced.</t>
  </si>
  <si>
    <t xml:space="preserve">
Estimate/guess what the costs would be if
one has to expedite the schedule,  may need to expedite work/people on the removal of existing equipment
with unknowns, expedite IR integration and matching of the IR with the accelerator
optics/dynamics much up-down stream (that is done for IP6 already). My personal
experience is that expediting schedules can easily cost a few M$.</t>
  </si>
  <si>
    <t>Expedite time to deinstall STAR apparatus after STAR operations cease. Ensure moving the STAR apparatus to the assembly Hall remains common procedure. Ensure there are no additional legacy equipment installed to increase needed removal time of DX magnets.</t>
  </si>
  <si>
    <t>L2_0510, STAR Detector R&amp;R Complete and Dismantled</t>
  </si>
  <si>
    <t>Main residual risk is underestimate of cost or schedule for STAR removal due to unforeseen.</t>
  </si>
  <si>
    <t>Replaced with risk 009b</t>
  </si>
  <si>
    <t>188</t>
  </si>
  <si>
    <t>RT-6-010-009b</t>
  </si>
  <si>
    <t xml:space="preserve">R&amp;R for STAR, IP6 and sPHENIX is not done in time for starting construction of ePIC </t>
  </si>
  <si>
    <t>If either there are workforce or funding issues for the R&amp;R work for STAR, IP6 and sPHENIX a delay for the construction of the ePIC detector is introduced</t>
  </si>
  <si>
    <t>Develop a reliable schedule, cost and workforce needs for the R&amp;R of STAR, sPHENIX and IP-6. Ensure deinstallation of STAR and the IR-6 accelerator components are possible in parallel. The sPHENIX R&amp;R needs to be planned in equal detail as STAR.</t>
  </si>
  <si>
    <t>L2_320, STAR Detector D&amp;D Complete and Dismantled</t>
  </si>
  <si>
    <t>RT-6-010-010</t>
  </si>
  <si>
    <t>Detector ASIC technologies</t>
  </si>
  <si>
    <t>If design of new ASIC readout is required for streaming readout the EIC detectors, it takes 5 years on average for a new ASIC design to get to the fabrication stage.</t>
  </si>
  <si>
    <t>Develop a document as part of OPC activities to detail the requirements for the needs from the different subdetectors on the ASIC and FPGA design. Fold in expected timelines for alternate ASIC, PCB and FPGA candidates beyond those existing. Start potential new ASIC design as early as possible with R&amp;D. Move to backup solution (at the cost of reduced science output) as needed.</t>
  </si>
  <si>
    <t>E1002_04060 Detector R&amp;D - Electronics - eRD109 (ASICs/FEEs, PID LAPPDs and or MCPMTs) complete</t>
  </si>
  <si>
    <t>We have more time for ASICs completion as electronics can come late in the detector assembly schedule. Main risk is which exact ASICs would be late as some are needed for the beam line elements.</t>
  </si>
  <si>
    <t>142</t>
  </si>
  <si>
    <t>RT-6-010-011</t>
  </si>
  <si>
    <t>Detector Photosensor Technologies</t>
  </si>
  <si>
    <t xml:space="preserve">If SiPM choice of photosensors proves unfeasible due to radiation sensitivity, then will need to develop alternate photosensor technology (LAPPD, MCP-PMT in high field) that requires R&amp;D and will increase cost and schedule. There is a chance that in some regions of the detectors it will be extremely difficult to find with equal performance and at the same low price. </t>
  </si>
  <si>
    <t>All indications are that neutron background levels are such that SiPMs can work at EIC and provide a photosensor in high magnetic field. Alternatives are MaPMTs that add cost and it is unclear how to operate them near the high-field solenoid. Microchannel plate photomultipliers (MCP-PMTs) from commercial vendors have shown extraordinarily good timing and position resolution and high magnetic field tolerance, but are generally far too expensive for large instrumentation. Continued R&amp;D on a new type of MCP-PMT using atomic layer deposition technique (LAPPD) as cost-effective MCP-PMT option, towards 6x6 cm2 and 10x10 cm2 sizes, including beam test validation is needed.</t>
  </si>
  <si>
    <t>Residual risk is if a brute-force more expensive maPMT option needs to be implemented or a cost-effective LAPPD option will also do.</t>
  </si>
  <si>
    <t>173</t>
  </si>
  <si>
    <t>RT-6-010-011b</t>
  </si>
  <si>
    <t>PID Detector Photosensor Technologies</t>
  </si>
  <si>
    <t>Backward RICH: If LAPPDs are not a viable option as photosensors, one can replace them by MCP-PMTs. This will add significant cost. Forward dRICH: Because of the location of the dRICH SiPMs are the only possible solution as photonsensors. If the data rate due to noise due to radiation damage will become to large one needs to find a way to suppress noise early in the readout electronics or replace the SiPMs regularly.</t>
  </si>
  <si>
    <t>All indications are that neutron background levels are such that SiPMs can work at EIC and provide a photosensor in high magnetic field. The alternatives for the bRICH are MaPMTs that add cost but are readily available from vendors..</t>
  </si>
  <si>
    <t>Moderate</t>
  </si>
  <si>
    <t>Residual risk is if a brute-force more expensive maPMT option needs to be implemented  for the bRICH and for the dRICH a solution in the electronics or during operations needs to be found.</t>
  </si>
  <si>
    <t>RT-6-010-012</t>
  </si>
  <si>
    <t xml:space="preserve">Detector AC-LGAD Technology </t>
  </si>
  <si>
    <t>If final stage R&amp;D towards using AC-LGAD for a ToF detector is delayed, then different  technologies are needed to provide this function.</t>
  </si>
  <si>
    <t>Continue project R&amp;D and strengthen the AC-LGAD consortium. Investigate alternative technologies for Barrel and far forward detectors.</t>
  </si>
  <si>
    <t>Residual is the delta to allow to change technology for the ToF system</t>
  </si>
  <si>
    <t>190</t>
  </si>
  <si>
    <t>RT-6-010-013-LLP-CD3A</t>
  </si>
  <si>
    <t>Detector Forward HCal Steel Delivery delay</t>
  </si>
  <si>
    <t>If HCal vendor selection takes longer than planned due to vendor reqs, or production is delayed at the vendor, then there will be project delays &amp; cost increase.</t>
  </si>
  <si>
    <t>Work closely with procurement and cognizant engineers to ensure timely award of contracts, regular communication with vendors.</t>
  </si>
  <si>
    <t>E1006_13780 CD3A Scope Complete - LFHCal - 8M Module Casing steel</t>
  </si>
  <si>
    <t xml:space="preserve">Probability is estimated as low. Delays are estimated to be 6-9-12 mo depending on competition for vendors from other projects worldwide. Cost impacts are vendor incentives to expedite vendor schedule. </t>
  </si>
  <si>
    <t>LLP_6.10_1</t>
  </si>
  <si>
    <t>RT-6-010-014-LLP-CD3A</t>
  </si>
  <si>
    <t xml:space="preserve">Backward EMCal PbWO4 Crystals Delivery Delay </t>
  </si>
  <si>
    <t>If the PbWO4 towers vendor is busy with demands from other experiments world wide, then this can lead to a oversubscription of this vendor ​and result in schedule delays.</t>
  </si>
  <si>
    <t>Work closely with procurement and cognizant engineers to ensure timely award of contract(s), Regular communication with vendor(s)</t>
  </si>
  <si>
    <t>E1005_1500 CD3A Scope Complete - Electron Endcap EMCal PWO Crystals</t>
  </si>
  <si>
    <t>Probability and schedule impacts are based on 20 year experience on similar projects. Cost impacts: Best and likely scenarios are vendor incentives to expedite vendor schedule, worst case: one additional oven for the vendor.</t>
  </si>
  <si>
    <t>LLP_6.10_2</t>
  </si>
  <si>
    <t>RT-6-010-015-LLP-CD3A</t>
  </si>
  <si>
    <t>Detector SiPM based Photon sensors Delivery Delay</t>
  </si>
  <si>
    <t xml:space="preserve">If SiPMs are delivered late, then it will result in cost increase and schedule delays. </t>
  </si>
  <si>
    <t xml:space="preserve"> E1006_07920 CD3A Scope Complete - LFHCal - SiPMs 1.3mm</t>
  </si>
  <si>
    <t>Probability estimated as very low. Costs are vendor incentives to expedite schedule. World wide demand for SiPMs could delay our production by 3-6-12 mo.</t>
  </si>
  <si>
    <t>LLP_6.10_3</t>
  </si>
  <si>
    <t>RT-6-010-016-LLP-CD3A</t>
  </si>
  <si>
    <t>Detector Sci Fiber for Barrel and Hadron Endcap delivery delay</t>
  </si>
  <si>
    <t>If SciFi for Barrel and Hadron Endcap is delayed, then calorimeter block and sector production will be late.</t>
  </si>
  <si>
    <t xml:space="preserve">E1005_04640 CD3A Scope Complete - Barrel EMCal - Scintillation Fibers </t>
  </si>
  <si>
    <t>7km of fibers  are needed to construct the individual calorimeter sectors and blocks. There is only one vendor world wide providing SciFi with the required performance. The 2nd vendor would need significant R&amp;D time to reach the required performance. Costs are vendor incentives to expedite schedule. Probability is estimated as very low. Schedule impacts estimated based on experience with similar procurements.</t>
  </si>
  <si>
    <t>RT-6-010-017-LLP-CD3A</t>
  </si>
  <si>
    <t>Currency fluctuations on Detector LLPs</t>
  </si>
  <si>
    <t>If the exchange rates for Euro and/or Yen are different from the ones used to estimate Detector LLP cost, then the cost will be affected.</t>
  </si>
  <si>
    <t>Accept and use contingency</t>
  </si>
  <si>
    <t>Several of the LLP, PbWO4 crystals, SciFi and SIPMS have world wide only one vendor, who sits outside the US. Due to the world market the exchange rate to the US-dollar to the Euro and the Yen can vary. Assume probability 20%. Assume -10% for best case, 0% for likely and +10% for the worst case of cost impact.</t>
  </si>
  <si>
    <t>RT-6-010-018</t>
  </si>
  <si>
    <t>Anticipated ASTROPIX Waver size is not available</t>
  </si>
  <si>
    <t>If the 12 inch wavers at the date of ASTROPIX production are not available the 8 inch more expensive wavers need to be used</t>
  </si>
  <si>
    <t>E1005_06120 Barrel EMCal First Article Preproduction - Procurement Readiness Review</t>
  </si>
  <si>
    <t>Probability is assumed moderate. The cost increase is based on the additional number of wavers needed and the potential Q&amp;A loses</t>
  </si>
  <si>
    <t>RT-6-010-019</t>
  </si>
  <si>
    <t>2nd engineering run is needed for the sensors of the outer MAPS layers</t>
  </si>
  <si>
    <t>If there are still unresolved technical issues after the first engineering run for the large MAPS sensors in the outer layers, a 2nd engineering run is needed.</t>
  </si>
  <si>
    <t>E1003_01160 RQN: Tracking FY 25 Procurements</t>
  </si>
  <si>
    <t>Probability is assumed low. The cost and schedule impact is calculated based on the typical cost and time for an engineering run for similar complexity</t>
  </si>
  <si>
    <t>RT-6-010-020-LLP-CD3B</t>
  </si>
  <si>
    <t>Detector Magnet Power Supply Delivery Delay</t>
  </si>
  <si>
    <t>If magnet power supply is delivered late, then acceptance testing of the detector solenoid can not be completed and there will be schedule delays for installation of accelerator components.</t>
  </si>
  <si>
    <t>Get CD-3B approval to ensure procurement starts early to be able to run magnet at full current early and move magnet to Assembly Hall for continued subsystem installation.</t>
  </si>
  <si>
    <t>E1007_03060 Solenoid Ready for Integration</t>
  </si>
  <si>
    <t>Probability is estimated very  low. Delays are due to worldwide vendor competition. Costs are a combination of vendor incentives to expedite schedule.</t>
  </si>
  <si>
    <t>RT-6-010-021-LLP-CD3B</t>
  </si>
  <si>
    <t>Detector Magnet Flux Steel Delivery Delay</t>
  </si>
  <si>
    <t>If magnet flux return steel is delivered late due to tight steel market and Buy American reqs, then acceptance of the detector solenoid can not be completed and there will be schedule delays for installation of accelerator components.</t>
  </si>
  <si>
    <t>RT-6-010-022-LLP-CD3B</t>
  </si>
  <si>
    <t>Detector Electronics Readout Components Become Obsolete</t>
  </si>
  <si>
    <t>If we can not purchase VTRx+/lpGBT linked to CERN production, then manufacturer will not assemble anymore, components can become obsolete, and a new design for these readout components is needed.</t>
  </si>
  <si>
    <t>CD-3B Long-Lead Procurement to ensure we are in phase with manufacturer last assembly process</t>
  </si>
  <si>
    <t>E1004_03365 dRICH - Photo Sensors/Electronics/DAQ Readout Sys - Constr - Complete</t>
  </si>
  <si>
    <t>Probability is estimated very  low, cost &amp; schedule are calculated as possible uncertainty in costs and schedule as the production run of these components must follow completion of the ATLAS and CMS components.</t>
  </si>
  <si>
    <t>RT-6-010-023</t>
  </si>
  <si>
    <t>Additional in-kind contributions after CD-2</t>
  </si>
  <si>
    <t>If the funding cycles at several international countries are not aligned with the CD-schedule of the EIC project, then the funding proposals will be approved after CD-2.</t>
  </si>
  <si>
    <t>Good communication with foreign agencies. If in-kind contributions are not confirmed by CD-2 the costs are included in the Project costs to DOE. If the additional in-kind contributions can be realized beyond CD-2 it reduces stress on the DOE Project cost.</t>
  </si>
  <si>
    <t>T1-040 3B LLP approval</t>
  </si>
  <si>
    <t>Probability is estimated low. Costs are calculated from the cost currently implemented in P6.</t>
  </si>
  <si>
    <t>RT-6-010-024-LLP-CD3B</t>
  </si>
  <si>
    <t>Delay of Next Phases of Detector CD-3A LLP: Sci Fiber for Barrel and Hadron Endcap</t>
  </si>
  <si>
    <t>If CD-3B funds are not available to fulfill the obligations in the CD-3A contracts to continue the  productions of the Sci Fiber for Barrel and Hadron Endcap, then additional cost and delays will incur</t>
  </si>
  <si>
    <t>Request CD-3B approval. Work closely with procurement and cognizant engineers to ensure timely award of remaining contract phases.</t>
  </si>
  <si>
    <t>E1005_04655</t>
  </si>
  <si>
    <t>Probability is estimated low. Sched. Impacts are calculated as half of the impact of the delay of the full risk impacts from the LLP items. Cost estimates are to fund double shifts and vendor incentives to recover the schedule.</t>
  </si>
  <si>
    <t>RT-6-010-025-LLP-CD3B</t>
  </si>
  <si>
    <t>Delay of Next Phases of Detector CD-3A LLP: PbWO4 crystals</t>
  </si>
  <si>
    <t>If CD-3B funds are not available to fulfill the obligations for the PbW04 crystal CD-3A contracts to continue the  productions of the quantities in the next phases, then additional cost and delays will incur.</t>
  </si>
  <si>
    <t>E1005_01515</t>
  </si>
  <si>
    <t>Probability is estimated low. Sched. Impacts are calculated as half of the impact of the delay of the full risk impacts from the LLP CD-3A items. Cost estimates are to fund double shifts and vendor incentives to recover the schedule.</t>
  </si>
  <si>
    <t>RT-6-010-026-LLP-CD3B</t>
  </si>
  <si>
    <t>Delay of Next Phases of Detector CD-3A LLP:  forward HCal steel</t>
  </si>
  <si>
    <t>If CD-3B funds are not available to fulfill the CD-3A obligations for the forward Hadron calorimeter steel plates and casing steel contract to continue the  productions of the quantities in the next phases, then additional cost and delays will incur</t>
  </si>
  <si>
    <t>E1006_07395</t>
  </si>
  <si>
    <t>RT-6-010-027</t>
  </si>
  <si>
    <t>Delay in off-project activities</t>
  </si>
  <si>
    <t>If the off project activities impacting the beneficial occupancy of the experimental hall at IP-6 are delayed. All installation activities of the EIC experiment will be delayed. This will result in a standing army.</t>
  </si>
  <si>
    <t>Work closely with BNL and NPP management to coordinate the off-project dependencies.</t>
  </si>
  <si>
    <t>Beneficial occupancy of IP-6</t>
  </si>
  <si>
    <t>Probability and schedule - professional judgement; the details of the off-project dependencies are not fully known yet. Costs are to pay for a second shift and get additional resources to speed up the off-project work and the project installation work to recover the schedule loss.</t>
  </si>
  <si>
    <t>RT-6-010-028</t>
  </si>
  <si>
    <t>Delay in MAPS Sensors</t>
  </si>
  <si>
    <t>If the ITS-3 and/or the LAS MAPS sensors are delayed then the tracking performance and installation of the inner detectors is impacted</t>
  </si>
  <si>
    <t>Work closely with the laboratory management on an agreement to share the CERN ITS3 design for which access is crucial for the EIC detector. Work with the ePIC SVT DSC leadership to detect any delays in the sensor design and production as early as possible, this requires for the LAS and other designs access to the ITS3 design database. Expedite sensor production which requires access to the Si foundry through a CERN agreement. Integrate the variousprospective  in-kind partners effectively to increase work force. Add additional designers to speed up the production. At appropriate decision points, implement backup planning based on MPGDs and/or ITS2 which will both add costs and degrade performance.</t>
  </si>
  <si>
    <t>Q4 FY30</t>
  </si>
  <si>
    <t>Early Finish CD-4</t>
  </si>
  <si>
    <t>The low and likely assume additional designers with each 500k / year and additional cost to expedite the detector integration and assembly. The high assumes an independent ITS2 effort needs to be started at a key decision point for the inner barrel silicon layers.</t>
  </si>
  <si>
    <t>RT-6-010-029</t>
  </si>
  <si>
    <t>Delay in subsystem installation into ePIC</t>
  </si>
  <si>
    <t>If there are unforeseen complications during the installation of the many different subsystems into ePIC then the overall readiness of the assembled ePIC  detector and tests with cosmics will be delayed and potentially even the readiness for commisioning with beam</t>
  </si>
  <si>
    <t>Enhance presence of engineers and scientists in the assembly and wide-angle Halls during assembly and installation phases to expedite and find problems and mitigation solutions early. Find additional workforce technicians and mechanical engineers to work extra shifts and resolve the installation issues</t>
  </si>
  <si>
    <t>The estimates assumes additional teams of MEs and MTs to resolve the installation issues.</t>
  </si>
  <si>
    <t>Location of detector  not finalized</t>
  </si>
  <si>
    <t>If detector location is in IP6, the layout of the collider hall introduces significantly more challenges to the integration of the detector, due to the limited door size to roll into maintenance position.  Reuse of the existing sPHENIX magnet seems difficult as the magnet needs to be relocated after sPHENIX operations and modifications need to be made.</t>
  </si>
  <si>
    <t>We updated the risk mitigation text on validation of the collider Hall and assembly Hall that all first through the door, and since we carry the magnet risk contingency elsewhere, this one is complete</t>
  </si>
  <si>
    <t>155</t>
  </si>
  <si>
    <t>137a</t>
  </si>
  <si>
    <t xml:space="preserve">Reuse of  35 year old BABAR Solenoid Magnet </t>
  </si>
  <si>
    <t>If the sPHENIX operation in 2023 shows the BaBAR magnet is performing well and the additional risk analysis of the refurbishment of the BaBAR magnet does not indicate potential show stoppers and significant cost increases compared to building a new magnet.</t>
  </si>
  <si>
    <t>Estimated cost of a new 3T magnet</t>
  </si>
  <si>
    <t>DE_0700_3390 Detector Magnets - Contract Award</t>
  </si>
  <si>
    <t>Residual opportunity likelihood reduced as tracking requirements folding in realistic silicon sensor sizes and material distribution to mitigate fringe field requirement would imply we would need to operate the magnet at far higher currents to still achieve at least 1.5 T.</t>
  </si>
  <si>
    <r>
      <t xml:space="preserve">The BaBar magnet design </t>
    </r>
    <r>
      <rPr>
        <sz val="12"/>
        <color rgb="FFFF0000"/>
        <rFont val="Calibri"/>
        <family val="2"/>
        <scheme val="minor"/>
      </rPr>
      <t>can reach safely</t>
    </r>
    <r>
      <rPr>
        <sz val="12"/>
        <color rgb="FF000000"/>
        <rFont val="Calibri"/>
        <family val="2"/>
        <scheme val="minor"/>
      </rPr>
      <t xml:space="preserve"> 1.5 T yet EIC physics simulation show </t>
    </r>
    <r>
      <rPr>
        <sz val="12"/>
        <color rgb="FFFF0000"/>
        <rFont val="Calibri"/>
        <family val="2"/>
        <scheme val="minor"/>
      </rPr>
      <t>a</t>
    </r>
    <r>
      <rPr>
        <sz val="12"/>
        <color rgb="FF000000"/>
        <rFont val="Calibri"/>
        <family val="2"/>
        <scheme val="minor"/>
      </rPr>
      <t xml:space="preserve"> need of 1.7 T to ensure tracking resolution requirements are met. Due to the specific EIC detector and flux return geometry the achievable field value of the BaBar magnet as designed is only 1.15 T. To possibly operate the magnet in the 1.5-1.7 T range will require both invasive surgery and requirement of higher-current operating than originally designed. This is judged as far too high a risk and it is not even given that it is achievable, the magnet is not designed for this. Even if it would be achievable,  the final temperature margin and critical current margin are not in safe operating range, which makes  a long term operation for 15+ years of this magnet as the basis of the EIC project detector too high of a risk.</t>
    </r>
  </si>
  <si>
    <t>Location of detector is IP8</t>
  </si>
  <si>
    <t>If detector location is  IP8, then the installation of the IR magnets and  the detector is delayed as more work is needed to be done to prepare the hall for installation, that includes among other things the removal of the remains of the PHENIX muon arms and move of the sPHENIX detector to allow installation of the IR magnets and subsequent EIC detector installation work, can only begin after sPHENIX operation is finished.</t>
  </si>
  <si>
    <t>Estimate/guess what the costs would be if one has to expedite the schedule. It is similar as the $5M of Risk 188 but a bit higher
as one may also need to expedite work/people on the removal of existing equipment
with unknowns, expedite IR integration and matching of the IR with the accelerator
optics/dynamics much up-down stream (that is done for IP6 already). My personal
experience is that expediting schedules can easily cost a few M$.</t>
  </si>
  <si>
    <t>Choose IP6 as EIC detector location assuming reference EIC Project timeline.</t>
  </si>
  <si>
    <t>L1_060, early finish for CD4a</t>
  </si>
  <si>
    <t>retired - DPAP review agreed IP-6 is the location of the Project Detector</t>
  </si>
  <si>
    <t>140</t>
  </si>
  <si>
    <t>Collaboration Formation Delayed</t>
  </si>
  <si>
    <t>If the formation of the detector collaborations are delayed, then there is a risk of not meeting the CD-4a timeline</t>
  </si>
  <si>
    <t>Ensure timely completion of final EIC detector choice by EIC community. Issue the call for detector proposals by March 2021 with a deadline to submit proposals by September 2021 and the goal of the selection process to be finalized by December 2021. In addition initiate a process to support the users in the formation of collaborations and writing the proposals.</t>
  </si>
  <si>
    <t>L1_070, CD4-a</t>
  </si>
  <si>
    <t>retired - DPAP process completed March 8th 2022, collaboration formation started</t>
  </si>
  <si>
    <t>187</t>
  </si>
  <si>
    <t>RO-6-011-001</t>
  </si>
  <si>
    <t>6.11 Infrastructure</t>
  </si>
  <si>
    <t>T. Nehring</t>
  </si>
  <si>
    <t>Transfer RF unit substation installation from RF to Infrastructure</t>
  </si>
  <si>
    <t>If scope and funding are transferred to infrastructure, then one installation contractor can be more efficient</t>
  </si>
  <si>
    <t>RF group is not organized for commercial construction management role</t>
  </si>
  <si>
    <t>Have infrastructure manage the installation</t>
  </si>
  <si>
    <t>203</t>
  </si>
  <si>
    <t>RT-6-011-001</t>
  </si>
  <si>
    <t>Existing cooling water systems</t>
  </si>
  <si>
    <t>If the existing cooling water systems structures and components are not functionally adequate, then additional material and installation will be required and this will cause cost increase ans schedule delay.</t>
  </si>
  <si>
    <t>This number is a plug in assumed as roughly 50% of the cost of the EIC.</t>
  </si>
  <si>
    <t xml:space="preserve">Conduct capacity and condition  assessments of existing cooling water SSCs that will be retained for EIC. </t>
  </si>
  <si>
    <t>trigger is the same as affected MS</t>
  </si>
  <si>
    <t>Cost estimate is based on installation of a 2000 ton cooling system at a new location.</t>
  </si>
  <si>
    <t>213</t>
  </si>
  <si>
    <t>RT-6-011-002</t>
  </si>
  <si>
    <t>Low cooling water temp. for RF power amplifiers</t>
  </si>
  <si>
    <t>If the maximum allowable cooling water temperature for the RF power amplifiers is below 86F then chillers will need to be installed and 4 MW of additional power will be required to operate the cooling water sys.</t>
  </si>
  <si>
    <t>The cost is based on installing a total of 6600 tons of chillers at the 2, 4, 6, 10 o Clock locations. The chiller cost is based on a 77F CWIT. The $3.9 million net present value of additional electricity consumed is not included in the cost impact.</t>
  </si>
  <si>
    <t>CW temp. constraints should be provided to RFPA vendors to determine if there will be any issues with the higher CW inlet temps. A technical paper has been prepared for consideration.</t>
  </si>
  <si>
    <t>E0806_01360</t>
  </si>
  <si>
    <t>E0806_01360 ESR 591 1-Cell 400 kW Test Power Amplifier - Ready for Test Facilities 12/16/25</t>
  </si>
  <si>
    <t>The cost is based on installing a total of 6600 tons of chillers at the 2, 4, 6, 10 o'clock locations. The chiller cost is based on a 77F CWIT. The $3.9 million net present value of additional electricity consumed by chiller compressors is not included in the cost impact.</t>
  </si>
  <si>
    <t>207</t>
  </si>
  <si>
    <t>RT-6-011-003</t>
  </si>
  <si>
    <t>Cooling water performance for EIC operation in the summer months</t>
  </si>
  <si>
    <t>If the EIC is required to operate throughout the year including the summer months, then there will be peak periods during the summer months where the CW supply temperature to the machine components will exceed the allowable limits.</t>
  </si>
  <si>
    <t>The cost estimate is based on 15,000 tons of cooling at $5,000 per ton that is over and above the $ 30 million in base costs.</t>
  </si>
  <si>
    <t>E1202_02000 HSR - Systems Ready for Commissioning 11/13/30/</t>
  </si>
  <si>
    <t>208</t>
  </si>
  <si>
    <t>RT-6-011-004</t>
  </si>
  <si>
    <t>Refrigerants in AC Systems</t>
  </si>
  <si>
    <t>If the NY standards on Hydrofluorocarbon standards and reporting result in a scarcity of vendors and/or allowable refrigerants, then alternative means of cooling such as absorption chillers may increase cost.</t>
  </si>
  <si>
    <t>Communicate with vendors in advance and determine joint strategy with utilities.</t>
  </si>
  <si>
    <t>E1102_02160 Cryogenic 1010E – BORE 09/08/27</t>
  </si>
  <si>
    <t>Assumed as roughly 50% of the cost of the chilled water system for the EIC.</t>
  </si>
  <si>
    <t>214</t>
  </si>
  <si>
    <t>RT-6-011-005</t>
  </si>
  <si>
    <t>Cooling Water Specification</t>
  </si>
  <si>
    <t>If cooling water quality requirements for vacuum, magnets and power supplies inside the ring are not compatible, then a separate piping and pumping loop will be required for the cooling.</t>
  </si>
  <si>
    <t xml:space="preserve">Cost estimate is based on a 3 inch supply and return header inside the ring to accommodate </t>
  </si>
  <si>
    <t xml:space="preserve">Cooling water parameters and quality requirements should be specified early on by all groups.
</t>
  </si>
  <si>
    <t>209</t>
  </si>
  <si>
    <t>RT-6-011-006</t>
  </si>
  <si>
    <t>Cooling water activation potential</t>
  </si>
  <si>
    <t>If there is potential for cooling water activation then additional costs will be incurred due to the consideration of separate systems and handling.</t>
  </si>
  <si>
    <t xml:space="preserve"> Depending on the water that is susceptible to activation, separate water loops will be required. If closed cycle cooling towers are required then double wall piping may be required.</t>
  </si>
  <si>
    <t>Conduct a water activation potential study to determine what systems could be potentially exposed to contamination.</t>
  </si>
  <si>
    <t>?? PM_0101_2250 Prelim Design/LLP Final Design Ready for CD-2/3A - All Systems</t>
  </si>
  <si>
    <t>210</t>
  </si>
  <si>
    <t>RT-6-011-007</t>
  </si>
  <si>
    <t>Increase in power reqs. specific to RF</t>
  </si>
  <si>
    <t>RF technology that will be use on EIC is known now.</t>
  </si>
  <si>
    <t>RT-6-011-008</t>
  </si>
  <si>
    <t>Construction Market Escalation 6.11.2</t>
  </si>
  <si>
    <t>If the availability of contractors and the cost of construction varies due to market conditions, it could increase the cost estimate.</t>
  </si>
  <si>
    <t xml:space="preserve">Contractor workshops, CM/GC early in design process to identify opportunities to get into market at right time.  Establish construction management group. </t>
  </si>
  <si>
    <t>E1102_01900 READY FOR INSTALL - Cryogenic 1002I - BORE Complete 08/06/29</t>
  </si>
  <si>
    <t>Distribute the risk portion of the escalation across the 3 WBS areas in simple proportion to the value of the WBS. Based on 6.5%/6.0% FY23&amp;24 plus the 3.0%/3.0% FY25+ escalation split.</t>
  </si>
  <si>
    <t>Dec 14 2022: New cost impact based on updated escalation assumptions.</t>
  </si>
  <si>
    <t>36</t>
  </si>
  <si>
    <t>RT-6-011-008a</t>
  </si>
  <si>
    <t>Construction Market Escalation 6.11.3</t>
  </si>
  <si>
    <t>E1103_10740 138kW Substation - Substation Testing and Commissioning and ready 06/14/32</t>
  </si>
  <si>
    <t>36a</t>
  </si>
  <si>
    <t>RT-6-011-008b</t>
  </si>
  <si>
    <t>Construction Market Escalation 6.11.4</t>
  </si>
  <si>
    <t>E1104_03200 TWR - Cooling Tower Water System - Startup and Testing Complete 08/23/28</t>
  </si>
  <si>
    <t>36b</t>
  </si>
  <si>
    <t>RT-6-011-009</t>
  </si>
  <si>
    <t>Undetermined Need to Modify the Existing Facility</t>
  </si>
  <si>
    <t>If facility modification needs are identified after design is complete and contractor pricing is established, redesign may be needed. This will cause additional costs and schedule delay.  If code compliance drives facility or system upgrades, additional resources will be required to address the design and installation.</t>
  </si>
  <si>
    <t>Monitor and participate in design discussions</t>
  </si>
  <si>
    <t>E1103_01700 Substation Installation Contract - Ready for Accelerator Systems Testing and Commissioning 01/23/29</t>
  </si>
  <si>
    <t>38</t>
  </si>
  <si>
    <t>RT-6-011-010</t>
  </si>
  <si>
    <t>Code compliance upgrades</t>
  </si>
  <si>
    <t xml:space="preserve"> If code compliance drives facility or system upgrades, additional resources will be required to address the design and installation.</t>
  </si>
  <si>
    <t>38a</t>
  </si>
  <si>
    <t>RT-6-011-011</t>
  </si>
  <si>
    <t>Delay in getting Scenic River Permit</t>
  </si>
  <si>
    <t>If the permit is not obtained on time, there will be a schedule delay</t>
  </si>
  <si>
    <t>Include River Permit in P6 plan</t>
  </si>
  <si>
    <t>E1101_07060</t>
  </si>
  <si>
    <t>41</t>
  </si>
  <si>
    <t>RT-6-011-012</t>
  </si>
  <si>
    <t>Contractors Resource/Scheduling Issues</t>
  </si>
  <si>
    <t>IF contractors cannot or will not meet schedule or unexpected or unusual hazards are encountered or are delayed in completion due to late award of contract,  THEN  infrastructure installation will be delayed or become more expensive.</t>
  </si>
  <si>
    <t xml:space="preserve">Clear Statement of Work with a complete set of construction documents; Job specific source selection plan;  Best value trade off  CM/GC selection if allowed; Interview CM/GC teams for scope, schedule, cost, safety, and quality
* Clearly define project requirements in RFPs
* Clearly define good selection criteria for subcontractors.
* Build partnership with Subcontractor from beginning of contract
* Regularly engage Subcontractor Executive level to address hot issues in project  
Clearly defined performance periods and delivery expectation.
Through work planning and control engineer out hazards where possible, precise work planning detailing hazards and mitigations (JSA), use of PPE; utilize administrative controls in the form of task specific work plans and permits, and task specific training, signage, tailgate meetings, policies.  Specific attention to Hoisting and rigging, develop fall protection plans for work at heights. 
Define the work planning and control requirement in RFP to set the expectation with subcontractors.  Subcontractor to provide work plans for BNL approval on Elevated Work Surface, Fall protection, Asbestos abatement, penetration permit, Hot work, Electrical Work Plan, etc. 
A detailed review will be performed by the PM, FCM and ESH.  
</t>
  </si>
  <si>
    <t>E1102_02180 TODO: List of major contracts, use % for impacts</t>
  </si>
  <si>
    <t>162</t>
  </si>
  <si>
    <t>RT-6-011-013</t>
  </si>
  <si>
    <t xml:space="preserve">Construction Site Logistics </t>
  </si>
  <si>
    <t>IF infrastructure contracts and technical installation have delays due to coordination , THEN spatial and schedule conflicts will occur resulting in increased cost and schedule.</t>
  </si>
  <si>
    <t xml:space="preserve">Key Concerns: Coordination with technical installation teams/contractors - duration of construction activities of when co-occupancy begins. 
Changes by technical team leading to schedule delays and cost impacts. 
Scope added by technical team will impact schedule and cost.
Coordination between Infrastructure Project and Technical Systems Installation. Area by area - interface with technical installation group - Could increase safety issues, work in co-occupied space. Potential delays due to multiple contractors working in same area.
Projects at BNL not related to EIC are need to be coordinated continuously, if not successful, this could impact / delay EIC work. 
Co-occupancy requirements to meet completion dates, possibly leads to higher bids. 
Other project milestones (F&amp;O, AD, etc.), contractors, etc. may impact the EIC infrastructure Project schedule.  
Clearing experimental areas to allow start of construction. </t>
  </si>
  <si>
    <t xml:space="preserve">All changes need to go through Project Office for approval, and impacts analyzed and approved. Due to compressed schedule infrastructure team will complete as much as possible during non-co-occupied work times. Commissioning to be completed during co-occupancy.
Validate the compressed schedule with the independent scheduler. Detailed schedule activities, Determine owners/coordinators, Daily tailgate meetings including coordination, CM knowledgeable with technical installations, Work force to fit within schedule constraints, Multiple and/or staggered shift, Contract strategy.
CM to coordinate with BNL labor on site.
</t>
  </si>
  <si>
    <t>163</t>
  </si>
  <si>
    <t>RT-6-011-014</t>
  </si>
  <si>
    <t>Lack of cost/schedule coordination</t>
  </si>
  <si>
    <t xml:space="preserve">IF infrastructure project is not coordinated with other projects, THEN there may be schedule delays and cost increase.  </t>
  </si>
  <si>
    <t xml:space="preserve">Coordinate with  Project Managers on schedule, utilities, termination of the utilities, site logistics plan, traffic routing, use of the facility. 
Interface with F&amp;O projects during long down time. 
</t>
  </si>
  <si>
    <t>165</t>
  </si>
  <si>
    <t>RT-6-011-015</t>
  </si>
  <si>
    <t>Unforeseen Field Conditions</t>
  </si>
  <si>
    <t>IF unforeseen field conditions are discovered, schedule delays and/or cost increases may result</t>
  </si>
  <si>
    <t>Conduct field verifications of utilities when  executing digging permits, work with Site Planning to identify potential legacy issues, require CM/GC to perform field verification of conditions prior to finalizing contract. Example of verification is the plan to perform NDT wall thickness survey of existing RHIC Tunnel steel arch plate structure.</t>
  </si>
  <si>
    <t>166</t>
  </si>
  <si>
    <t>RT-6-011-016</t>
  </si>
  <si>
    <t>D. Nassar</t>
  </si>
  <si>
    <t>RHIC Tunnel distoration/collapse due to jackport installations</t>
  </si>
  <si>
    <t>If the existing RHIC tunnel archplate structure is damaged (i.e., distorted, collapse, etc.) due to installation of jackports for the necessary power feeds, wave guides, cooling ducts, etc., excavation then additional engineering design work and construction activities will be required to restore the existing RHIC tunnel to repair the damage. This will cause additional construction cost and schedule for completion.</t>
  </si>
  <si>
    <t>Cost estimate is based on a single occurrence of damage in an area less than 260 SF.  Cost estimate is based on employing the primary A-E firm or outside contractor to assess the damage and to provide an engineered solution (250k) and for construction activities to excavate the damaged section and to replace the arch plate sections and backfill (750k).</t>
  </si>
  <si>
    <t>Independent third-party review of design approach to stabilize the excavation site by subject matter experts.  Increased oversight of construction activities in close proximity to existing RHIC tunnel infrastructure with designated hold points.  Implementation of a structural monitoring plan utilizing instrumentation and visual inspection during excavation activities.</t>
  </si>
  <si>
    <t>E1102_03300 READY FOR INSTALL - 1011A - BORE Complete</t>
  </si>
  <si>
    <t>181</t>
  </si>
  <si>
    <t>RT-6-011-017</t>
  </si>
  <si>
    <t>Adverse weather conditions</t>
  </si>
  <si>
    <t>IF adverse weather conditions occur that prevent use of mobile cranes and other material handling equipment, THEN  infrastructure installation will be delayed or become more expensive.</t>
  </si>
  <si>
    <t>Cost impact is based on 1 week non-productive work of craft labor during construction activities associated with erection of building steel for new EIC buildings.</t>
  </si>
  <si>
    <t>Review weather conditions during look ahead meetings and plan of day meetings.  Reallocate rigging resources to project tasks not impacted by weather if outdoor conditions does not support use of mobile cranes and other large rigging equipment that are adversely impacted by high winds.</t>
  </si>
  <si>
    <t>200</t>
  </si>
  <si>
    <t>RT-6-011-018</t>
  </si>
  <si>
    <t>Cooling tower water discharge envir. permit</t>
  </si>
  <si>
    <t>If there are any copper materials in the components that are directly cooled by tower water (for eg.cryo compressors), then the required chemical treatment for cooling water will result in blowdown water quality that exceeds permissible values.</t>
  </si>
  <si>
    <t xml:space="preserve">Includes (2) plate and frame heat exchangers, (3) secondary water pumps and interconnecting piping for each of the (3) cryo buildings. </t>
  </si>
  <si>
    <t>Utilize a secondary heat exchanger and thus avoid the copper to be directly exposed to the cooling tower water. Discuss with Power and Utilities group and to begin early discussions with permitting authorities.</t>
  </si>
  <si>
    <t>No cost, no schedule impact, not in Safran</t>
  </si>
  <si>
    <t>The estimate is based on utilizing dedicated secondary heat exchangers (2), pumps (3) and associated additional piping each at 1002, 1006 and 1010  that will prevent the open loop flow path to be in direct contact with copper. The risk is eliminated once the mitigation is performed.</t>
  </si>
  <si>
    <t>Not in Safran since 0 impact</t>
  </si>
  <si>
    <t>Retire as per Dirul Nassar</t>
  </si>
  <si>
    <t>206</t>
  </si>
  <si>
    <t>RT-6-011-019</t>
  </si>
  <si>
    <t>CW Piping Inside Tunnel</t>
  </si>
  <si>
    <t>If there are multiple disciplines/trades scheduled for work in the same area of the tunnel simultaneously, then there will  be delays in installation of cooling water piping.</t>
  </si>
  <si>
    <t xml:space="preserve">Cost estimate is a place holder. The schedule estimate is based on reducing the man power from  a (3) 4man crew to a (2) 4 man crew </t>
  </si>
  <si>
    <t>Active schedule communication with all impacted groups should be held and project should be tracked with a schedule that shows sufficient details.</t>
  </si>
  <si>
    <t>Proper planning and communication of construction schedule can eliminate the risk completely. More often than not, some schedule inefficiencies are expected to remain.</t>
  </si>
  <si>
    <t>215</t>
  </si>
  <si>
    <t>RT-6-011-020</t>
  </si>
  <si>
    <t>Existing Equipment Viability</t>
  </si>
  <si>
    <t xml:space="preserve">If the existing infrastructure and/or equipment proves no longer serviceable, then new items will need to be purchased or more time will be needed for repairs.  This will cost more money and take more time.   </t>
  </si>
  <si>
    <t>Maintain close coordination with RHIC/CAD and Facilities and Operations organizations to ensure that existing SSC's are maintained adequately.</t>
  </si>
  <si>
    <t>E1102_01460 READY FOR INSTALL - New LINAC Tunnel 1002 - BORE Complete 04/19/27</t>
  </si>
  <si>
    <t>Combined with RT-6-011-001</t>
  </si>
  <si>
    <t>RT-6-011-021</t>
  </si>
  <si>
    <t>RHIC Tunnel distoration/collapse due to Building 1002 excavation instability</t>
  </si>
  <si>
    <t>If the existing RHIC tunnel archplate structure is damaged (i.e., distorted, collapse, etc.) due to excavation activities associated with construction of the new EIC building 1002 then additional engineering design work and construction activities will be required to restore the existing RHIC tunnel to repair the damage. This will cause additional construction cost and schedule for completion.</t>
  </si>
  <si>
    <t>Interdependent third-party review of design approach to stabilize the excavation site by subject matter experts.  Increased oversight of construction activities in close proximity to existing RHIC tunnel infrastructure with designated hold points.  Implementation of a structural monitoring plan utilizing instrumentation and visual inspection during excavation activities.</t>
  </si>
  <si>
    <t>SHC to be remove from scope</t>
  </si>
  <si>
    <t>34</t>
  </si>
  <si>
    <t>RT-6-011-022</t>
  </si>
  <si>
    <t>Construction and Envir. Regulatory Requirements</t>
  </si>
  <si>
    <t>If regulatory agencies have requirements, they could impact the design configuration, which would cause rework.</t>
  </si>
  <si>
    <t>Maintain awareness of environmental regulations through coordination with BNL Environmental Compliance personnel.</t>
  </si>
  <si>
    <t>35</t>
  </si>
  <si>
    <t>RT-6-011-023</t>
  </si>
  <si>
    <t>Modifications to Experimental Hall</t>
  </si>
  <si>
    <t>If the detector configuration changes as the detector design matures, the ideal configuration may require infrastructure modifications beyond our current plan.  This will cause rework.</t>
  </si>
  <si>
    <t>Monitor and participate in detector develop design discussions</t>
  </si>
  <si>
    <t>E1010_10060 PDR - Detector Utilities - Preliminary Design Review Complete 11/24/25</t>
  </si>
  <si>
    <t>ready to retire April 1 2024</t>
  </si>
  <si>
    <t>37</t>
  </si>
  <si>
    <t>RT-6-011-024</t>
  </si>
  <si>
    <t>Energy Isolation Hazards</t>
  </si>
  <si>
    <t xml:space="preserve">If all hazards are not identified prior to start of work and/or if mechanical / electrical work is not planned adequately,  then there could be risk to personal safety and / or damage to facilities, workers could come into contact with live circuits or terminals or other uncontrolled energy sources. 
</t>
  </si>
  <si>
    <t>Key Concerns:*BNL staff availability (lock/tag especially) may impact schedule. * Discovery of unknown/unexpected energy hazard during the "RHIC shutdown" process.</t>
  </si>
  <si>
    <t xml:space="preserve">Thorough work planning and control; engineer out hazards where possible, precise work planning detailing hazards and mitigations (JSA), use of PPE; utilize administrative controls in the form of task specific work plans and permits, and task specific training, signage, tailgate meetings, policies.  Specific attention to Hoisting and rigging, develop fall protection plans for work at heights. 
* Enforce strict compliance with Accelerator Material Management Plan (AMMP) by PM, FCM and ESH.
* Verify field conditions before implementation by SLAC and Contractor.
* Define the work planning and control requirement in RFP to set the expectation with subcontractors.  Subcontractor to provide work plans for SLAC approval on Elevated Work Surface, Fall protection, Asbestos abatement, penetration permit, Hot work, Electrical Work Plan, etc.  (Completed)
* Develop a detailed Energy Isolation Plan (EIP)and LOTO procedure at early stage of the project. Identify, tagging and air gapping all energized source by  SLAC in-house staff prior to decommission. Contingency Planning- “What if”- Stop work, evaluate change of scope, restart plan defined in EIP. (Completed) 
* Turn over “cold and dark” facilities to subcontractor for removal.  Clear understanding of the existing systems and the work planning controls must be in place.  Details of daily activities shall be communicated between project team and Subcontractor.  A detailed review will be performed by the PM, FCM and ESH.  (Completed)
Start energy isolation plans at least 4 months prior to activity.
Early engagement with inspectors - real-time inspections.
SLAC and sub electricians went through additional training in 4/2019 regarding electrical demo. 
</t>
  </si>
  <si>
    <t>164</t>
  </si>
  <si>
    <t>RT-6-011-025</t>
  </si>
  <si>
    <t>Rack Temperature Stabilization</t>
  </si>
  <si>
    <t>If the need for precision temperature control and stability is required on power supply racks then temperature control racks will need to be procured for power supply.</t>
  </si>
  <si>
    <t>Cost estimate is based on $2,000 per temperature controlled rack enclosure in (8) buildings with 30 racks in each building.</t>
  </si>
  <si>
    <t>Avoid</t>
  </si>
  <si>
    <t>Monitor via periodic CW interface meetings.</t>
  </si>
  <si>
    <t>211</t>
  </si>
  <si>
    <t>RT-6-011-026</t>
  </si>
  <si>
    <t>Preliminary cooling loads</t>
  </si>
  <si>
    <t>If the final cooling loads from the components are higher than what is provided during design, then additional cost and schedule impacts will be incurred due to increased scope and out of sequence design and installation.</t>
  </si>
  <si>
    <t>Communicate with system engineers and L3 managers to discuss reqs and current basis for cooling reqs. Use a formal process to receive cooling reqs. Communicate downstream impacts of design decisions such as cooling system cost impacts directly to the accelerator and cryo L3 managers and system engineers. Communicate with AE regarding cooling requirements and changes. Utilize reasonably bounding estimates where possible while avoiding conservatism</t>
  </si>
  <si>
    <t>These costs cannot be controlled. The risk can be monitored and the key is to identify and communicate changes to the cooling requirements to the detail engineering and design personnel.</t>
  </si>
  <si>
    <t>212</t>
  </si>
  <si>
    <t>RT-6-011-027</t>
  </si>
  <si>
    <t>More expensive Infrastructure Contractor Insurance</t>
  </si>
  <si>
    <t>If Contractor and/or Subcontractor’s Insurance costs are higher than anticipated, the project will lose time negotiating terms and conditions and may need to pay more than estimated.”</t>
  </si>
  <si>
    <t>Assume 0.5% of 6.11 budgeted cost</t>
  </si>
  <si>
    <t>Investigate Owner Controlled Insurance Policy, negotiate contractor’s insurance up-front.</t>
  </si>
  <si>
    <t>E1102_01000 Start Construction - CM/GC Phase II 07/24/25</t>
  </si>
  <si>
    <t>Assume 0.5% of WBS 6.11 budgeted cost</t>
  </si>
  <si>
    <t>216</t>
  </si>
  <si>
    <t>RT-6-011-028</t>
  </si>
  <si>
    <t>Potential need for new buildings for 1006 Crab Cavities</t>
  </si>
  <si>
    <t>If the need for support buildings and utilities for the Crab Cavities at 1006 is confirmed, then additional funds will be required to design and construct them.</t>
  </si>
  <si>
    <t>Monitor accelerator design process and Change Control status</t>
  </si>
  <si>
    <t>Realized</t>
  </si>
  <si>
    <t>Yes</t>
  </si>
  <si>
    <t>217</t>
  </si>
  <si>
    <t>RT-6-011-029</t>
  </si>
  <si>
    <t>High-voltage power funding</t>
  </si>
  <si>
    <t>If funding is not provided for BNL high-voltage power distribution system upgrades via programs such as SLI, sufficient reliable electrical power will not be available for operating the EIC at full machine power. Additional costs may be incurred to guarantee this power availability</t>
  </si>
  <si>
    <t>Integrate BNL long-term power plan into Project Schedule; identify need-by dates and track.</t>
  </si>
  <si>
    <t>Assume 20, 50 and 80% of WBS  6.11.03.07, '138kV Substation' total cost of  $18,640K for best, likely and worst scenarios.</t>
  </si>
  <si>
    <t>218</t>
  </si>
  <si>
    <t>RT-6-011-030-LLP-CD3A</t>
  </si>
  <si>
    <t>Unit substations Delivery Delay</t>
  </si>
  <si>
    <t>If the fifteen (15) unit substations required for the thirteen (13) BOREs are delivered later than planned, then the project will experience schedule delays.</t>
  </si>
  <si>
    <t>E1103_02960 Unit Substation Xfmrs for Buildings - Delivery of last Unit Substation at BNL - LLP CD-3A  - Scope Complete</t>
  </si>
  <si>
    <t>Probability estimated as low, no cost impact, schedule impacts estimated considering long lead delivery time and potential competition from other projects.</t>
  </si>
  <si>
    <t>RO-6-011-030a-LLP-CD3A</t>
  </si>
  <si>
    <t>Substation Low Bids</t>
  </si>
  <si>
    <t>If Substation bids come lower than planned, then the project will have costs reduced</t>
  </si>
  <si>
    <t>Work with vprocurement and vendors</t>
  </si>
  <si>
    <t>E1103_02475</t>
  </si>
  <si>
    <t>Conversation with procurement Sep 30 2024</t>
  </si>
  <si>
    <t>Availability of Existing RHIC Facilities Staff to Support EIC during the Design Phase</t>
  </si>
  <si>
    <t>If staff are not available when needed, then lack of manpower will delay EIC tasks.</t>
  </si>
  <si>
    <t>Hire project staff for Infrastructure</t>
  </si>
  <si>
    <t>HR posting and hiring.</t>
  </si>
  <si>
    <t>IF_2102_1460, Infr. Eng Design FY24</t>
  </si>
  <si>
    <t>Retired Feb 22 2022. Infrastructure Division staff has been hired.</t>
  </si>
  <si>
    <t>Tie-Line Upgrade</t>
  </si>
  <si>
    <r>
      <t xml:space="preserve">When the 69kV Tie Line is upgraded, then E-IC and the BNL Lab will have to provide </t>
    </r>
    <r>
      <rPr>
        <b/>
        <sz val="11"/>
        <color theme="1"/>
        <rFont val="Arial"/>
        <family val="2"/>
      </rPr>
      <t>operating</t>
    </r>
    <r>
      <rPr>
        <sz val="11"/>
        <color theme="1"/>
        <rFont val="Arial"/>
        <family val="2"/>
      </rPr>
      <t xml:space="preserve"> funds to pay PSEG-LI to install an upgraded Tie Line in order to carry the EIC projected load</t>
    </r>
  </si>
  <si>
    <t>The lab and EIC will have to generate operating funds to pay for this work</t>
  </si>
  <si>
    <t>White paper has been written and submitted to PSEG-LI.  The local utility and supplier are reviewing.</t>
  </si>
  <si>
    <t xml:space="preserve">The evaluation of the system is a multi-year task.  Various studies will be performed.  BNL and utilities will have to exchange operating scenarios. </t>
  </si>
  <si>
    <t>commissioning</t>
  </si>
  <si>
    <t>Not a project risk. Commissioning cost.</t>
  </si>
  <si>
    <t>204</t>
  </si>
  <si>
    <t>Distributed or centralized Data Center</t>
  </si>
  <si>
    <t>If a decision is made to implement a distributed data center instead of centralized data center then it would require a change in architecture and design resulting in increase costs.</t>
  </si>
  <si>
    <t>Develop design proposals. Engage outside consultants.</t>
  </si>
  <si>
    <t>insert deadline, dates, triggers (decisions to be made by others)</t>
  </si>
  <si>
    <t>IF_0202_1125</t>
  </si>
  <si>
    <t>Based on conversation with a former ITD expert</t>
  </si>
  <si>
    <t>Data center configuration is not part of WBS 6.11 Infrastructure Scope. Controls configurations are being managed by a separate group and we will provide square footage as needed, just like other Accelerator Systems.</t>
  </si>
  <si>
    <t>136</t>
  </si>
  <si>
    <t>133</t>
  </si>
  <si>
    <t xml:space="preserve">Second Detector </t>
  </si>
  <si>
    <t>If a second detector is included after CD-2, then it will impact design and required additional utilities, power, infrastructure changes resulting in additional costs.</t>
  </si>
  <si>
    <t>Monitor and participate in the EIC user group discussions related to detector configuration.  Establish design development milestones to the project schedule related to second detector selection.</t>
  </si>
  <si>
    <t xml:space="preserve">Revisions need to be designed into building and power/utilities  upgrades from PSE&amp;G. </t>
  </si>
  <si>
    <t>Retired Sep 2021  since risk assumptions are no longer valid</t>
  </si>
  <si>
    <t>09.27.2021</t>
  </si>
  <si>
    <t>RT-6-012-001</t>
  </si>
  <si>
    <t>6.12 PreOperations</t>
  </si>
  <si>
    <t>A. Blednykh</t>
  </si>
  <si>
    <t>COM</t>
  </si>
  <si>
    <t>Unforeseen Severe Events During Commissioning</t>
  </si>
  <si>
    <t xml:space="preserve">If an unforeseen severe event occurs during commissioning, it will set back the schedule and cost additional funds as we work to get back on track. </t>
  </si>
  <si>
    <t>Work across Project WBS to identify interface points and points of failure. Hardware redundancy, reliability, flexibility, operating margins.</t>
  </si>
  <si>
    <t>Q3 FY33</t>
  </si>
  <si>
    <t>L2_0900, Beam Commiss. Complete</t>
  </si>
  <si>
    <t>Estimated based on 40 year experience with similar facilities and EIC 'hotel load' rate.</t>
  </si>
  <si>
    <t>135</t>
  </si>
  <si>
    <t>RT-6-012-002</t>
  </si>
  <si>
    <t>ARR Pre-start completion</t>
  </si>
  <si>
    <t>If time to complete pre-start ARR items is longer that planned, then the project will experience schedule delays and increased cost</t>
  </si>
  <si>
    <t>Full completion of Readiness Plan. Implement a comprehensive check out plan. Engage the review team early.</t>
  </si>
  <si>
    <t>PO_0704_1160, SHC - System Readiness Reviews Complete and ready for Integrated Systems Testing</t>
  </si>
  <si>
    <t>131</t>
  </si>
  <si>
    <t>RT-6-012-003</t>
  </si>
  <si>
    <t>ASE Violation</t>
  </si>
  <si>
    <t>If ASE violation occurs during the beam commissioning, then then the project will experience schedule delays and increased cost</t>
  </si>
  <si>
    <t xml:space="preserve">Train personnel, establish procedures, engineered controls where feasible. </t>
  </si>
  <si>
    <t>132</t>
  </si>
  <si>
    <t>RT-6-012-004</t>
  </si>
  <si>
    <t>ARR Requirements May Change</t>
  </si>
  <si>
    <t>If the ARR requirements change, then we will need to adjust our plans and timing, which would likely cost additional funds and take more time.</t>
  </si>
  <si>
    <t>Have an up-to-date and comprehensive IRP plan. Work with BHSO.</t>
  </si>
  <si>
    <t>PO_0701_1120, Electron pre-injector - DOE BHSO approval to begin commiss.</t>
  </si>
  <si>
    <t>39</t>
  </si>
  <si>
    <t>130</t>
  </si>
  <si>
    <t>W. Fischer / T. Satogata</t>
  </si>
  <si>
    <t>W. Fischer</t>
  </si>
  <si>
    <t>KPPs Change</t>
  </si>
  <si>
    <t>If KPPs change compared to present assumptions, (low luminosity e-A collisions),  then more comissioning beam time will be needed, resulting in schedule delay and additional cost.</t>
  </si>
  <si>
    <t>Work with DOE on finalizing the KPPs. The KPPs should allow for expeditious commissioning.</t>
  </si>
  <si>
    <t>Risk assumptions are no longer valid</t>
  </si>
  <si>
    <t>DOE</t>
  </si>
  <si>
    <t>J. Eng</t>
  </si>
  <si>
    <t>Delay in Funding</t>
  </si>
  <si>
    <t>If there is a delay in funding, there will be an impact on cost/schedule</t>
  </si>
  <si>
    <t>Moved to management risk 174, "Full Year CR"</t>
  </si>
  <si>
    <t>EIC Post-Mitigated Risk Profile</t>
  </si>
  <si>
    <t>WBS L2</t>
  </si>
  <si>
    <t>WBS Description</t>
  </si>
  <si>
    <t>High Active Threats</t>
  </si>
  <si>
    <t>Moderate Active Threats</t>
  </si>
  <si>
    <t>Low Active Threats</t>
  </si>
  <si>
    <t>Total Active Threats</t>
  </si>
  <si>
    <t>Active Opportunities</t>
  </si>
  <si>
    <t>Total Active Risks</t>
  </si>
  <si>
    <t>Retired Threats/ Opportunities</t>
  </si>
  <si>
    <t>Grand Total
(Threats/ Opportunities)</t>
  </si>
  <si>
    <t xml:space="preserve"> Heat Map: All Post-mitigated Risks</t>
  </si>
  <si>
    <t>Project Management</t>
  </si>
  <si>
    <t>Overall Risk Impact</t>
  </si>
  <si>
    <t>Accelerator Devel. R&amp;D</t>
  </si>
  <si>
    <t>Electron Injector</t>
  </si>
  <si>
    <t>Score</t>
  </si>
  <si>
    <t>Electron Storage Ring</t>
  </si>
  <si>
    <t>Probability</t>
  </si>
  <si>
    <t>Very High</t>
  </si>
  <si>
    <t>Hadron Ring</t>
  </si>
  <si>
    <t>Interaction Region &amp; Detector I/F</t>
  </si>
  <si>
    <t>Accelerator Systems</t>
  </si>
  <si>
    <t>Low</t>
  </si>
  <si>
    <t>Very Low</t>
  </si>
  <si>
    <t>Cryogenics</t>
  </si>
  <si>
    <t>6.10</t>
  </si>
  <si>
    <t>Detector</t>
  </si>
  <si>
    <t>Total</t>
  </si>
  <si>
    <t xml:space="preserve">Infrastructure </t>
  </si>
  <si>
    <t>Pre-Operations</t>
  </si>
  <si>
    <t>Total Project</t>
  </si>
  <si>
    <t>Heat Map: Pre-mitigated LLP-CD3A Risks</t>
  </si>
  <si>
    <t>Heat Map: Pre-mitigated LLP-CD3B Risks</t>
  </si>
  <si>
    <t>Heat Map: Post-mitigated LLP-CD3A Risks</t>
  </si>
  <si>
    <t>Heat Map: Post-mitigated LLP-CD3B Risks</t>
  </si>
  <si>
    <t>`</t>
  </si>
  <si>
    <t>Risk Category</t>
  </si>
  <si>
    <t>3A</t>
  </si>
  <si>
    <t>Pre-mitigated</t>
  </si>
  <si>
    <t>Post-mitigated</t>
  </si>
  <si>
    <t>RETIRED Risk ID Number</t>
  </si>
  <si>
    <t>System</t>
  </si>
  <si>
    <t>Owner</t>
  </si>
  <si>
    <t>IF/Then</t>
  </si>
  <si>
    <t>Retired Note (If Applicable)</t>
  </si>
  <si>
    <t>Likelihood of Impact</t>
  </si>
  <si>
    <t>Schedule Impact Estimate  (months)</t>
  </si>
  <si>
    <t>Risk Consequence Weight (Max of Cost/Schedule/Technical)</t>
  </si>
  <si>
    <t xml:space="preserve">Overall Impact </t>
  </si>
  <si>
    <t>Mitigations</t>
  </si>
  <si>
    <t>Risk Handling Schedule
(Triggers, Milestones, Due Dates)</t>
  </si>
  <si>
    <t xml:space="preserve"> Developed Likelihood of impact for Model</t>
  </si>
  <si>
    <t>Expected Value (K$)</t>
  </si>
  <si>
    <t>Electron Ion Insufficiet Performance</t>
  </si>
  <si>
    <t xml:space="preserve">The polarized electron gun, which is carried over from the corresponding R&amp;R effort, might not deliver sufficient charge.  Then an alternative method must be used and the cost for this is not taken into account.  </t>
  </si>
  <si>
    <t xml:space="preserve">Retired </t>
  </si>
  <si>
    <t>6.05-Hadron Ring</t>
  </si>
  <si>
    <t>6.03-Electron Injector</t>
  </si>
  <si>
    <t>Kicker Perfomance into the ESR</t>
  </si>
  <si>
    <t/>
  </si>
  <si>
    <t>6.02-Accelerator Development and R&amp;D</t>
  </si>
  <si>
    <t>If the simulations always show proton emittance growth, we will need to design and build different crab cavities which will take more R&amp;D time and cost more money.</t>
  </si>
  <si>
    <t xml:space="preserve">If predicted transient beam loading is too large at or before CD-2, a third harmonic system will not work which will impact the likely objective KPPs.  </t>
  </si>
  <si>
    <t xml:space="preserve"> As part of OPC, model layout of the collider hall, door size and assembly Hall to study impact on detector integration and maintenance modes. Finalize IP location as IP6 and carry new central detector magnet risk/contingency.</t>
  </si>
  <si>
    <t>Qualitative Risk Analysis Matrix</t>
  </si>
  <si>
    <t>Impact</t>
  </si>
  <si>
    <t xml:space="preserve">                       Likelihood</t>
  </si>
  <si>
    <t>Cost</t>
  </si>
  <si>
    <t>Minimal or no consequence. No impact to Project cost. (≤ $250k)</t>
  </si>
  <si>
    <t>Small increase in meeting objectives.
Marginal increases in costs. (&gt; $250K ≤ $1M)</t>
  </si>
  <si>
    <t>Significant degradation in meeting objectives significantly increases cost; (&gt;$1M ≤ $5M)</t>
  </si>
  <si>
    <t>Goals and objectives are not achievable. Additional funding may be required.  (&gt;$5M ≤ $30M)</t>
  </si>
  <si>
    <t>Project stopped. Funding withdrawal; withdrawal of scope, or severe contractor cost performance issues.       (&gt; $30M)</t>
  </si>
  <si>
    <t>(less/equal than) [k$]</t>
  </si>
  <si>
    <t>over 30000</t>
  </si>
  <si>
    <t>Schedule
(less/equal than) [mo]</t>
  </si>
  <si>
    <t xml:space="preserve"> over 24</t>
  </si>
  <si>
    <t>Technical</t>
  </si>
  <si>
    <t>No impact to threshold or objective KPPs</t>
  </si>
  <si>
    <t>Possible impact to objective KPPs but workarounds available.  No impact to threshold KPPs</t>
  </si>
  <si>
    <t>Possible impact to an objective KPP, but likely no workaround available.  
No impact to threshold KPPs.</t>
  </si>
  <si>
    <t xml:space="preserve">Will impact objective KPP.  Possible impact to threshold KPPs, but workaround available.  </t>
  </si>
  <si>
    <t>Impacts a threshold KPP</t>
  </si>
  <si>
    <t>&gt;</t>
  </si>
  <si>
    <t>&lt;=</t>
  </si>
  <si>
    <t>Probability and Impact Scoring</t>
  </si>
  <si>
    <t>Risk Matrix scoring</t>
  </si>
  <si>
    <t>≥</t>
  </si>
  <si>
    <t>≤</t>
  </si>
  <si>
    <t>Choose Row in Risks tab</t>
  </si>
  <si>
    <t>Title</t>
  </si>
  <si>
    <t>Overall Category</t>
  </si>
  <si>
    <t>Risk Statement (If/Then)</t>
  </si>
  <si>
    <t>P6 Milestone affected</t>
  </si>
  <si>
    <t>Residual Probability</t>
  </si>
  <si>
    <t>Residual Cost Category</t>
  </si>
  <si>
    <t>Resid. Schedule Category</t>
  </si>
  <si>
    <t>Technical Category</t>
  </si>
  <si>
    <t>Risk Mitigations</t>
  </si>
  <si>
    <t>Cost Impacts ($K)</t>
  </si>
  <si>
    <t>Schedule Impacts (Months)</t>
  </si>
  <si>
    <t>Expected Value</t>
  </si>
  <si>
    <t>Average EV</t>
  </si>
  <si>
    <t>Low Cost</t>
  </si>
  <si>
    <t>Likely Cost</t>
  </si>
  <si>
    <t>Likely</t>
  </si>
  <si>
    <t>High Cost</t>
  </si>
  <si>
    <t>Basis of Impact Estimates (Cost &amp; Sched.):</t>
  </si>
  <si>
    <t>Risk Handling Schedule ( Triggers, Milestones, Due Dates)</t>
  </si>
  <si>
    <t xml:space="preserve"> Change History</t>
  </si>
  <si>
    <t>WBS ID</t>
  </si>
  <si>
    <t>WBS Name</t>
  </si>
  <si>
    <t>Activity Name</t>
  </si>
  <si>
    <t>Original Duration</t>
  </si>
  <si>
    <t>Start</t>
  </si>
  <si>
    <t>Finish</t>
  </si>
  <si>
    <t xml:space="preserve">Material Cost </t>
  </si>
  <si>
    <t>Budgeted Total Cost</t>
  </si>
  <si>
    <t>Column1</t>
  </si>
  <si>
    <t>EIC - Working File</t>
  </si>
  <si>
    <t xml:space="preserve">  Accelerator Development and R&amp;D</t>
  </si>
  <si>
    <t xml:space="preserve">    6.02.03</t>
  </si>
  <si>
    <t xml:space="preserve">    Accelerator Systems R&amp;D</t>
  </si>
  <si>
    <t xml:space="preserve">      6.02.03.03</t>
  </si>
  <si>
    <t xml:space="preserve">      IR Design and Magnet Prototyping</t>
  </si>
  <si>
    <t xml:space="preserve">        6.02.03.03.02</t>
  </si>
  <si>
    <t xml:space="preserve">        IR Magnet Prototyping</t>
  </si>
  <si>
    <t xml:space="preserve">  Electron Injector</t>
  </si>
  <si>
    <t xml:space="preserve">    6.03.02</t>
  </si>
  <si>
    <t xml:space="preserve">    Rapid Cycling Synchrotron</t>
  </si>
  <si>
    <t xml:space="preserve">      6.03.02.01</t>
  </si>
  <si>
    <t xml:space="preserve">      RCS Magnets</t>
  </si>
  <si>
    <t xml:space="preserve">        6.03.02.01.01</t>
  </si>
  <si>
    <t xml:space="preserve">        RCS Dipole Magnets</t>
  </si>
  <si>
    <t xml:space="preserve">        6.03.02.01.02</t>
  </si>
  <si>
    <t xml:space="preserve">        RCS Quad Magnets</t>
  </si>
  <si>
    <t xml:space="preserve">        6.03.02.01.03</t>
  </si>
  <si>
    <t xml:space="preserve">        RCS Sextupole Magnets</t>
  </si>
  <si>
    <t xml:space="preserve">        6.03.02.01.04</t>
  </si>
  <si>
    <t xml:space="preserve">        RCS Corrector Magnets</t>
  </si>
  <si>
    <t xml:space="preserve">        6.03.02.01.05</t>
  </si>
  <si>
    <t xml:space="preserve">        RCS Girders, Assembly and Integration</t>
  </si>
  <si>
    <t xml:space="preserve">        6.03.02.01.06</t>
  </si>
  <si>
    <t xml:space="preserve">        Magnet Measuring Stations</t>
  </si>
  <si>
    <t xml:space="preserve">  Electron Storage Ring</t>
  </si>
  <si>
    <t xml:space="preserve">    6.04.02</t>
  </si>
  <si>
    <t xml:space="preserve">    Electron Storage Ring Magnets</t>
  </si>
  <si>
    <t xml:space="preserve">      6.04.02.01</t>
  </si>
  <si>
    <t xml:space="preserve">      ESR Dipole Magnets</t>
  </si>
  <si>
    <t xml:space="preserve">      6.04.02.02</t>
  </si>
  <si>
    <t xml:space="preserve">      ESR Quad Magnets</t>
  </si>
  <si>
    <t xml:space="preserve">      6.04.02.03</t>
  </si>
  <si>
    <t xml:space="preserve">      ESR Sextupole Magnets</t>
  </si>
  <si>
    <t xml:space="preserve">      6.04.02.04</t>
  </si>
  <si>
    <t xml:space="preserve">      ESR Corrector Magnets</t>
  </si>
  <si>
    <t xml:space="preserve">      6.04.02.05</t>
  </si>
  <si>
    <t xml:space="preserve">      ESR Girders and Integrated Assembly</t>
  </si>
  <si>
    <t xml:space="preserve">  Hadron Ring</t>
  </si>
  <si>
    <t xml:space="preserve">    6.05.08</t>
  </si>
  <si>
    <t xml:space="preserve">    Strong Hadron Cooling (SHC)</t>
  </si>
  <si>
    <t xml:space="preserve">      6.05.08.04</t>
  </si>
  <si>
    <t xml:space="preserve">      SHC Beam Transport</t>
  </si>
  <si>
    <t xml:space="preserve">        6.05.08.04.01</t>
  </si>
  <si>
    <t xml:space="preserve">        SHC Beam Transport Magnets</t>
  </si>
  <si>
    <t xml:space="preserve">  Interaction Regions and Detector Interface</t>
  </si>
  <si>
    <t xml:space="preserve">    6.06.02</t>
  </si>
  <si>
    <t xml:space="preserve">    Interaction Region (IR)</t>
  </si>
  <si>
    <t xml:space="preserve">      6.06.02.01</t>
  </si>
  <si>
    <t xml:space="preserve">      IR Magnets</t>
  </si>
  <si>
    <t xml:space="preserve">        6.06.02.01.01</t>
  </si>
  <si>
    <t xml:space="preserve">        Direct Wind Magnets</t>
  </si>
  <si>
    <t xml:space="preserve">        6.06.02.01.02</t>
  </si>
  <si>
    <t xml:space="preserve">        Collared Magnets</t>
  </si>
  <si>
    <t xml:space="preserve">        6.06.02.01.03</t>
  </si>
  <si>
    <t xml:space="preserve">        IR Warm Magnets</t>
  </si>
  <si>
    <t xml:space="preserve">        6.06.02.01.04</t>
  </si>
  <si>
    <t xml:space="preserve">        IR Cryostat Integration and Magnet Test</t>
  </si>
  <si>
    <t xml:space="preserve">      6.06.02.02</t>
  </si>
  <si>
    <t xml:space="preserve">      IR Spin Rotator Magnets</t>
  </si>
  <si>
    <t xml:space="preserve">      6.06.02.07</t>
  </si>
  <si>
    <t xml:space="preserve">      Matching Magnets</t>
  </si>
  <si>
    <t xml:space="preserve">      6.06.02.08</t>
  </si>
  <si>
    <t xml:space="preserve">      Cables</t>
  </si>
  <si>
    <t>Basis of Estimates - Residual Risks</t>
  </si>
  <si>
    <t>Low Cooling Water Temperature for RF Power Amplifers</t>
  </si>
  <si>
    <t>CW Performance for EIC Operation in the Summer Months</t>
  </si>
  <si>
    <t>Risk ID #</t>
  </si>
  <si>
    <t>Assumptions</t>
  </si>
  <si>
    <t>Basis of Estimate</t>
  </si>
  <si>
    <t>Schedule</t>
  </si>
  <si>
    <t>Impact Category</t>
  </si>
  <si>
    <t>RHIC shut down date</t>
  </si>
  <si>
    <t>Access to the tunnel milestone is June 2025</t>
  </si>
  <si>
    <t>Access to the tunnel is on the critical path</t>
  </si>
  <si>
    <t xml:space="preserve">So…..there would be a day to day delay in the project. </t>
  </si>
  <si>
    <t>Cost per month is about $25M during the peak of the project</t>
  </si>
  <si>
    <t>$2.2M/month x 3 months + $2M in extra costs</t>
  </si>
  <si>
    <t>3 mos</t>
  </si>
  <si>
    <t>low</t>
  </si>
  <si>
    <t>Hotel load is about $2.2/month</t>
  </si>
  <si>
    <t>$2.2M/month x 6 months + $5M in extra costs</t>
  </si>
  <si>
    <t>6 mos</t>
  </si>
  <si>
    <t>likely</t>
  </si>
  <si>
    <t>$2.2M/month x 9 months + $8M in extra costs</t>
  </si>
  <si>
    <t>9 mos</t>
  </si>
  <si>
    <t>high</t>
  </si>
  <si>
    <t>Limited magnet vendors</t>
  </si>
  <si>
    <t>Ferdinand will need to verify this and provide some backup</t>
  </si>
  <si>
    <t>See list of magnet procurements included as a separate tab in this spreadsheet</t>
  </si>
  <si>
    <t>Reprioritized redirect funds</t>
  </si>
  <si>
    <t xml:space="preserve">Assumes that this would become an overall reduction of funding issue or a slip in schedule. </t>
  </si>
  <si>
    <t>Impact could be anywhere from zero to say 50% of the total redirection amount of $1,014M.   Maybe $100M would be a good guess. We would need to descope, get more in kind or stretch the schedule out.   A mitigation strategy could be to get more in-kind.  Maybe $5M labor increase could fund a person to shake the trees.</t>
  </si>
  <si>
    <t>$100M</t>
  </si>
  <si>
    <t>Matrixed Labor</t>
  </si>
  <si>
    <t>Applies to both BNL and TJ Labor</t>
  </si>
  <si>
    <t>25% of labor = TJ = $177.5M</t>
  </si>
  <si>
    <t>Assume all of TJ labor is matrixed</t>
  </si>
  <si>
    <t>75% of labor = BNL = $532.5M x 50% = 266.25</t>
  </si>
  <si>
    <t>Assume 50% of BNL labor is matrixed</t>
  </si>
  <si>
    <t>Total matrixed labor = $443.75M</t>
  </si>
  <si>
    <t>Total CD-1 labor = $710M</t>
  </si>
  <si>
    <t>Escalation</t>
  </si>
  <si>
    <t>Current escalation rates could be low so assume the  following</t>
  </si>
  <si>
    <t>Need to just adjust the escalation in P6 accordingly.  I would focus on materials since we have a good handle on labor and it is monitored by the labs.</t>
  </si>
  <si>
    <t>1% above current escalation</t>
  </si>
  <si>
    <t>2% above current escalation</t>
  </si>
  <si>
    <t>3% above current escalation</t>
  </si>
  <si>
    <t>TJ Labor rates &lt; BNL</t>
  </si>
  <si>
    <t>Low would be 60% more expensive in NY: 177.5/1.60 = 110.9</t>
  </si>
  <si>
    <t>TJ labor = 25% = $177.5M</t>
  </si>
  <si>
    <t>Likely would be 75.4% more expensive in NY: 177.5/1.754 = 101.2</t>
  </si>
  <si>
    <t>Assume labor rates are 75.4% more expensive in NY</t>
  </si>
  <si>
    <t>High would be 80% more expensive in NY:  177.5/1.8 = 98.6</t>
  </si>
  <si>
    <t>See details here:</t>
  </si>
  <si>
    <t>Additional In-Kind</t>
  </si>
  <si>
    <t xml:space="preserve">Current in-kind is assumed at </t>
  </si>
  <si>
    <t>5% for the accelerator ($50M)</t>
  </si>
  <si>
    <t>For Accelerator assume 6% for low; 8% for likely; 10% for high</t>
  </si>
  <si>
    <t>30% for the detector ($100M)</t>
  </si>
  <si>
    <t>For Detector assume 35% for low; 40% for likely; 45% for high</t>
  </si>
  <si>
    <t>Overall</t>
  </si>
  <si>
    <t>Decrease in Escalation</t>
  </si>
  <si>
    <t>This is just the opposite of Risk ID#159</t>
  </si>
  <si>
    <t xml:space="preserve">Includes "events" - accident, exposure, spill, violation.  </t>
  </si>
  <si>
    <t>Used NSLS-II as the basis of the likelihood, but added a factor of 30% assuming more stringent guidelines now ($5M additional cost for an ESH event plus 30% = $6,500).  If this were to occur, it would mean also that the standing army cost would continue to address the issue but other work would get pushed out.  Assume 50% of real work gets delayed.</t>
  </si>
  <si>
    <t>$5.0M</t>
  </si>
  <si>
    <t>$6.5M</t>
  </si>
  <si>
    <t>$8M</t>
  </si>
  <si>
    <t xml:space="preserve">This impact could be more short-term -- say two years.  </t>
  </si>
  <si>
    <t>Spreadsheet attached (ICR-002) showing all procurements over $250K and which ones could be impacted by commodity price fluctuations.  We are following this and will watch - see:  https://economics.td.com/us-commodity-price-report</t>
  </si>
  <si>
    <t>Spares</t>
  </si>
  <si>
    <t>We should assume that spares will be purchased with the larger quantity of items and then transferred to OPC funding at the end of the project.</t>
  </si>
  <si>
    <t>$1M</t>
  </si>
  <si>
    <t>$1.5M</t>
  </si>
  <si>
    <t>Loss of Key Personnel</t>
  </si>
  <si>
    <t>This risk would come to realization if we lost a number of key personnel all at one time.</t>
  </si>
  <si>
    <t xml:space="preserve">The schedule risk here is a 3-6 month delay in having someone in place (depending on the level of the position) </t>
  </si>
  <si>
    <t>4.5 mos</t>
  </si>
  <si>
    <t>Strong Hadron Cooling</t>
  </si>
  <si>
    <t>We need to talk about this - no impact to KPPs so I don't think this is a project risk.</t>
  </si>
  <si>
    <t>NYS Funding Reduced or Delayed</t>
  </si>
  <si>
    <t>This is already happening…..Tend to think this would be a delay instead of a reduction but OK to assume a 10% reduction for now.  Once we start getting funds, we can reduce the probability of this.</t>
  </si>
  <si>
    <t>The schedule delay would be a month to month delay on the A/E contract award which should push everything else out.  I believe there is some float in between the A/E and the construction award, so we would need to use the float first.</t>
  </si>
  <si>
    <t>COVID Delays</t>
  </si>
  <si>
    <t>This is already happening…..</t>
  </si>
  <si>
    <t xml:space="preserve">Schedule delays would be tied to R&amp;D activities because that is the hands on work that is going on right now. </t>
  </si>
  <si>
    <t>Full-Year CR in Ramp up Phase</t>
  </si>
  <si>
    <t>This is probably only a schedule impact.  I gave degrees of this with 3/6/12 month impacts.  No cost impact.</t>
  </si>
  <si>
    <t>G&amp;A Increase</t>
  </si>
  <si>
    <t>Assume that the Labs will hold the rates as best they can and that a 1% increase/decrease would be the most likely.</t>
  </si>
  <si>
    <t xml:space="preserve">Probably best to use a 1.5% increase in Common Support (as that was the last increase we saw) as a likelly scenario.  That increase resulted in a $1.5M increase in project cost (as calculated in the sensitivity analysis conducted for the CD-1 review (attached).   I would say $1M low and $2M likely.  </t>
  </si>
  <si>
    <t>$2M</t>
  </si>
  <si>
    <t>G&amp;A Decrease</t>
  </si>
  <si>
    <t xml:space="preserve">Use the opposite of Risk 177, but the likelihood is probably cut in half. </t>
  </si>
  <si>
    <t>Foreign Exchange Rate Fluctuations</t>
  </si>
  <si>
    <t>Spreadsheet attached (ICR-001, ICR-002) showing all procurements over $250K and which ones could be impacted by foreign exchange rate fluctuations.</t>
  </si>
  <si>
    <t>Lower Level of In Kind than Anticipated</t>
  </si>
  <si>
    <t>$17M</t>
  </si>
  <si>
    <t>$24M</t>
  </si>
  <si>
    <t>$36M</t>
  </si>
  <si>
    <t>Management of In Kind</t>
  </si>
  <si>
    <t>$2.5M</t>
  </si>
  <si>
    <t>Supply Chain Issues</t>
  </si>
  <si>
    <t>Assumes this is separate from Commodity Price Fluctuations and that this is a short term risk - FY2022 only would be a good estimate.</t>
  </si>
  <si>
    <t>Given that we would not be procuring major material under CD-2/3A, this risk should be small</t>
  </si>
  <si>
    <t>no impact</t>
  </si>
  <si>
    <t>4 months delay</t>
  </si>
  <si>
    <t>EIC_Partner Scope</t>
  </si>
  <si>
    <t>WBS</t>
  </si>
  <si>
    <t>Activity ID</t>
  </si>
  <si>
    <t>EIC_APP CODE</t>
  </si>
  <si>
    <t>EIC CAM</t>
  </si>
  <si>
    <t>EIC_PPM</t>
  </si>
  <si>
    <t>Direct Material Cost</t>
  </si>
  <si>
    <t>WS Dur</t>
  </si>
  <si>
    <t>BNL_PMC Rep</t>
  </si>
  <si>
    <t>Foreign vs. Domestic</t>
  </si>
  <si>
    <t xml:space="preserve">    BNL</t>
  </si>
  <si>
    <t>6.05.06</t>
  </si>
  <si>
    <t>HR_0700_1040</t>
  </si>
  <si>
    <t>APP00139</t>
  </si>
  <si>
    <t>Anerella</t>
  </si>
  <si>
    <t>Reconfiguring helical magnets in snakes - Non Labor</t>
  </si>
  <si>
    <t>Alexander</t>
  </si>
  <si>
    <t>Patil</t>
  </si>
  <si>
    <t xml:space="preserve">    JLAB</t>
  </si>
  <si>
    <t>6.08.05.09.01</t>
  </si>
  <si>
    <t>E03_00500</t>
  </si>
  <si>
    <t>Baggett</t>
  </si>
  <si>
    <t>RCS Harmonic Injection Kicker Placeholder (includes Labor and Material) - Vendor Fabrication</t>
  </si>
  <si>
    <t>Kessler</t>
  </si>
  <si>
    <t>6.10.05.02</t>
  </si>
  <si>
    <t>DE_0500_3002</t>
  </si>
  <si>
    <t>APP00019</t>
  </si>
  <si>
    <t>Bazilevsky</t>
  </si>
  <si>
    <t>Barrel Electromagnetic Calorimetry - Prototyping In-Kind</t>
  </si>
  <si>
    <t>Lewis</t>
  </si>
  <si>
    <t>Domestic</t>
  </si>
  <si>
    <t>DE_0500_3080</t>
  </si>
  <si>
    <t>Barrel Electromagnetic Calorimetry - Material Procurement</t>
  </si>
  <si>
    <t>6.10.05.03</t>
  </si>
  <si>
    <t>DE_0500_3240</t>
  </si>
  <si>
    <t>Forward (Hadronic Endcap) Electromagnetic Calorimetry - Purchase Material</t>
  </si>
  <si>
    <t>DE_0500_3245</t>
  </si>
  <si>
    <t>Forward (Hadronic Endcap) Electromagnetic Calorimetry - Silicon Photomultipliers</t>
  </si>
  <si>
    <t>DE_0500_3250</t>
  </si>
  <si>
    <t>Forward (Hadronic Endcap) Electromagnetic Calorimetry - Purchase Material In-Kind</t>
  </si>
  <si>
    <t>6.10.05.01</t>
  </si>
  <si>
    <t>DE_0500_3380</t>
  </si>
  <si>
    <t>Backward (Electron Endcap) Electromagnetic Calorimetry - Material Procurement</t>
  </si>
  <si>
    <t>6.10.05.01.01</t>
  </si>
  <si>
    <t>DE_0500_3385</t>
  </si>
  <si>
    <t>Backward (Electron Endcap) Electromagnetic Calorimetry - PbWO4 Crystals</t>
  </si>
  <si>
    <t>DE_0500_3390</t>
  </si>
  <si>
    <t>APP00021</t>
  </si>
  <si>
    <t>Backward (Electron Endcap) Electromagnetic Calorimetry - Material Procurement In-Kind</t>
  </si>
  <si>
    <t>Foreign</t>
  </si>
  <si>
    <t>Czech Republic CRYTUR</t>
  </si>
  <si>
    <t>DE_0500_3082</t>
  </si>
  <si>
    <t>APP00023</t>
  </si>
  <si>
    <t>Barrel Electromagnetic Calorimetry - Silicon Photomultipliers</t>
  </si>
  <si>
    <t>Japan Hamamatzu</t>
  </si>
  <si>
    <t>6.03.02.03</t>
  </si>
  <si>
    <t>EJ_0202_1300</t>
  </si>
  <si>
    <t>APP00010</t>
  </si>
  <si>
    <t>Bruno</t>
  </si>
  <si>
    <t>Corrector &amp; Injection Bump Supplies - Vendor Fabrication</t>
  </si>
  <si>
    <t>EJ_0202_1460</t>
  </si>
  <si>
    <t>APP00011</t>
  </si>
  <si>
    <t>Rest of RCS Supplies - Vendor Fabrication</t>
  </si>
  <si>
    <t>EJ_0202_1620</t>
  </si>
  <si>
    <t>APP00012</t>
  </si>
  <si>
    <t>DC, AC power cables control and magnet interlock cables and cable trays - Materials Vendor Fabrication</t>
  </si>
  <si>
    <t>EJ_0202_1120</t>
  </si>
  <si>
    <t>APP00027</t>
  </si>
  <si>
    <t>Main Dipole supply and the 2 Arc Quad supplies - Vendor Fabrication and ship</t>
  </si>
  <si>
    <t>6.06.02.03</t>
  </si>
  <si>
    <t>IR_0203_1300</t>
  </si>
  <si>
    <t>APP00031</t>
  </si>
  <si>
    <t>Bus/ Cable - Vendor Manufacturing</t>
  </si>
  <si>
    <t>6.04.04</t>
  </si>
  <si>
    <t>SR_0300_1080</t>
  </si>
  <si>
    <t>Cable Bus - Manufacturing Vendor</t>
  </si>
  <si>
    <t>SR_0300_1085</t>
  </si>
  <si>
    <t>Cable Bus - Mounting Brackets - Manufacturing Vendor</t>
  </si>
  <si>
    <t>6.03.04.01.01</t>
  </si>
  <si>
    <t>EJ_040102_1080</t>
  </si>
  <si>
    <t>APP00032</t>
  </si>
  <si>
    <t>Dipole, Solenoid and Quad PS - Vendor Manufacturing</t>
  </si>
  <si>
    <t>6.05.07.07</t>
  </si>
  <si>
    <t>HR_0809_1260</t>
  </si>
  <si>
    <t>Medium PS  - Vendor Manufacturing</t>
  </si>
  <si>
    <t>SR_0300_1660</t>
  </si>
  <si>
    <t>Quades and Sextupoles - Manufacturing</t>
  </si>
  <si>
    <t>6.05.02.02</t>
  </si>
  <si>
    <t>HR_0202_1080</t>
  </si>
  <si>
    <t>APP00040</t>
  </si>
  <si>
    <t>New PS (medium PS/ Corrector PS) - Vendor Manufacturing - APS PS</t>
  </si>
  <si>
    <t>6.05.03.02</t>
  </si>
  <si>
    <t>HR_0402_2140</t>
  </si>
  <si>
    <t>HR Inj Warm Line Septum APS - Vendor Manufacturing</t>
  </si>
  <si>
    <t>SR_0300_1460</t>
  </si>
  <si>
    <t>Main Dipole/Quads/Sext - Vendor Manufacturing - APS</t>
  </si>
  <si>
    <t>IR_0203_1100</t>
  </si>
  <si>
    <t>APP00051</t>
  </si>
  <si>
    <t>IR PS - Vendor Manufacturing - OCEM</t>
  </si>
  <si>
    <t>IR_0203_1440</t>
  </si>
  <si>
    <t>PED, Quench Protection - Vendor Manufacturing - OCEM</t>
  </si>
  <si>
    <t>EJ_040102_1280</t>
  </si>
  <si>
    <t>APP00060</t>
  </si>
  <si>
    <t>Corrector PS - Vendor Manufacturing - CAEN-FAST PS</t>
  </si>
  <si>
    <t>HR_0809_1460</t>
  </si>
  <si>
    <t>Small PS - Manufacturing - CAEN</t>
  </si>
  <si>
    <t>SR_0300_1260</t>
  </si>
  <si>
    <t>Correctors - Vendor Manufacturing - CAEN</t>
  </si>
  <si>
    <t>HR_0809_1660</t>
  </si>
  <si>
    <t>APP00061</t>
  </si>
  <si>
    <t>Cable - Manufacturing - DC Cable Order</t>
  </si>
  <si>
    <t>6.03.03.02</t>
  </si>
  <si>
    <t>IR_0302_3780</t>
  </si>
  <si>
    <t>RCS-SR Cables - Vendor Manufacturing - DC Cable Order</t>
  </si>
  <si>
    <t>SR_0300_1880</t>
  </si>
  <si>
    <t>DC Cable - Manufacturing</t>
  </si>
  <si>
    <t>EJ_0202_2470</t>
  </si>
  <si>
    <t>APP00110</t>
  </si>
  <si>
    <t>RCS-PSC/PSI/REG BTPs - Vendor Fabrication</t>
  </si>
  <si>
    <t>SR_0300_1790</t>
  </si>
  <si>
    <t>APP00111</t>
  </si>
  <si>
    <t>Quads and Sextupoles-PDU+DCCT Chassis+PSC/PSI/REG BTPs - Vendor Maunufacturing</t>
  </si>
  <si>
    <t>HR_0202_1960</t>
  </si>
  <si>
    <t>APP00122</t>
  </si>
  <si>
    <t>HR Straight DC Cables - Vendor Manufacturing</t>
  </si>
  <si>
    <t>EJ_040102_1205</t>
  </si>
  <si>
    <t>APP00124</t>
  </si>
  <si>
    <t>Dipole, Solenoid and Quad PS-PDU+DCCT Chassis+PSC/PSI/REG BTPs -Vendor Maunufacturing</t>
  </si>
  <si>
    <t>HR_0809_9080</t>
  </si>
  <si>
    <t>APP00132</t>
  </si>
  <si>
    <t>Medium PS - PDU+DCCT Chassis+PSC/PSI/REG BTPs - Vendor Maunufacturing</t>
  </si>
  <si>
    <t>SR_0300_1760</t>
  </si>
  <si>
    <t>APP00135</t>
  </si>
  <si>
    <t>Quades and Sextupoles - Purchase-Racks</t>
  </si>
  <si>
    <t>HR_0402_2160</t>
  </si>
  <si>
    <t>APP00142</t>
  </si>
  <si>
    <t>HR Inj Warm Line Septum/Quad/Dipole - DC, AC, Control Interlock Cable Order</t>
  </si>
  <si>
    <t>SR_0300_2200</t>
  </si>
  <si>
    <t>APP00213</t>
  </si>
  <si>
    <t>AC &amp; Interlock Cable -Manufacturing</t>
  </si>
  <si>
    <t>6.11.02.02.02</t>
  </si>
  <si>
    <t>IF_0202_1100</t>
  </si>
  <si>
    <t>APP00004</t>
  </si>
  <si>
    <t>Dirul</t>
  </si>
  <si>
    <t>New LINAC Tunnel 1002 - Installation of New 400 Mev LINAC Tunnel</t>
  </si>
  <si>
    <t>IF_0202_1120</t>
  </si>
  <si>
    <t>New LINAC Tunnel 1002 - New 400 Mev LINAC - General &amp; Systems</t>
  </si>
  <si>
    <t>6.11.02.02.03</t>
  </si>
  <si>
    <t>IF_0202_1135</t>
  </si>
  <si>
    <t>Energy Recovery LINAC Support Bldg 1002H - Excavation</t>
  </si>
  <si>
    <t>IF_0202_1145</t>
  </si>
  <si>
    <t>Energy Recovery LINAC Support Bldg 1002H - Concrete Pad, Asphalt Pavings and markings</t>
  </si>
  <si>
    <t>IF_0202_1155</t>
  </si>
  <si>
    <t>Energy Recovery LINAC Support Bldg 1002H - Building Structural Work</t>
  </si>
  <si>
    <t>IF_0202_1165</t>
  </si>
  <si>
    <t>Energy Recovery LINAC Support Bldg 1002H - MEP and Interior</t>
  </si>
  <si>
    <t>6.11.02.02.04</t>
  </si>
  <si>
    <t>IF_0202_1195</t>
  </si>
  <si>
    <t>400MeV LINAC Support Bldg 1012D - Concrete Pad, Asphalt Pavings and markings</t>
  </si>
  <si>
    <t>IF_0202_1205</t>
  </si>
  <si>
    <t>400MeV LINAC Support Bldg 1012D - Building Structural Work</t>
  </si>
  <si>
    <t>IF_0202_1215</t>
  </si>
  <si>
    <t>400MeV LINAC Support Bldg 1012D - MEP and Interior</t>
  </si>
  <si>
    <t>IF_0202_1217</t>
  </si>
  <si>
    <t>400MeV LINAC Support Bldg 1012D - Tunnel Modifications</t>
  </si>
  <si>
    <t>6.11.02.03.01</t>
  </si>
  <si>
    <t>IF_0203_1020</t>
  </si>
  <si>
    <t>Cryogenic 1002I - Concrete Pad, Asphalt Pavings and markings</t>
  </si>
  <si>
    <t>IF_0203_1040</t>
  </si>
  <si>
    <t>Cryogenic 1002I - Building Structural Work</t>
  </si>
  <si>
    <t>IF_0203_1060</t>
  </si>
  <si>
    <t>Cryogenic 1002I - MEP and Interior</t>
  </si>
  <si>
    <t>6.11.02.03.02</t>
  </si>
  <si>
    <t>IF_0203_1100</t>
  </si>
  <si>
    <t>Cryogenic 1006 - Concrete Pad, Asphalt Pavings and markings</t>
  </si>
  <si>
    <t>IF_0203_1120</t>
  </si>
  <si>
    <t>Cryogenic 1006 - Building Structural Work</t>
  </si>
  <si>
    <t>IF_0203_1140</t>
  </si>
  <si>
    <t>Cryogenic 1006  - MEP and Interior</t>
  </si>
  <si>
    <t>6.11.02.03.03</t>
  </si>
  <si>
    <t>IF_0203_1180</t>
  </si>
  <si>
    <t>Cryogenic 1010E – Concrete Pad, Asphalt Pavings and markings</t>
  </si>
  <si>
    <t>IF_0203_1200</t>
  </si>
  <si>
    <t>Cryogenic 1010E – Building Structural Work</t>
  </si>
  <si>
    <t>IF_0203_1220</t>
  </si>
  <si>
    <t>Cryogenic 1010E – MEP and Interior</t>
  </si>
  <si>
    <t>6.11.02.04.03</t>
  </si>
  <si>
    <t>IF_0204_1180</t>
  </si>
  <si>
    <t>1010D - EIC 10 O'Clock DI Pumphouse - Concrete Work/ slab/ Asphal Pavement</t>
  </si>
  <si>
    <t>IF_0204_1200</t>
  </si>
  <si>
    <t>1010D - EIC 10 O'Clock DI Pumphouse - Building Structural Work</t>
  </si>
  <si>
    <t>IF_0204_1220</t>
  </si>
  <si>
    <t>1010D - EIC 10 O'Clock DI Pumphouse - MEP and Interior</t>
  </si>
  <si>
    <t>6.11.02.04.04</t>
  </si>
  <si>
    <t>IF_0204_1240</t>
  </si>
  <si>
    <t>1010C EIC RF Power Amplifier Building - Excavation</t>
  </si>
  <si>
    <t>IF_0204_1260</t>
  </si>
  <si>
    <t>1010C EIC RF Power Amplifier Building - Concrete Work/ slab/ Asphal Pavement</t>
  </si>
  <si>
    <t>IF_0204_1280</t>
  </si>
  <si>
    <t>1010C EIC RF Power Amplifier Building - Building Structural Work</t>
  </si>
  <si>
    <t>IF_0204_1300</t>
  </si>
  <si>
    <t>1010C EIC RF Power Amplifier Building - MEP and Interior</t>
  </si>
  <si>
    <t>6.11.02.05.01</t>
  </si>
  <si>
    <t>IF_0205_1020</t>
  </si>
  <si>
    <t>Alc-01 - Concrete Pad, Asphalt Pavings and markings</t>
  </si>
  <si>
    <t>IF_0205_1040</t>
  </si>
  <si>
    <t>Alc-01 - Building Structural Work</t>
  </si>
  <si>
    <t>IF_0205_1060</t>
  </si>
  <si>
    <t>Alc-01 - MEP and Interior  Systems</t>
  </si>
  <si>
    <t>6.11.02.05.02</t>
  </si>
  <si>
    <t>IF_0205_1100</t>
  </si>
  <si>
    <t>Alc-03 - Concrete Pad, Asphalt Pavings and markings</t>
  </si>
  <si>
    <t>IF_0205_1120</t>
  </si>
  <si>
    <t>Alc-03 - Building Structural Work</t>
  </si>
  <si>
    <t>IF_0205_1140</t>
  </si>
  <si>
    <t>Alc-03 - MEP and Interior  Systems</t>
  </si>
  <si>
    <t>6.11.02.05.03</t>
  </si>
  <si>
    <t>IF_0205_1180</t>
  </si>
  <si>
    <t>Alc-05 - Concrete Pad, Asphalt Pavings and markings</t>
  </si>
  <si>
    <t>IF_0205_1200</t>
  </si>
  <si>
    <t>Alc-05 - Building Structural Work</t>
  </si>
  <si>
    <t>IF_0205_1220</t>
  </si>
  <si>
    <t>Alc-05 - MEP and Interior Systems</t>
  </si>
  <si>
    <t>6.11.02.05.04</t>
  </si>
  <si>
    <t>IF_0205_1260</t>
  </si>
  <si>
    <t>Alc-07 - Concrete Pad, Asphalt Pavings and markings</t>
  </si>
  <si>
    <t>IF_0205_1280</t>
  </si>
  <si>
    <t>Alc-07 - Building Structural Work</t>
  </si>
  <si>
    <t>IF_0205_1300</t>
  </si>
  <si>
    <t>Alc-07 - MEP and Interior  Systems</t>
  </si>
  <si>
    <t>6.11.02.05.05</t>
  </si>
  <si>
    <t>IF_0205_1340</t>
  </si>
  <si>
    <t>Alc-09 - Concrete Pad, Asphalt Pavings and markings</t>
  </si>
  <si>
    <t>IF_0205_1360</t>
  </si>
  <si>
    <t>Alc-09 - Building Structural Work</t>
  </si>
  <si>
    <t>IF_0205_1380</t>
  </si>
  <si>
    <t>Alc-09 - MEP and Interior  Systems</t>
  </si>
  <si>
    <t>6.11.02.06.01</t>
  </si>
  <si>
    <t>IF_0206_1040</t>
  </si>
  <si>
    <t>1004 Kicker - Building Structural Work</t>
  </si>
  <si>
    <t>IF_0206_1060</t>
  </si>
  <si>
    <t>1004 Kicker - MEP and Interior  Systems</t>
  </si>
  <si>
    <t>6.11.02.06.02</t>
  </si>
  <si>
    <t>IF_0206_1100</t>
  </si>
  <si>
    <t>EIC Kicker Power Supply Building - Concrete Pad, Asphalt Pavings and markings</t>
  </si>
  <si>
    <t>IF_0206_1120</t>
  </si>
  <si>
    <t>EIC Kicker Power Supply Building - Building Structural Work</t>
  </si>
  <si>
    <t>IF_0206_1140</t>
  </si>
  <si>
    <t>EIC Kicker Power Supply Building - MEP and Interior  Systems</t>
  </si>
  <si>
    <t>6.11.02.07</t>
  </si>
  <si>
    <t>IF_0207_1000</t>
  </si>
  <si>
    <t>Utility Ports Pipe Ports</t>
  </si>
  <si>
    <t>IF_0207_1020</t>
  </si>
  <si>
    <t>Excavated Penetrations- 1004</t>
  </si>
  <si>
    <t>IF_0207_1040</t>
  </si>
  <si>
    <t>RF Waveguide Penetrations- Duct @ 1010</t>
  </si>
  <si>
    <t>IF_0207_1060</t>
  </si>
  <si>
    <t>Excavated Penetrations-  1012</t>
  </si>
  <si>
    <t>IF_0207_1080</t>
  </si>
  <si>
    <t>RHIC Tunnel HVAC</t>
  </si>
  <si>
    <t>6.11.02.08.01</t>
  </si>
  <si>
    <t>IF_0208_1000</t>
  </si>
  <si>
    <t>Service piping to bldgs, water, sanitary, storm</t>
  </si>
  <si>
    <t>IF_0208_1160</t>
  </si>
  <si>
    <t>Road 1002 - Wearing Course, 3" thick</t>
  </si>
  <si>
    <t>6.06.03.01.01</t>
  </si>
  <si>
    <t>EJ_0305_9100</t>
  </si>
  <si>
    <t>APP00063</t>
  </si>
  <si>
    <t>Drees</t>
  </si>
  <si>
    <t>HR Machine Protection Beam Abort Kicker Electrical Components  - Fabrication</t>
  </si>
  <si>
    <t>Davis</t>
  </si>
  <si>
    <t>EJ_0305_9260</t>
  </si>
  <si>
    <t>APP00206</t>
  </si>
  <si>
    <t>HR Machine Protection Beam Abort Kicker Mechanical Components  - Fabrication</t>
  </si>
  <si>
    <t>6.11.01.02</t>
  </si>
  <si>
    <t>IF_2102_1122</t>
  </si>
  <si>
    <t>APP00034</t>
  </si>
  <si>
    <t>Folz</t>
  </si>
  <si>
    <t>A/E Design - Preliminary Design 30% Review Submittal</t>
  </si>
  <si>
    <t>IF_2102_1124</t>
  </si>
  <si>
    <t>A/E Design - Preliminary Design 60% Review Submittal/Conduct Value Engineering (VE) Study</t>
  </si>
  <si>
    <t>IF_2102_1140</t>
  </si>
  <si>
    <t>A/E Design - Preliminary Design Report Final Including Comments</t>
  </si>
  <si>
    <t>IF_2102_1160</t>
  </si>
  <si>
    <t>A/E Design - Detailed Design Review 30% Submittal</t>
  </si>
  <si>
    <t>IF_2102_1161</t>
  </si>
  <si>
    <t>A/E Design - Direct Award Subcontract Packages for (CD-2/3a approved) Long-Lead Electrical Contracts for Procurement</t>
  </si>
  <si>
    <t>IF_2102_1162</t>
  </si>
  <si>
    <t>A/E Design - Detailed Design Review 60% Submittal</t>
  </si>
  <si>
    <t>IF_2102_1164</t>
  </si>
  <si>
    <t>A/E Design - Detailed Design Review 90% Submittal/Conduct VE Study</t>
  </si>
  <si>
    <t>IF_2102_1166</t>
  </si>
  <si>
    <t>A/E Design - Final Construction Bid Issue</t>
  </si>
  <si>
    <t>IF_2102_1180</t>
  </si>
  <si>
    <t>A/E Design - Conformed Set of Documents (Construction Documents modified to include any addenda)</t>
  </si>
  <si>
    <t>IF_2102_1200</t>
  </si>
  <si>
    <t>A/E Services Contract - Const - FY24</t>
  </si>
  <si>
    <t>IF_2102_1220</t>
  </si>
  <si>
    <t>A/E Services Contract - Const - FY25</t>
  </si>
  <si>
    <t>IF_2102_1240</t>
  </si>
  <si>
    <t>A/E Services Contract - Const - FY26</t>
  </si>
  <si>
    <t>IF_2102_1260</t>
  </si>
  <si>
    <t>A/E Services Contract - Const - FY27</t>
  </si>
  <si>
    <t>IF_2102_1280</t>
  </si>
  <si>
    <t>A/E Services Contract - Const - FY28</t>
  </si>
  <si>
    <t>IF_2102_1300</t>
  </si>
  <si>
    <t>A/E Services Contract - Const - FY29</t>
  </si>
  <si>
    <t>IF_2102_1320</t>
  </si>
  <si>
    <t>A/E Services Contract - Const - FY30</t>
  </si>
  <si>
    <t>IF_2102_1340</t>
  </si>
  <si>
    <t>A/E Services Contract - Const - FY31</t>
  </si>
  <si>
    <t>6.11.01.03</t>
  </si>
  <si>
    <t>IF_0103_1300</t>
  </si>
  <si>
    <t>APP00050</t>
  </si>
  <si>
    <t>C/M Construction Mgt Services Contract - Const - FY24</t>
  </si>
  <si>
    <t>IF_0103_1320</t>
  </si>
  <si>
    <t>C/M Construction Mgt Services Contract - Const - FY25</t>
  </si>
  <si>
    <t>IF_0103_1340</t>
  </si>
  <si>
    <t>C/M Construction Mgt Services Contract - Const - FY26</t>
  </si>
  <si>
    <t>IF_0103_1360</t>
  </si>
  <si>
    <t>C/M Construction Mgt Services Contract - Const - FY27</t>
  </si>
  <si>
    <t>IF_0103_1016</t>
  </si>
  <si>
    <t>APP00105</t>
  </si>
  <si>
    <t>C/M Preconstruction Services Contract- Design - FY23 - FY25</t>
  </si>
  <si>
    <t>6.05.04</t>
  </si>
  <si>
    <t>HR_0500_2080</t>
  </si>
  <si>
    <t>APP00073</t>
  </si>
  <si>
    <t>Gallagher</t>
  </si>
  <si>
    <t>Carbon Coating System Service Bldg 919B - Building Modification SubContract – Pit and service crane</t>
  </si>
  <si>
    <t>Domestic (In-house), then Foreign</t>
  </si>
  <si>
    <t>Would like to do it inhouse but if it won't work, may work with CERN</t>
  </si>
  <si>
    <t>HR_0500_1100</t>
  </si>
  <si>
    <t>APP00128</t>
  </si>
  <si>
    <t>Bellows Upgrade -  Shield inserts - Vendor Fabrication/Leadtime</t>
  </si>
  <si>
    <t>VAT Vaccuum in Germany</t>
  </si>
  <si>
    <t>HR_0500_1110</t>
  </si>
  <si>
    <t>Bellows Upgrade -  BPM Bellows Housing - Vendor Fabrication/Leadtime</t>
  </si>
  <si>
    <t>HR_0500_1460</t>
  </si>
  <si>
    <t>APP00138</t>
  </si>
  <si>
    <t>Beam Tube Sleeves - Vendor Fabrication/Leadtime</t>
  </si>
  <si>
    <t>HR_0500_1810</t>
  </si>
  <si>
    <t>APP00144</t>
  </si>
  <si>
    <t>Carbon Coating System - AC coating system material</t>
  </si>
  <si>
    <t>HR_0500_1980</t>
  </si>
  <si>
    <t>APP00210</t>
  </si>
  <si>
    <t>Carbon Coating System Service Bldg - A/E Design</t>
  </si>
  <si>
    <t>HR_0500_1750</t>
  </si>
  <si>
    <t>APP00245</t>
  </si>
  <si>
    <t>Carbon Coating System - Power Supplies &amp; other equipment</t>
  </si>
  <si>
    <t>Multiple Procurements / foreign procurements with Domestic distributors</t>
  </si>
  <si>
    <t>6.03.04.01.04.03</t>
  </si>
  <si>
    <t>EJ_0401_6960</t>
  </si>
  <si>
    <t>APP00159</t>
  </si>
  <si>
    <t>Gassner</t>
  </si>
  <si>
    <t>Bunch Length Monitors - Construction - Vendor Fabrication including Delivery</t>
  </si>
  <si>
    <t>Layden</t>
  </si>
  <si>
    <t>Possibly Japan</t>
  </si>
  <si>
    <t>6.05.05.02</t>
  </si>
  <si>
    <t>HR_0602_1120</t>
  </si>
  <si>
    <t>APP00160</t>
  </si>
  <si>
    <t>HR TL  Material - Vendor Fabrication including Delivery</t>
  </si>
  <si>
    <t>6.03.02.05.04</t>
  </si>
  <si>
    <t>EJ_0205_8360</t>
  </si>
  <si>
    <t>APP00161</t>
  </si>
  <si>
    <t>RCS SLM s-RAD - Vendor Fabrication including Delivery</t>
  </si>
  <si>
    <t xml:space="preserve">Multiple </t>
  </si>
  <si>
    <t>6.05.05.01</t>
  </si>
  <si>
    <t>HR_0601_1300</t>
  </si>
  <si>
    <t>APP00162</t>
  </si>
  <si>
    <t>BPM Buttons Material - Vendor Fabrication including Delivery</t>
  </si>
  <si>
    <t>6.05.07.06.03</t>
  </si>
  <si>
    <t>HR_0807_4080</t>
  </si>
  <si>
    <t>APP00163</t>
  </si>
  <si>
    <t>Profile Monitors Materials - Vendor Fabrication including Delivery</t>
  </si>
  <si>
    <t>6.04.06.01</t>
  </si>
  <si>
    <t>SR_0601_1440</t>
  </si>
  <si>
    <t>APP00164</t>
  </si>
  <si>
    <t>BPM Electronics - V301 module procurement (material) - Vendor Fabrication including Delivery</t>
  </si>
  <si>
    <t>6.05.07.06.05</t>
  </si>
  <si>
    <t>HR_0807_8080</t>
  </si>
  <si>
    <t>APP00165</t>
  </si>
  <si>
    <t>Synchrotron Radiation Monitors Materials - Vendor Fabrication including Delivery</t>
  </si>
  <si>
    <t>6.03.02.05.01</t>
  </si>
  <si>
    <t>EJ_0205_1720</t>
  </si>
  <si>
    <t>APP00166</t>
  </si>
  <si>
    <t>BPM System Misc Materials - Vendor Fabrication including Delivery</t>
  </si>
  <si>
    <t>6.04.06.03</t>
  </si>
  <si>
    <t>SR_0603_1200</t>
  </si>
  <si>
    <t>APP00167</t>
  </si>
  <si>
    <t>Longitudinal Feedback System - Vendor Fabrication including Delivery</t>
  </si>
  <si>
    <t>EJ_0205_1600</t>
  </si>
  <si>
    <t>APP00168</t>
  </si>
  <si>
    <t>BPM Pick-up -Button Procurement - Vendor Fabrication including Delivery</t>
  </si>
  <si>
    <t>6.06.02.05.01</t>
  </si>
  <si>
    <t>IR_0206_1320</t>
  </si>
  <si>
    <t>APP00169</t>
  </si>
  <si>
    <t>IR BPM Pick-up Materials - Vendor Fabrication including Delivery</t>
  </si>
  <si>
    <t>HR_0601_1240</t>
  </si>
  <si>
    <t>APP00170</t>
  </si>
  <si>
    <t>BPM Electronics Construction - Vendor Fabrication including Delivery</t>
  </si>
  <si>
    <t>6.03.03.04.03</t>
  </si>
  <si>
    <t>EJ_0304_7280</t>
  </si>
  <si>
    <t>APP00171</t>
  </si>
  <si>
    <t>Profile Monitors Construction - Vendor Fabrication including Delivery</t>
  </si>
  <si>
    <t>6.03.04.01.04.02</t>
  </si>
  <si>
    <t>EJ_0401_5400</t>
  </si>
  <si>
    <t>APP00172</t>
  </si>
  <si>
    <t>ICT Material - Vendor Fabrication including Delivery</t>
  </si>
  <si>
    <t>France - Bergoz/GMW</t>
  </si>
  <si>
    <t>6.06.03.02.02</t>
  </si>
  <si>
    <t>HR_0603_2960</t>
  </si>
  <si>
    <t>APP00173</t>
  </si>
  <si>
    <t>HSR Collimators Material - Vendor Fabrication including Delivery</t>
  </si>
  <si>
    <t>6.05.07.06.01</t>
  </si>
  <si>
    <t>HR_0807_0080</t>
  </si>
  <si>
    <t>APP00174</t>
  </si>
  <si>
    <t>BPM System Materials - Vendor Fabrication including Delivery</t>
  </si>
  <si>
    <t>HR_0601_1360</t>
  </si>
  <si>
    <t>APP00175</t>
  </si>
  <si>
    <t>BPM Cryo Cables Material - Vendor Fabrication including Delivery</t>
  </si>
  <si>
    <t>6.05.07.06.02</t>
  </si>
  <si>
    <t>HR_0807_2080</t>
  </si>
  <si>
    <t>APP00176</t>
  </si>
  <si>
    <t>Charge and Current Monitors Materials - Vendor Fabrication including Delivery</t>
  </si>
  <si>
    <t>6.04.06.04</t>
  </si>
  <si>
    <t>SR_0604_1360</t>
  </si>
  <si>
    <t>APP00177</t>
  </si>
  <si>
    <t>SR SLM Materials s-Rad - Vendor Fabrication including Delivery</t>
  </si>
  <si>
    <t>SR_0601_1620</t>
  </si>
  <si>
    <t>APP00178</t>
  </si>
  <si>
    <t>BPM Pick-up -Button &amp; Housing Materials - Vendor Fabrication including Delivery</t>
  </si>
  <si>
    <t>SR_0601_1760</t>
  </si>
  <si>
    <t>APP00179</t>
  </si>
  <si>
    <t>BPM System - Signal cables, rack hardware, system connectors - Vendor Fabrication including Delivery</t>
  </si>
  <si>
    <t>EJ_0205_1440</t>
  </si>
  <si>
    <t>APP00180</t>
  </si>
  <si>
    <t>BPM Electronics - V301 module - Vendor Fabrication</t>
  </si>
  <si>
    <t>HR_0601_1210</t>
  </si>
  <si>
    <t>APP00181</t>
  </si>
  <si>
    <t>BPM Electronics - V301 Module - PCB Assy - Non Labor</t>
  </si>
  <si>
    <t>6.04.05.01</t>
  </si>
  <si>
    <t>SR_0401_1170</t>
  </si>
  <si>
    <t>APP00007</t>
  </si>
  <si>
    <t>Hetzel</t>
  </si>
  <si>
    <t>ESR Vacuum Chamber and Bellows - ESR Vacuum Chambers 3/A Procurement</t>
  </si>
  <si>
    <t>FMB Berlin and Saes Rial</t>
  </si>
  <si>
    <t>6.04.05.03</t>
  </si>
  <si>
    <t>SR_0403_1160</t>
  </si>
  <si>
    <t>APP00030</t>
  </si>
  <si>
    <t>ESR Vacuum Pumps - Procurement</t>
  </si>
  <si>
    <t>Gamma</t>
  </si>
  <si>
    <t>6.06.02.04</t>
  </si>
  <si>
    <t>IR_0204_1160</t>
  </si>
  <si>
    <t>APP00041</t>
  </si>
  <si>
    <t>IR Vacuum - Procurement (NonLabor)</t>
  </si>
  <si>
    <t>Brush Welmon (Canada)</t>
  </si>
  <si>
    <t>6.03.02.04.03</t>
  </si>
  <si>
    <t>EJ_0203_3000</t>
  </si>
  <si>
    <t>APP00044</t>
  </si>
  <si>
    <t>RCS Vacuum Pumps - Procurement</t>
  </si>
  <si>
    <t>6.04.05.07</t>
  </si>
  <si>
    <t>SR_0407_1160</t>
  </si>
  <si>
    <t>APP00064</t>
  </si>
  <si>
    <t>Construction of Vacuum Fabrication Facility - Procurement</t>
  </si>
  <si>
    <t>6.03.02.04.01</t>
  </si>
  <si>
    <t>EJ_0203_1220</t>
  </si>
  <si>
    <t>APP00070</t>
  </si>
  <si>
    <t>RCS Vacuum Chambers and Bellows - Procurement</t>
  </si>
  <si>
    <t>6.06.03.02.03</t>
  </si>
  <si>
    <t>IR_0204_1380</t>
  </si>
  <si>
    <t>APP00141</t>
  </si>
  <si>
    <t>Movable ESR Collimators - Procurement Fabrication/leadtime</t>
  </si>
  <si>
    <t>Multiple Smaller Procurements - Built inhouse</t>
  </si>
  <si>
    <t>6.03.03.03</t>
  </si>
  <si>
    <t>EJ_0303_2300</t>
  </si>
  <si>
    <t>APP00148</t>
  </si>
  <si>
    <t>Transfer Lines Vacuum - Hardware Deliveries</t>
  </si>
  <si>
    <t>6.03.02.04.04</t>
  </si>
  <si>
    <t>EJ_0203_1440</t>
  </si>
  <si>
    <t>APP00152</t>
  </si>
  <si>
    <t>RCS Vacuum Monitoring and Controls - Procurement</t>
  </si>
  <si>
    <t>NKS - maufacturing maybe in Mexico</t>
  </si>
  <si>
    <t>6.04.05.05</t>
  </si>
  <si>
    <t>SR_0405_1160</t>
  </si>
  <si>
    <t>APP00158</t>
  </si>
  <si>
    <t>ESR Vacuum Utilities (racks, cooling water) - Procurement</t>
  </si>
  <si>
    <t>6.03.02.04.02</t>
  </si>
  <si>
    <t>EJ_0203_1560</t>
  </si>
  <si>
    <t>APP00200</t>
  </si>
  <si>
    <t>RCS Vacuum Valves - Procurement</t>
  </si>
  <si>
    <t>BAT Switzerland</t>
  </si>
  <si>
    <t>6.04.05.04</t>
  </si>
  <si>
    <t>SR_0404_1160</t>
  </si>
  <si>
    <t>APP00232</t>
  </si>
  <si>
    <t>ESR Vacuum Monitoring &amp; Control - Procurement</t>
  </si>
  <si>
    <t>6.04.05.02</t>
  </si>
  <si>
    <t>SR_0402_1160</t>
  </si>
  <si>
    <t>APP00234</t>
  </si>
  <si>
    <t>ESR Vacuum Valves - Procurement</t>
  </si>
  <si>
    <t>6.07.04.03.04</t>
  </si>
  <si>
    <t>AS_0502_4020</t>
  </si>
  <si>
    <t>APP00297</t>
  </si>
  <si>
    <t>ESR - Installation of vacuum system - Non Labor</t>
  </si>
  <si>
    <t>Golnar</t>
  </si>
  <si>
    <t>6.07.04.02.04</t>
  </si>
  <si>
    <t>AS_0501_4040</t>
  </si>
  <si>
    <t>APP00424</t>
  </si>
  <si>
    <t>Injection System - RCS Vacuum System - Non Labor</t>
  </si>
  <si>
    <t>SR_0401_1265</t>
  </si>
  <si>
    <t>APP00498</t>
  </si>
  <si>
    <t>ESR Vacuum Chamber and Bellows - Bellows, Chamber Stands, etc. Procurement</t>
  </si>
  <si>
    <t>6.07.02.12</t>
  </si>
  <si>
    <t>AS_0302_1180</t>
  </si>
  <si>
    <t>APP00075</t>
  </si>
  <si>
    <t>Jamilkowski</t>
  </si>
  <si>
    <t>Network Systems - Non Labor</t>
  </si>
  <si>
    <t>AS_0305_2220</t>
  </si>
  <si>
    <t>APP00125</t>
  </si>
  <si>
    <t>Instrumentation General Support - Non Labor</t>
  </si>
  <si>
    <t>?</t>
  </si>
  <si>
    <t>AS_0302_1480</t>
  </si>
  <si>
    <t>APP00140</t>
  </si>
  <si>
    <t>Beam Sync System - Non Labor</t>
  </si>
  <si>
    <t>Multiple smaller procurements possible</t>
  </si>
  <si>
    <t>AS_0307_1920</t>
  </si>
  <si>
    <t>APP00151</t>
  </si>
  <si>
    <t>Instrumentation BPM Support - Non Labor</t>
  </si>
  <si>
    <t>possible multiple procurements</t>
  </si>
  <si>
    <t>AS_0307_1640</t>
  </si>
  <si>
    <t>APP00154</t>
  </si>
  <si>
    <t>Power Supply Controls - Non Labor</t>
  </si>
  <si>
    <t>AS_0302_3290</t>
  </si>
  <si>
    <t>APP00211</t>
  </si>
  <si>
    <t>Data Management - Large High Availability Storage system (500TB+) - Delivery &amp; Acceptance</t>
  </si>
  <si>
    <t>domestic</t>
  </si>
  <si>
    <t>AS_0302_3350</t>
  </si>
  <si>
    <t>Data Management - Additional High Availability Storage Systems  - Delivery &amp; Acceptance</t>
  </si>
  <si>
    <t>AS_0307_1540</t>
  </si>
  <si>
    <t>APP00233</t>
  </si>
  <si>
    <t>General Data I/O - Non Labor</t>
  </si>
  <si>
    <t>May go away</t>
  </si>
  <si>
    <t>6.10.14.03</t>
  </si>
  <si>
    <t>IR_0303_1010</t>
  </si>
  <si>
    <t>APP00006</t>
  </si>
  <si>
    <t>Jaroslav</t>
  </si>
  <si>
    <t>Luminosity Monitor - Procurement and Fabrication - Materials In-Kind</t>
  </si>
  <si>
    <t>6.10.06.01</t>
  </si>
  <si>
    <t>DE_0600_3081</t>
  </si>
  <si>
    <t>APP00024</t>
  </si>
  <si>
    <t>Kiselev</t>
  </si>
  <si>
    <t>Backward Hadronic Calorimetry - Fabrication In-Kind</t>
  </si>
  <si>
    <t>6.10.06.02</t>
  </si>
  <si>
    <t>DE_0600_3250</t>
  </si>
  <si>
    <t>APP00025</t>
  </si>
  <si>
    <t>Barrel Hadronic Calorimetry - Fabrication In-Kind</t>
  </si>
  <si>
    <t>DE_0600_3230</t>
  </si>
  <si>
    <t>APP00038</t>
  </si>
  <si>
    <t>Barrel Hadronic Calorimetry - Long Lead Procurement - Steel for Hadronic Calorimeters</t>
  </si>
  <si>
    <t>DE_0600_3074</t>
  </si>
  <si>
    <t>APP00092</t>
  </si>
  <si>
    <t>Backward Hadronic Calorimetry - Long Lead Procurement - Scintillators</t>
  </si>
  <si>
    <t>6.10.06.03</t>
  </si>
  <si>
    <t>DE_0600_3390</t>
  </si>
  <si>
    <t>Forward Hadronic Calorimetry - Fabrication In-Kind</t>
  </si>
  <si>
    <t>6.05.03.01</t>
  </si>
  <si>
    <t>HR_0401_1080</t>
  </si>
  <si>
    <t>APP00119</t>
  </si>
  <si>
    <t>Mahler</t>
  </si>
  <si>
    <t>AtR to Blue Transfer Line Magnet - Material and construction of the magnets</t>
  </si>
  <si>
    <t>6.06.02.01.05</t>
  </si>
  <si>
    <t>IR_0215_1040</t>
  </si>
  <si>
    <t>APP00108</t>
  </si>
  <si>
    <t>Micolon</t>
  </si>
  <si>
    <t>IR Magnet Cryostats, Forward Fabrication</t>
  </si>
  <si>
    <t>IR_0215_1220</t>
  </si>
  <si>
    <t>APP00209</t>
  </si>
  <si>
    <t>B0pF Cryostat Fabrication</t>
  </si>
  <si>
    <t>IR_0215_1280</t>
  </si>
  <si>
    <t>APP00261</t>
  </si>
  <si>
    <t>IR Magnet Cryostats, Rear Fabrication</t>
  </si>
  <si>
    <t>6.05.07.08</t>
  </si>
  <si>
    <t>HR_0810_3003</t>
  </si>
  <si>
    <t>APP00472</t>
  </si>
  <si>
    <t>Procurement phase - SHC Chicane Feedbox</t>
  </si>
  <si>
    <t>6.11.03.01</t>
  </si>
  <si>
    <t>IF_0301_1520</t>
  </si>
  <si>
    <t>APP00008</t>
  </si>
  <si>
    <t>Nehring</t>
  </si>
  <si>
    <t>69kV /20 MVA Transformer x 2 - Fabrication</t>
  </si>
  <si>
    <t>IF_0301_1616</t>
  </si>
  <si>
    <t>15 kV switchgear - Fabrication</t>
  </si>
  <si>
    <t>IF_0301_1627</t>
  </si>
  <si>
    <t>Main House Construction - PreFab Metal Building - Construction</t>
  </si>
  <si>
    <t>IF_0301_1628</t>
  </si>
  <si>
    <t>Main House Construction - Low Voltage Underground Ductbank - Construction</t>
  </si>
  <si>
    <t>IF_0301_1629</t>
  </si>
  <si>
    <t>Main House Construction - Hight Voltage Underground Ductbank - Construction</t>
  </si>
  <si>
    <t>IF_0301_1630</t>
  </si>
  <si>
    <t>Main House Construction - Civil Work (road, sanitory, drainage, fencing etc)  - Construction</t>
  </si>
  <si>
    <t>IF_0301_2005</t>
  </si>
  <si>
    <t>Substation Installation Contract - Contract Cost (Rolled up Cost)</t>
  </si>
  <si>
    <t>IF_0301_2015</t>
  </si>
  <si>
    <t>Substation Installation Contract - 15kV Feeder to existing Pole lines</t>
  </si>
  <si>
    <t>6.11.03.02</t>
  </si>
  <si>
    <t>IF_0302_1085</t>
  </si>
  <si>
    <t>Overhead 13.8 kV lines - switch stations and duct bank- Mobilization and training</t>
  </si>
  <si>
    <t>IF_0302_1102</t>
  </si>
  <si>
    <t>Overhead 13.8 kV lines - switch stations and duct bank- Construction - OH lines 9  (Material &amp; Labor)</t>
  </si>
  <si>
    <t>IF_0302_1104</t>
  </si>
  <si>
    <t>Overhead 13.8 kV lines - switch stations and duct bank- Construction - OH lines 10  (Material &amp; Labor)</t>
  </si>
  <si>
    <t>IF_0302_1105</t>
  </si>
  <si>
    <t>Overhead 13.8 kV lines - switch stations and duct bank- Construction - OH lines 8A  (Material &amp; Labor)</t>
  </si>
  <si>
    <t>6.11.03.07</t>
  </si>
  <si>
    <t>IF_0307_1080</t>
  </si>
  <si>
    <t>APP00026</t>
  </si>
  <si>
    <t>138kW Substation - PSEG Design Contract</t>
  </si>
  <si>
    <t>Labs Ops funds. PSEG will support - Per Tom, should disappear</t>
  </si>
  <si>
    <t>IF_0307_1200</t>
  </si>
  <si>
    <t>138kW Substation - PSEG Design Title 1</t>
  </si>
  <si>
    <t>IF_0307_1240</t>
  </si>
  <si>
    <t>138kW Substation - PSEG Design Title 2</t>
  </si>
  <si>
    <t>IF_0307_1320</t>
  </si>
  <si>
    <t>138kW Substation - PSEG Construction</t>
  </si>
  <si>
    <t>6.11.03.05</t>
  </si>
  <si>
    <t>IF_0305_1060</t>
  </si>
  <si>
    <t>APP00074</t>
  </si>
  <si>
    <t>400 kW &amp; 150 kW Standby Gen &amp; 3-Position Auto Trans Switches - Vendor fabrication</t>
  </si>
  <si>
    <t>IF_0305_1380</t>
  </si>
  <si>
    <t>30 kVA 480V UPS - Vendor fabrication</t>
  </si>
  <si>
    <t>IF_0305_1820</t>
  </si>
  <si>
    <t>Standby/Emergency power - 400kW Diesel Generator - Vendor fabrication - 1002I</t>
  </si>
  <si>
    <t>IF_0305_1830</t>
  </si>
  <si>
    <t>Standby/Emergency power - 400kW Diesel Generator - Vendor fabrication - 1006G</t>
  </si>
  <si>
    <t>IF_0305_1840</t>
  </si>
  <si>
    <t>Standby/Emergency power - 400kW Diesel Generator - Vendor fabrication - 1010E</t>
  </si>
  <si>
    <t>6.11.03.04</t>
  </si>
  <si>
    <t>AIF_0304_1460</t>
  </si>
  <si>
    <t>APP00078</t>
  </si>
  <si>
    <t>Load centers 480V Switchboards &amp; Panelborards - Vendor fabrication</t>
  </si>
  <si>
    <t>AIF_0304_1640</t>
  </si>
  <si>
    <t>Load centers 480V Switchboards &amp; Panelborards - Installation</t>
  </si>
  <si>
    <t>AIF_0304_1820</t>
  </si>
  <si>
    <t>Load centers 480V - Vendor fabrication</t>
  </si>
  <si>
    <t>AIF_0304_2100</t>
  </si>
  <si>
    <t>Load centers 120/208V panelboard with Transformer - Vendor fabrication</t>
  </si>
  <si>
    <t>AIF_0304_2240</t>
  </si>
  <si>
    <t>Load centers 120/208V panelboard with Transformer - Installation - Installation</t>
  </si>
  <si>
    <t>6.11.03.03</t>
  </si>
  <si>
    <t>AIF_0303_1104</t>
  </si>
  <si>
    <t>APP00091</t>
  </si>
  <si>
    <t>Unit Substation Xfmrs for Buildings - Fabrication - Bldg 1001A - 1500kVA</t>
  </si>
  <si>
    <t>AIF_0303_1105</t>
  </si>
  <si>
    <t>Unit Substation Xfmrs for Buildings - Fabrication - Bldg 1002H - 2500kVA</t>
  </si>
  <si>
    <t>AIF_0303_1106</t>
  </si>
  <si>
    <t>Unit Substation Xfmrs for Buildings - Fabrication - Bldg 1002I Cryo [1002E] - 1500kVA</t>
  </si>
  <si>
    <t>AIF_0303_1107</t>
  </si>
  <si>
    <t>Unit Substation Xfmrs for Buildings - Fabrication - Bldg 1002I Cryo [1002F] - 1500kVA</t>
  </si>
  <si>
    <t>AIF_0303_1108</t>
  </si>
  <si>
    <t>Unit Substation Xfmrs for Buildings - Fabrication - Bldg 1003A - 1500kVA</t>
  </si>
  <si>
    <t>AIF_0303_1109</t>
  </si>
  <si>
    <t>Unit Substation Xfmrs for Buildings - Fabrication - Bldg 1004G - 1500kVA</t>
  </si>
  <si>
    <t>AIF_0303_1110</t>
  </si>
  <si>
    <t>Unit Substation Xfmrs for Buildings - Fabrication - Bldg 1005T - 2500kVA</t>
  </si>
  <si>
    <t>AIF_0303_1113</t>
  </si>
  <si>
    <t>Unit Substation Xfmrs for Buildings - Fabrication - Bldg 1007 [1007A] - 1500kVA</t>
  </si>
  <si>
    <t>AIF_0303_1114</t>
  </si>
  <si>
    <t>Unit Substation Xfmrs for Buildings - Fabrication - Bldg 1007 [1007B] - 1500kVA</t>
  </si>
  <si>
    <t>AIF_0303_1115</t>
  </si>
  <si>
    <t>Unit Substation Xfmrs for Buildings - Fabrication - Bldg 1009A - 1500kVA</t>
  </si>
  <si>
    <t>AIF_0303_1116</t>
  </si>
  <si>
    <t>Unit Substation Xfmrs for Buildings - Fabrication - Bldg 1010D [1010B] - 1500kVA</t>
  </si>
  <si>
    <t>AIF_0303_1117</t>
  </si>
  <si>
    <t>Unit Substation Xfmrs for Buildings - Fabrication - Bldg 1010D [T 1010C] - 1500kVA</t>
  </si>
  <si>
    <t>AIF_0303_1118</t>
  </si>
  <si>
    <t>Unit Substation Xfmrs for Buildings - Fabrication - Bldg 1010E Cryo [1010D] - 1500kVA</t>
  </si>
  <si>
    <t>AIF_0303_1119</t>
  </si>
  <si>
    <t>Unit Substation Xfmrs for Buildings - Fabrication - Bldg 1010E Cryo [1010E] - 1500kVA</t>
  </si>
  <si>
    <t>AIF_0303_1120</t>
  </si>
  <si>
    <t>Unit Substation Xfmrs for Buildings - Fabrication - Bldg 1011A - 1500kVA</t>
  </si>
  <si>
    <t>AIF_0303_1121</t>
  </si>
  <si>
    <t>Unit Substation Xfmrs for Buildings - Fabrication - Bldg 1012A - 1500kVA</t>
  </si>
  <si>
    <t>AIF_0303_1122</t>
  </si>
  <si>
    <t>Unit Substation Xfmrs for Buildings - Fabrication - Bldg 1012D - 2500kVA</t>
  </si>
  <si>
    <t>AIF_0303_1185</t>
  </si>
  <si>
    <t>Unit Substation Xfmrs for Large PS - Fabrication - Bldg 1007A [1007C] - 2000kVA</t>
  </si>
  <si>
    <t>AIF_0303_1200</t>
  </si>
  <si>
    <t>Unit Substation Xfmrs for Large PS - Fabrication - Bldg 1007A [1007D] - 2000kVA</t>
  </si>
  <si>
    <t>AIF_0303_1248</t>
  </si>
  <si>
    <t>Unit Substation RF Amplifier Xfmrs - Fabrication - Bldg 1010C [1010RF-1] - 3000kVA</t>
  </si>
  <si>
    <t>AIF_0303_1249</t>
  </si>
  <si>
    <t>Unit Substation RF Amplifier Xfmrs - Fabrication - Bldg 1010C [1010RF-2] - 3000kVA</t>
  </si>
  <si>
    <t>AIF_0303_1250</t>
  </si>
  <si>
    <t>Unit Substation RF Amplifier Xfmrs - Fabrication - Bldg 1010C [1010RF-3] - 3000kVA</t>
  </si>
  <si>
    <t>AIF_0303_1251</t>
  </si>
  <si>
    <t>Unit Substation RF Amplifier Xfmrs - Fabrication - Bldg 1010C [1010RF-4] - 3000kVA</t>
  </si>
  <si>
    <t>AIF_0303_1252</t>
  </si>
  <si>
    <t>Unit Substation RF Amplifier Xfmrs - Fabrication - Bldg 1010C [1010RF-5] - 3000kVA</t>
  </si>
  <si>
    <t>AIF_0303_1253</t>
  </si>
  <si>
    <t>Unit Substation RF Amplifier Xfmrs - Fabrication - Bldg 1010C [1010RF-6] - 3000kVA</t>
  </si>
  <si>
    <t>AIF_0303_1254</t>
  </si>
  <si>
    <t>Unit Substation RF Amplifier Xfmrs - Fabrication - Bldg 1010C [1010RF-7] - 3000kVA</t>
  </si>
  <si>
    <t>AIF_0303_1255</t>
  </si>
  <si>
    <t>Unit Substation RF Amplifier Xfmrs - Fabrication - Bldg 1010C [1010RF-8] - 3000kVA</t>
  </si>
  <si>
    <t>AIF_0303_1256</t>
  </si>
  <si>
    <t>Unit Substation RF Amplifier Xfmrs - Fabrication - Bldg 1010C [1010RF-9] - 3000kVA</t>
  </si>
  <si>
    <t>AIF_0303_1257</t>
  </si>
  <si>
    <t>Unit Substation RF Amplifier Xfmrs - Fabrication - Bldg 1010C [1010RF-10] - 3000kVA</t>
  </si>
  <si>
    <t>AIF_0303_1258</t>
  </si>
  <si>
    <t>Unit Substation RF Amplifier Xfmrs - Fabrication - Bldg 1010C [1010RF-11] - 3000kVA</t>
  </si>
  <si>
    <t>AIF_0303_1420</t>
  </si>
  <si>
    <t>UNIT Substations w/Distribution Installation - xfmrs for Buildings</t>
  </si>
  <si>
    <t>AIF_0303_1440</t>
  </si>
  <si>
    <t>UNIT Substations w/Distribution Installation - Xfmrs for Large PS</t>
  </si>
  <si>
    <t>AIF_0303_1442</t>
  </si>
  <si>
    <t>UNIT Substations w/Distribution Installation - RF Amplifier Xfmrs</t>
  </si>
  <si>
    <t>AIF_0304_1120</t>
  </si>
  <si>
    <t>APP00130</t>
  </si>
  <si>
    <t>Variable Frequency Drives - Vendor fabrication</t>
  </si>
  <si>
    <t>6.11.03.06</t>
  </si>
  <si>
    <t>IF_0306_1080</t>
  </si>
  <si>
    <t>APP00134</t>
  </si>
  <si>
    <t>Cable Trays Tunnel Material - Non Labor</t>
  </si>
  <si>
    <t>IF_0306_1370</t>
  </si>
  <si>
    <t>Cable Trays Installation - Tunnel - Non Labor</t>
  </si>
  <si>
    <t>IF_0306_1440</t>
  </si>
  <si>
    <t>Cable Trays  - Service Buildings - Non Labor</t>
  </si>
  <si>
    <t>AIF_0304_1260</t>
  </si>
  <si>
    <t>APP00201</t>
  </si>
  <si>
    <t>Variable Frequency Drives - Installation - Installation</t>
  </si>
  <si>
    <t>IF_0305_1420</t>
  </si>
  <si>
    <t>APP00250</t>
  </si>
  <si>
    <t>30 kVA 480V UPS and Bypass Switch Installation - Installation</t>
  </si>
  <si>
    <t>6.09.03.03.01</t>
  </si>
  <si>
    <t>E09_14450</t>
  </si>
  <si>
    <t>Orfin</t>
  </si>
  <si>
    <t>RCV: 4K Distribution B&amp;P - Procurement IR02 Distribution</t>
  </si>
  <si>
    <t>E09_14470</t>
  </si>
  <si>
    <t>RCV: 4K Distribution B&amp;P - Procurement IR04 Distribution</t>
  </si>
  <si>
    <t>E09_14490</t>
  </si>
  <si>
    <t>RCV: 4K Distribution B&amp;P - Procurement IR06  Detector Solenoid Distribution</t>
  </si>
  <si>
    <t>E09_14510</t>
  </si>
  <si>
    <t>RCV: 4K Distribution B&amp;P - Procurement IR06  IR magnets Tie-in &amp; Crab Bypasses Distribution</t>
  </si>
  <si>
    <t>E09_14530</t>
  </si>
  <si>
    <t>RCV: 4K Distribution B&amp;P - Procurement IR06 eSR Solenoids IR06 Distribution</t>
  </si>
  <si>
    <t>E09_14550</t>
  </si>
  <si>
    <t>RCV: 4K Distribution B&amp;P - Procurement IR06 Blue Injection Distribution</t>
  </si>
  <si>
    <t>E09_14570</t>
  </si>
  <si>
    <t>RCV: 4K Distribution B&amp;P - Procurement IR10  Distribution</t>
  </si>
  <si>
    <t>E09_14590</t>
  </si>
  <si>
    <t>RCV: 4K Distribution B&amp;P - Procurement IR12 Distribution</t>
  </si>
  <si>
    <t>6.09.03.04</t>
  </si>
  <si>
    <t>E09_15110</t>
  </si>
  <si>
    <t>APP00304</t>
  </si>
  <si>
    <t>RCV: Cryo Installation - IR04</t>
  </si>
  <si>
    <t>E09_15170</t>
  </si>
  <si>
    <t>APP00305</t>
  </si>
  <si>
    <t>RCV: Cryo Installation - IR12</t>
  </si>
  <si>
    <t>E09_15090</t>
  </si>
  <si>
    <t>APP00306</t>
  </si>
  <si>
    <t>RCV: Cryo Installation - IR02</t>
  </si>
  <si>
    <t>E09_15150</t>
  </si>
  <si>
    <t>APP00307</t>
  </si>
  <si>
    <t>RCV: Cryo Installation - IR10</t>
  </si>
  <si>
    <t>E09_15130</t>
  </si>
  <si>
    <t>APP00514</t>
  </si>
  <si>
    <t>RCV: Cryo Installation - IR06</t>
  </si>
  <si>
    <t>6.11.04.01</t>
  </si>
  <si>
    <t>IF_0401_1520</t>
  </si>
  <si>
    <t>Ram</t>
  </si>
  <si>
    <t>CHW - 1002H - System Installations</t>
  </si>
  <si>
    <t>IF_0401_1546</t>
  </si>
  <si>
    <t>CHW - 1012C - System Installations</t>
  </si>
  <si>
    <t>IF_0401_1600</t>
  </si>
  <si>
    <t>CHW - 1007A - System Installations</t>
  </si>
  <si>
    <t>6.11.04.02</t>
  </si>
  <si>
    <t>IF_0402_1360</t>
  </si>
  <si>
    <t>DI - 2 O'clock Bldg - Material Supply and Fabrication (Equipment and Piping)</t>
  </si>
  <si>
    <t>IF_0402_1400</t>
  </si>
  <si>
    <t>DI - 2 O'clock Bldg - System Installation (Mobilization/ Safety Orientation/ Traning)</t>
  </si>
  <si>
    <t>IF_0402_1440</t>
  </si>
  <si>
    <t>2 O'clock Bldg - Cryo SCW - Material Fabrication</t>
  </si>
  <si>
    <t>IF_0402_1480</t>
  </si>
  <si>
    <t>2 O'clock Bldg - Cryo SCW - System Installation</t>
  </si>
  <si>
    <t>IF_0402_1520</t>
  </si>
  <si>
    <t>DI - 10 O'clock Bldg - Material Supply and Fabrication (Equipment and Piping)</t>
  </si>
  <si>
    <t>IF_0402_1560</t>
  </si>
  <si>
    <t>DI - 10 O'clock Bldg - System Installation</t>
  </si>
  <si>
    <t>IF_0402_1600</t>
  </si>
  <si>
    <t>10 O'clock Bldg - Cryo SCW - Material Fabrication</t>
  </si>
  <si>
    <t>IF_0402_1680</t>
  </si>
  <si>
    <t>DI - 4 O'clock Bldg - Material Supply and Fabrication (Equipment and Piping)</t>
  </si>
  <si>
    <t>IF_0402_1720</t>
  </si>
  <si>
    <t>DI - 4 O'clock Bldg - System Installation - Installations</t>
  </si>
  <si>
    <t>IF_0402_1760</t>
  </si>
  <si>
    <t>DI - 6 O'clock Bldg - Material Supply and Fabrication (Equipment and Piping)</t>
  </si>
  <si>
    <t>IF_0402_1800</t>
  </si>
  <si>
    <t>DI - 6 O'clock Bldg - System Installation - Installations</t>
  </si>
  <si>
    <t>IF_0402_1840</t>
  </si>
  <si>
    <t>6 O'clock Bldg - Cryo SCW - Material Fabrication</t>
  </si>
  <si>
    <t>IF_0402_1920</t>
  </si>
  <si>
    <t>DI - 12 O'clock Bldg - Material Supply and Fabrication (Equipment and Piping)</t>
  </si>
  <si>
    <t>IF_0402_1960</t>
  </si>
  <si>
    <t>DI - 12 O'clock Bldg - System Installation - Installations</t>
  </si>
  <si>
    <t>IF_0402_2140</t>
  </si>
  <si>
    <t>RHIC Tunnel DI Pipe - Pipe manufacturing [8" Vacuum/ Magnet/ PS]</t>
  </si>
  <si>
    <t>IF_0402_2260</t>
  </si>
  <si>
    <t>RHIC Tunnel DI Pipe - Supply and Installation Arc 1/2</t>
  </si>
  <si>
    <t>IF_0402_2280</t>
  </si>
  <si>
    <t>RHIC Tunnel DI Pipe - Supply and Installation Arc 3/4</t>
  </si>
  <si>
    <t>IF_0402_2300</t>
  </si>
  <si>
    <t>RHIC Tunnel DI Pipe - Supply and Installation Arc 9/10</t>
  </si>
  <si>
    <t>IF_0402_2320</t>
  </si>
  <si>
    <t>RHIC Tunnel DI Pipe - Supply and Installation Arc 7/8</t>
  </si>
  <si>
    <t>IF_0402_2340</t>
  </si>
  <si>
    <t>RHIC Tunnel DI Pipe - Supply and Installation Arc 5/6</t>
  </si>
  <si>
    <t>IF_0402_2360</t>
  </si>
  <si>
    <t>RHIC Tunnel DI Pipe - Supply and Installation Arc 11/12</t>
  </si>
  <si>
    <t>6.11.04.03</t>
  </si>
  <si>
    <t>IF_0403_1260</t>
  </si>
  <si>
    <t>TWR - 2 O'clock Bldg - Component manufacturing (Equipment and pump)</t>
  </si>
  <si>
    <t>IF_0403_1300</t>
  </si>
  <si>
    <t>TWR - 2 O'clock Bldg - System Installations</t>
  </si>
  <si>
    <t>IF_0403_1322</t>
  </si>
  <si>
    <t>TWR - 10 O'clock Bldg - Material Supply and Fabrication (Equipment and Piping)</t>
  </si>
  <si>
    <t>IF_0403_1326</t>
  </si>
  <si>
    <t>TWR - 10 O'clock Bldg - System Installations</t>
  </si>
  <si>
    <t>IF_0403_1420</t>
  </si>
  <si>
    <t>TWR - 4 O'clock Bldg - Component manufacturing (Equipment and pump)</t>
  </si>
  <si>
    <t>IF_0403_1460</t>
  </si>
  <si>
    <t>TWR - 4 O'clock Bldg - System Installations</t>
  </si>
  <si>
    <t>IF_0403_1520</t>
  </si>
  <si>
    <t>TWR - 6 O'clock Bldg - Component manufacturing (Equipment and pump)</t>
  </si>
  <si>
    <t>IF_0403_1560</t>
  </si>
  <si>
    <t>TWR - 6 O'clock Bldg - System Installations</t>
  </si>
  <si>
    <t>IF_0403_1660</t>
  </si>
  <si>
    <t>TWR - 12 O'clock Bldg - System Installations</t>
  </si>
  <si>
    <t>6.03.03.05.05</t>
  </si>
  <si>
    <t>EJ_0305_5080</t>
  </si>
  <si>
    <t>APP00182</t>
  </si>
  <si>
    <t>Ranjbar</t>
  </si>
  <si>
    <t>RCS Extraction Septum - Electrical Components - Fabrication</t>
  </si>
  <si>
    <t>EJ_0305_5220</t>
  </si>
  <si>
    <t>APP00183</t>
  </si>
  <si>
    <t>RCS Extraction Septum - Mechanical Components - Fabrication</t>
  </si>
  <si>
    <t>6.03.03.05.01</t>
  </si>
  <si>
    <t>EJ_0305_1080</t>
  </si>
  <si>
    <t>APP00184</t>
  </si>
  <si>
    <t>RCS Injection Pulsed Bump - Kicker Magnet - Fabrication</t>
  </si>
  <si>
    <t>6.03.03.05.04</t>
  </si>
  <si>
    <t>EJ_0305_4100</t>
  </si>
  <si>
    <t>APP00191</t>
  </si>
  <si>
    <t>RCS Extraction Kicker - Fabrication</t>
  </si>
  <si>
    <t>6.03.03.05.06</t>
  </si>
  <si>
    <t>EJ_0305_6100</t>
  </si>
  <si>
    <t>APP00192</t>
  </si>
  <si>
    <t>ESR Stripline Kickers Electrical Components  - Fabrication</t>
  </si>
  <si>
    <t>EJ_0305_6260</t>
  </si>
  <si>
    <t>APP00193</t>
  </si>
  <si>
    <t>ESR Stripline Kickers Mechanical Components  - Fabrication</t>
  </si>
  <si>
    <t>6.03.03.05.08</t>
  </si>
  <si>
    <t>EJ_0305_8100</t>
  </si>
  <si>
    <t>APP00196</t>
  </si>
  <si>
    <t>ESR Injection ESR Injection Electrical Components  - Fabrication</t>
  </si>
  <si>
    <t>EJ_0305_8260</t>
  </si>
  <si>
    <t>APP00197</t>
  </si>
  <si>
    <t>ESR Injection ESR Injection Mechanical Components  - Fabrication</t>
  </si>
  <si>
    <t>6.05.03.04</t>
  </si>
  <si>
    <t>HR_0404_2000</t>
  </si>
  <si>
    <t>APP00072</t>
  </si>
  <si>
    <t>Sandberg</t>
  </si>
  <si>
    <t>Construction - Material</t>
  </si>
  <si>
    <t>HR_0404_1820</t>
  </si>
  <si>
    <t>APP00109</t>
  </si>
  <si>
    <t>Long Lead Procurement - Material</t>
  </si>
  <si>
    <t>6.10.10</t>
  </si>
  <si>
    <t>DE_1000_3150</t>
  </si>
  <si>
    <t>APP00017</t>
  </si>
  <si>
    <t>Sharma</t>
  </si>
  <si>
    <t>Detector Infrastructure: Fabrication - Material</t>
  </si>
  <si>
    <t>DE_1000_3160</t>
  </si>
  <si>
    <t>Detector Infrastructure: Fabrication - Material In-Kind</t>
  </si>
  <si>
    <t>6.03.04.01.03</t>
  </si>
  <si>
    <t>EJ_0401_2270</t>
  </si>
  <si>
    <t>APP00001</t>
  </si>
  <si>
    <t>Skaritka</t>
  </si>
  <si>
    <t>400 MeV Linac - Vendor Design</t>
  </si>
  <si>
    <t>EJ_0401_2280</t>
  </si>
  <si>
    <t>400 MeV Linac - Fabrication and ship</t>
  </si>
  <si>
    <t>6.03.04.01.02</t>
  </si>
  <si>
    <t>EJ_0401_1150</t>
  </si>
  <si>
    <t>APP00104</t>
  </si>
  <si>
    <t>XHV pumping systems - Fabrication and ship</t>
  </si>
  <si>
    <t>EJ_0401_1680</t>
  </si>
  <si>
    <t>APP00131</t>
  </si>
  <si>
    <t>Transport line vacuum cmpts. - material</t>
  </si>
  <si>
    <t>Foreign and Domestic</t>
  </si>
  <si>
    <t>Mix of Procurements</t>
  </si>
  <si>
    <t>EJ_0401_1500</t>
  </si>
  <si>
    <t>APP00136</t>
  </si>
  <si>
    <t>XHV ion pumps diag. line - material</t>
  </si>
  <si>
    <t>Domestic company may purchase from foreign supplier</t>
  </si>
  <si>
    <t>EJ_0401_1040</t>
  </si>
  <si>
    <t>APP00207</t>
  </si>
  <si>
    <t>XHV Diag.Cal.&amp; purging systems - Fabrication and ship</t>
  </si>
  <si>
    <t>EJ_0401_1380</t>
  </si>
  <si>
    <t>APP00214</t>
  </si>
  <si>
    <t>Valves and beam line isolation - material</t>
  </si>
  <si>
    <t>EJ_0401_2580</t>
  </si>
  <si>
    <t>APP00230</t>
  </si>
  <si>
    <t>Installation Support - Material</t>
  </si>
  <si>
    <t>6.03.04.02.03</t>
  </si>
  <si>
    <t>EJ_0402_4060</t>
  </si>
  <si>
    <t>APP00235</t>
  </si>
  <si>
    <t>Laser System - Procurements - Material</t>
  </si>
  <si>
    <t>6.08.07.07.03</t>
  </si>
  <si>
    <t>IR_0205_2320</t>
  </si>
  <si>
    <t>Smith</t>
  </si>
  <si>
    <t>RF-CRAB-1-CTRL: Materials (Production)</t>
  </si>
  <si>
    <t>IR_0205_5320</t>
  </si>
  <si>
    <t>APP00120</t>
  </si>
  <si>
    <t>RF-CRAB-2-CTRL: Materials (Production)</t>
  </si>
  <si>
    <t>6.08.07.06.03</t>
  </si>
  <si>
    <t>HR_0805_6320</t>
  </si>
  <si>
    <t>APP00153</t>
  </si>
  <si>
    <t>RF-ERL-3-CTRL: Materials (Production)</t>
  </si>
  <si>
    <t>6.08.07.04.03</t>
  </si>
  <si>
    <t>SR_0501_1660</t>
  </si>
  <si>
    <t>APP00251</t>
  </si>
  <si>
    <t>RF-ESR-1-CTRL: Materials (Production)</t>
  </si>
  <si>
    <t>6.08.07.05.03</t>
  </si>
  <si>
    <t>HR_0304_1640</t>
  </si>
  <si>
    <t>APP00254</t>
  </si>
  <si>
    <t>RF-HR-4-CTRL: Materials (Production)</t>
  </si>
  <si>
    <t>HR_0805_1420</t>
  </si>
  <si>
    <t>APP00259</t>
  </si>
  <si>
    <t>RF-ERL-1-CTRL: Materials (Production)</t>
  </si>
  <si>
    <t>6.09.05.03</t>
  </si>
  <si>
    <t>E09_17550</t>
  </si>
  <si>
    <t>APP00311</t>
  </si>
  <si>
    <t>Tallerico</t>
  </si>
  <si>
    <t>RCV: Lakeshore temperature controllers</t>
  </si>
  <si>
    <t>E09_17510</t>
  </si>
  <si>
    <t>APP00312</t>
  </si>
  <si>
    <t>RCV: PLC hardware cards</t>
  </si>
  <si>
    <t>E09_17610</t>
  </si>
  <si>
    <t>APP00313</t>
  </si>
  <si>
    <t>RCV: Heater Controllers Chromalox</t>
  </si>
  <si>
    <t>E09_17930</t>
  </si>
  <si>
    <t>APP00314</t>
  </si>
  <si>
    <t>RCV: Multiconductor Cables</t>
  </si>
  <si>
    <t>6.09.02.04.01</t>
  </si>
  <si>
    <t>E09_12730</t>
  </si>
  <si>
    <t>APP00198</t>
  </si>
  <si>
    <t>Than</t>
  </si>
  <si>
    <t>RCV: Cryogenics System Installation Contract - IR02</t>
  </si>
  <si>
    <t>6.09.02.04.02</t>
  </si>
  <si>
    <t>E09_12780</t>
  </si>
  <si>
    <t>APP00199</t>
  </si>
  <si>
    <t>RCV: Cryogenics System Installation Contract - IR06</t>
  </si>
  <si>
    <t>6.09.02.04.03</t>
  </si>
  <si>
    <t>E09_12830</t>
  </si>
  <si>
    <t>RCV: Cryogenics System Installation Contract - IR10</t>
  </si>
  <si>
    <t>6.09.04.04</t>
  </si>
  <si>
    <t>E09_16430</t>
  </si>
  <si>
    <t>APP00308</t>
  </si>
  <si>
    <t>RCV: 2K Distribution System Installation Contract - NonLabor, OnSite - IR02</t>
  </si>
  <si>
    <t>E09_16510</t>
  </si>
  <si>
    <t>APP00309</t>
  </si>
  <si>
    <t>RCV: 2K Distribution System Installation Contract - NonLabor, OnSite - IR10</t>
  </si>
  <si>
    <t>E09_16470</t>
  </si>
  <si>
    <t>APP00310</t>
  </si>
  <si>
    <t>RCV: 2K Distribution System Installation Contract - NonLabor, OnSite - IR06</t>
  </si>
  <si>
    <t>6.03.03.01</t>
  </si>
  <si>
    <t>EJ_0301_1120</t>
  </si>
  <si>
    <t>APP00106</t>
  </si>
  <si>
    <t>Tsoupas</t>
  </si>
  <si>
    <t>Linac to RCS Transfer line magnets - Material and Construction</t>
  </si>
  <si>
    <t>EJ_0301_1340</t>
  </si>
  <si>
    <t>APP00127</t>
  </si>
  <si>
    <t>RCS to SR Transfer line magnets - Material and Construction</t>
  </si>
  <si>
    <t>EJ_0301_1530</t>
  </si>
  <si>
    <t>APP00270</t>
  </si>
  <si>
    <t>Transfer Line Magnets - Girders - Vendor Delivery</t>
  </si>
  <si>
    <t>6.10.02</t>
  </si>
  <si>
    <t>DE_0200_2040</t>
  </si>
  <si>
    <t>APP00048</t>
  </si>
  <si>
    <t>Ullrich</t>
  </si>
  <si>
    <t>Detector R&amp;D Material Purchase FY23 - Procurement(s) BNL</t>
  </si>
  <si>
    <t>DE_0200_2110</t>
  </si>
  <si>
    <t>Detector R&amp;D Material Purchase FY24 - Procurement(s) BNL</t>
  </si>
  <si>
    <t>DE_0200_2345</t>
  </si>
  <si>
    <t>Detector R&amp;D Material Purchase FY25 - Procurement(s) BNL</t>
  </si>
  <si>
    <t>6.02.03.07</t>
  </si>
  <si>
    <t>RD1_0307_1780</t>
  </si>
  <si>
    <t>APP00059</t>
  </si>
  <si>
    <t>Wang</t>
  </si>
  <si>
    <t>HV DC Gun PS 600 kV - Vendor Manufacturing - Final Design Review</t>
  </si>
  <si>
    <t>RD1_0307_1800</t>
  </si>
  <si>
    <t>HV DC Gun PS 600 kV - Vendor Manufacturing - Confirm 95% of PS Drawings and 80% Long Lead Items</t>
  </si>
  <si>
    <t>RD1_0307_1820</t>
  </si>
  <si>
    <t>HV DC Gun PS 600 kV - Vendor Manufacturing - Fabrication and Factory Acceptance</t>
  </si>
  <si>
    <t>RD1_0307_6880</t>
  </si>
  <si>
    <t>APP00100</t>
  </si>
  <si>
    <t>Laser procurement - Vendor Fabrication</t>
  </si>
  <si>
    <t>6.05.07.03</t>
  </si>
  <si>
    <t>HR_0801_1510</t>
  </si>
  <si>
    <t>APP00101</t>
  </si>
  <si>
    <t>Hadron Cooling Design - Physics Design - LBNL [0.5 FTE]</t>
  </si>
  <si>
    <t>03-Jan-2022*</t>
  </si>
  <si>
    <t>6.05.02.03</t>
  </si>
  <si>
    <t>HR_0203_1540</t>
  </si>
  <si>
    <t>APP00065</t>
  </si>
  <si>
    <t>Weiss</t>
  </si>
  <si>
    <t>HR SS Mod Vacuum - valves and pumps - Vendor Fabrication</t>
  </si>
  <si>
    <t>HR_0203_1420</t>
  </si>
  <si>
    <t>APP00129</t>
  </si>
  <si>
    <t>HR SS Mod Vacuum - I&amp;C systems - Vendor Fabrication</t>
  </si>
  <si>
    <t>HR_0203_1200</t>
  </si>
  <si>
    <t>APP00237</t>
  </si>
  <si>
    <t>HR SS Mod Vacuum - Chambers, Bellows, Supports - Vendor Fabrication</t>
  </si>
  <si>
    <t>6.05.03.03</t>
  </si>
  <si>
    <t>HR_0403_1200</t>
  </si>
  <si>
    <t>APP00238</t>
  </si>
  <si>
    <t>HR Inj-Sys Upgrade Vacuum - Chambers, Bellows, Supports - Vendor Fabrication</t>
  </si>
  <si>
    <t>6.05.07.05</t>
  </si>
  <si>
    <t>HR_0804_4800</t>
  </si>
  <si>
    <t>APP00239</t>
  </si>
  <si>
    <t>e-beamlines Baked Vacuum - Chambers, Bellows, Supports - Vendor Fabrication</t>
  </si>
  <si>
    <t>HR_0804_5400</t>
  </si>
  <si>
    <t>APP00240</t>
  </si>
  <si>
    <t>e-loop Return Vacuum - Chambers, Bellows, Supports - Vendor Fabrication</t>
  </si>
  <si>
    <t>HR_0804_6000</t>
  </si>
  <si>
    <t>APP00241</t>
  </si>
  <si>
    <t>DC-Gun LINAC Vacuum - Chambers, Bellows, Supports - Vendor Fabrication</t>
  </si>
  <si>
    <t>HR_0804_5740</t>
  </si>
  <si>
    <t>APP00242</t>
  </si>
  <si>
    <t>e-loop Return Vacuum - valves and pumps - Vendor Fabrication</t>
  </si>
  <si>
    <t>6.06.02.02</t>
  </si>
  <si>
    <t>IR_0202_1140</t>
  </si>
  <si>
    <t>APP00005</t>
  </si>
  <si>
    <t>Witte</t>
  </si>
  <si>
    <t>Spin Rotator - Fabrication-Manufacturing (Cost Module 1-4=$9.45/ 5-16=$19.85)</t>
  </si>
  <si>
    <t>6.04.02.01</t>
  </si>
  <si>
    <t>SR_0200_1320</t>
  </si>
  <si>
    <t>ESR Dipole - Magnet II - Fabrication</t>
  </si>
  <si>
    <t>SR_0200_1220</t>
  </si>
  <si>
    <t>ESR Dipole - Magnet I - Fabrication</t>
  </si>
  <si>
    <t>6.04.02.03</t>
  </si>
  <si>
    <t>SR_0200_2700</t>
  </si>
  <si>
    <t>APP00035</t>
  </si>
  <si>
    <t>eSR Girders: 5 Types - Fabrication [$20K per Girder, 494 Girders]</t>
  </si>
  <si>
    <t>6.03.02.01.04</t>
  </si>
  <si>
    <t>EJ_0201_2840</t>
  </si>
  <si>
    <t>APP00036</t>
  </si>
  <si>
    <t>RCS Girder: 5 types - Vendor Fabrication - Long Dipole [$20K per Girder, #334]</t>
  </si>
  <si>
    <t>EJ_0201_2845</t>
  </si>
  <si>
    <t>RCS Girder: 5 types - Vendor Fabrication - Short Dipole [$5K per Girder, #132]</t>
  </si>
  <si>
    <t>6.06.02.01.03</t>
  </si>
  <si>
    <t>IR_0213_1080</t>
  </si>
  <si>
    <t>APP00043</t>
  </si>
  <si>
    <t>IR Magnets Warm - Vendor Manufacturing / Fabrication</t>
  </si>
  <si>
    <t>6.03.02.01.01</t>
  </si>
  <si>
    <t>EJ_0201_1820</t>
  </si>
  <si>
    <t>APP00047</t>
  </si>
  <si>
    <t>RCS Quad - Magnet I - Fabrication</t>
  </si>
  <si>
    <t>6.04.02.02</t>
  </si>
  <si>
    <t>SR_0200_2120</t>
  </si>
  <si>
    <t>APP00049</t>
  </si>
  <si>
    <t>ESR Sextupole - Magnet I - Fabrication</t>
  </si>
  <si>
    <t>SR_0200_2220</t>
  </si>
  <si>
    <t>ESR Sextupole - Magnet II - Fabrication</t>
  </si>
  <si>
    <t>6.06.02.01.02</t>
  </si>
  <si>
    <t>IR_0212_1080</t>
  </si>
  <si>
    <t>APP00052</t>
  </si>
  <si>
    <t>Collared Magnet 1 - Q1ApF - Fabrication/ Manufacturing</t>
  </si>
  <si>
    <t>Tesla/ELYTT</t>
  </si>
  <si>
    <t>IR_0212_1260</t>
  </si>
  <si>
    <t>APP00054</t>
  </si>
  <si>
    <t>Collared Magnet 2 - Q1BpF - Fabrication/ Manufacturing</t>
  </si>
  <si>
    <t>IR_0212_1440</t>
  </si>
  <si>
    <t>APP00055</t>
  </si>
  <si>
    <t>Collared Magnet 3 - Q2pF - Fabrication/ Manufacturing</t>
  </si>
  <si>
    <t>IR_0212_1620</t>
  </si>
  <si>
    <t>APP00056</t>
  </si>
  <si>
    <t>Collared Magnet 4 - B1pF - Fabrication/ Manufacturing</t>
  </si>
  <si>
    <t>IR_0212_1800</t>
  </si>
  <si>
    <t>APP00057</t>
  </si>
  <si>
    <t>Collared Magnet 5 - B1ApF - Fabrication/ Manufacturing</t>
  </si>
  <si>
    <t>6.03.02.01.02</t>
  </si>
  <si>
    <t>EJ_0201_2380</t>
  </si>
  <si>
    <t>APP00067</t>
  </si>
  <si>
    <t>RCS Sextupole - Magnet II - Fabrication</t>
  </si>
  <si>
    <t>6.05.07.04</t>
  </si>
  <si>
    <t>HR_0804_1080</t>
  </si>
  <si>
    <t>APP00069</t>
  </si>
  <si>
    <t>SHC Beam Transport Magnets - Fabrication</t>
  </si>
  <si>
    <t>JLAB Scope?</t>
  </si>
  <si>
    <t>6.06.02.06</t>
  </si>
  <si>
    <t>IR_0207_1100</t>
  </si>
  <si>
    <t>APP00076</t>
  </si>
  <si>
    <t>Collared Dipole - Fabrication Dipole 1</t>
  </si>
  <si>
    <t>foreign</t>
  </si>
  <si>
    <t>IR_0207_1120</t>
  </si>
  <si>
    <t>Collared Dipole - Fabrication Dipole 2</t>
  </si>
  <si>
    <t>IR_0207_1140</t>
  </si>
  <si>
    <t>Collared Dipole - Cryostat 1</t>
  </si>
  <si>
    <t>IR_0207_1160</t>
  </si>
  <si>
    <t>Collared Dipole - Cryostat 2</t>
  </si>
  <si>
    <t>EJ_0201_1920</t>
  </si>
  <si>
    <t>APP00079</t>
  </si>
  <si>
    <t>RCS Quad - Magnet II - Fabrication</t>
  </si>
  <si>
    <t>6.02.03.03.02</t>
  </si>
  <si>
    <t>RD_0303_2060</t>
  </si>
  <si>
    <t>APP00089</t>
  </si>
  <si>
    <t>Coil Assembly + Yoke Material - Vendor Fabrication</t>
  </si>
  <si>
    <t>RD_0303_3323</t>
  </si>
  <si>
    <t>APP00090</t>
  </si>
  <si>
    <t>B1pF Prototype - Tooling Materials - Vendor Manufacturing/ Fabrication</t>
  </si>
  <si>
    <t>RD_0303_3328</t>
  </si>
  <si>
    <t>B1pF Prototype - Prototype Material - Vendor Manufacturing/ Fabrication</t>
  </si>
  <si>
    <t>6.06.02.01.01</t>
  </si>
  <si>
    <t>IR_0211_2620</t>
  </si>
  <si>
    <t>APP00112</t>
  </si>
  <si>
    <t>Direct Wind Magnets 5 - B2eR - Coil Assembly - Coil Parts Fabrication</t>
  </si>
  <si>
    <t>IR_0211_2800</t>
  </si>
  <si>
    <t>APP00113</t>
  </si>
  <si>
    <t>Direct Wind Magnets 5 - B2eR - Cold Mass Assembly - Parts Fabrication</t>
  </si>
  <si>
    <t>IR_0211_2940</t>
  </si>
  <si>
    <t>APP00114</t>
  </si>
  <si>
    <t>Direct Wind Magnets 5 - B2eR - Vertical Cold Test - Material</t>
  </si>
  <si>
    <t>in house</t>
  </si>
  <si>
    <t>IR_0211_6120</t>
  </si>
  <si>
    <t>APP00115</t>
  </si>
  <si>
    <t>Direct Wind Magnets 12 - Q2BpR - Coil Assembly - Coil Parts Fabrication</t>
  </si>
  <si>
    <t>IR_0211_6300</t>
  </si>
  <si>
    <t>APP00116</t>
  </si>
  <si>
    <t>Direct Wind Magnets 12 - Q2BpR - Cold Mass Assembly - Parts Fabrication</t>
  </si>
  <si>
    <t>HR_0804_1200</t>
  </si>
  <si>
    <t>APP00117</t>
  </si>
  <si>
    <t>Girder - Vendor Fabrication  [$5K per Girder, 530 Girders]</t>
  </si>
  <si>
    <t>6.03.02.01.03</t>
  </si>
  <si>
    <t>EJ_0201_2620</t>
  </si>
  <si>
    <t>APP00118</t>
  </si>
  <si>
    <t>RCS Corrector - Fabrication</t>
  </si>
  <si>
    <t>IR_0202_1380</t>
  </si>
  <si>
    <t>Spin Rotator Quad - Fabrication Manufacturing</t>
  </si>
  <si>
    <t>6.03.02.01.05</t>
  </si>
  <si>
    <t>EJ_0201_2980</t>
  </si>
  <si>
    <t>APP00126</t>
  </si>
  <si>
    <t>Magnet Measuring Station - Vendor Fabrication</t>
  </si>
  <si>
    <t>EJ_0201_2280</t>
  </si>
  <si>
    <t>APP00205</t>
  </si>
  <si>
    <t>RCS Sextupole - Magnet I - Fabrication</t>
  </si>
  <si>
    <t>6.06.02.07</t>
  </si>
  <si>
    <t>RD_0303_7200</t>
  </si>
  <si>
    <t>APP00289</t>
  </si>
  <si>
    <t>SC Strand - Production Magnets - Fabrication</t>
  </si>
  <si>
    <t>RD_0303_7090</t>
  </si>
  <si>
    <t>APP00290</t>
  </si>
  <si>
    <t>Vendor Delivery - Cabeling Machine</t>
  </si>
  <si>
    <t>Bilfinger</t>
  </si>
  <si>
    <t>6.06.04</t>
  </si>
  <si>
    <t>E06_00000</t>
  </si>
  <si>
    <t>APP00470</t>
  </si>
  <si>
    <t>Wittmer</t>
  </si>
  <si>
    <t>IR #2 Development (Planning Package)</t>
  </si>
  <si>
    <t>02-May-2022*</t>
  </si>
  <si>
    <t>6.08.06.01</t>
  </si>
  <si>
    <t>SR_0501_1328</t>
  </si>
  <si>
    <t>APP00002</t>
  </si>
  <si>
    <t>Zaltsman</t>
  </si>
  <si>
    <t>RF-ESR-1 TEST PWR: (4) Option 1: Design of 200 kW Amplifier and Fabrication of the 1st Unit</t>
  </si>
  <si>
    <t>SR_0501_1332</t>
  </si>
  <si>
    <t>RF-ESR-1 TEST PWR: (4) Option 2: Begin Fabrication of the 2nd 200 kW Unit</t>
  </si>
  <si>
    <t>SR_0501_1336</t>
  </si>
  <si>
    <t>RF-ESR-1 TEST PWR: (4) Option 3: Complete Fabrication of the 2nd 200 kW Unit</t>
  </si>
  <si>
    <t>SR_0501_1340</t>
  </si>
  <si>
    <t>RF-ESR-1 TEST PWR: (4) Option 4: Fabrication of 2 each of the 400 kW</t>
  </si>
  <si>
    <t>SR_0501_1790</t>
  </si>
  <si>
    <t>RF-ESR-1 TEST PWR: (4) Circulators and Loads Fabrication</t>
  </si>
  <si>
    <t>6.08.05.03</t>
  </si>
  <si>
    <t>E08_51310</t>
  </si>
  <si>
    <t>591 MHz FPC Couplers: Fabrication (60 units)</t>
  </si>
  <si>
    <t>6.08.05.07.02</t>
  </si>
  <si>
    <t>E08_10965</t>
  </si>
  <si>
    <t>APP00018</t>
  </si>
  <si>
    <t>197 MHz Cavity (HSR Store 1) - Window Manufacturing Materials</t>
  </si>
  <si>
    <t>E08_10985</t>
  </si>
  <si>
    <t>APP00020</t>
  </si>
  <si>
    <t>197 MHz Cavity (HSR Store 1) - Damper Manufacturing Materials</t>
  </si>
  <si>
    <t>E08_10959</t>
  </si>
  <si>
    <t>197 MHz Cavity (HSR Store 1) - Tuner Manufacturing Materials</t>
  </si>
  <si>
    <t>E08_51360</t>
  </si>
  <si>
    <t>APP00028</t>
  </si>
  <si>
    <t>197 MHz FPC Couplers: Fabrication (10 units)</t>
  </si>
  <si>
    <t>E08_51410</t>
  </si>
  <si>
    <t>APP00029</t>
  </si>
  <si>
    <t>394 MHz FPC Couplers: Fabrication (60 units)</t>
  </si>
  <si>
    <t>6.08.06.02.01</t>
  </si>
  <si>
    <t>HR_0805_6170</t>
  </si>
  <si>
    <t>APP00039</t>
  </si>
  <si>
    <t>RF-ERL-3-PWR: Materials (First Article)</t>
  </si>
  <si>
    <t>HR_0805_6200</t>
  </si>
  <si>
    <t>RF-ERL-3-PWR: Materials (Production)</t>
  </si>
  <si>
    <t>6.08.06.03.02</t>
  </si>
  <si>
    <t>IR_0205_5170</t>
  </si>
  <si>
    <t>APP00062</t>
  </si>
  <si>
    <t>RF-CRAB-2-PWR: Materials (First Article)</t>
  </si>
  <si>
    <t>IR_0205_5200</t>
  </si>
  <si>
    <t>RF-CRAB-2-PWR: Materials (Production)</t>
  </si>
  <si>
    <t>6.08.05.05.02</t>
  </si>
  <si>
    <t>E08_10598</t>
  </si>
  <si>
    <t>APP00066</t>
  </si>
  <si>
    <t>49.2 MHz Cavity Components: Cavity Manufacturing Materials</t>
  </si>
  <si>
    <t>RI</t>
  </si>
  <si>
    <t>6.08.06.03.01</t>
  </si>
  <si>
    <t>IR_0205_2170</t>
  </si>
  <si>
    <t>APP00071</t>
  </si>
  <si>
    <t>RF-CRAB-1-PWR: Materials (First Article)</t>
  </si>
  <si>
    <t>IR_0205_2200</t>
  </si>
  <si>
    <t>RF-CRAB-1-PWR: Materials (Production)</t>
  </si>
  <si>
    <t>E08_51460</t>
  </si>
  <si>
    <t>APP00077</t>
  </si>
  <si>
    <t>1.773 GHz MHz FPC Couplers: Fabrication (60 units)</t>
  </si>
  <si>
    <t>6.08.06.02.02</t>
  </si>
  <si>
    <t>HR_0805_1150</t>
  </si>
  <si>
    <t>APP00080</t>
  </si>
  <si>
    <t>RF-ERL-1-PWR: Materials (First Article)</t>
  </si>
  <si>
    <t>HR_0805_1180</t>
  </si>
  <si>
    <t>RF-ERL-1-PWR: Materials (Production)</t>
  </si>
  <si>
    <t>6.08.05.06.02</t>
  </si>
  <si>
    <t>E08_10775</t>
  </si>
  <si>
    <t>APP00082</t>
  </si>
  <si>
    <t>98.4 MHz Cavity - Cavity Manufacturing Materials</t>
  </si>
  <si>
    <t>SR_0501_1420</t>
  </si>
  <si>
    <t>RF 200KW PWR: (32) Amplifier Fabrication</t>
  </si>
  <si>
    <t>SR_0501_1482</t>
  </si>
  <si>
    <t>RF-400KW PWR: Upgrade: (32) Amplifier Upgrade Fabrication</t>
  </si>
  <si>
    <t>6.08.05.01.02</t>
  </si>
  <si>
    <t>E08_10087</t>
  </si>
  <si>
    <t>APP00215</t>
  </si>
  <si>
    <t>295 MHz Cavity - Cavity Manufacturing Materials</t>
  </si>
  <si>
    <t>6.08.05.02.02</t>
  </si>
  <si>
    <t>E08_10268</t>
  </si>
  <si>
    <t>APP00216</t>
  </si>
  <si>
    <t>148 MHz Cavity - Cavity Manufacturing Materials</t>
  </si>
  <si>
    <t>6.08.06.03.03</t>
  </si>
  <si>
    <t>EJ_0204_2170</t>
  </si>
  <si>
    <t>APP00218</t>
  </si>
  <si>
    <t>RF-RCS-2-PWR: Materials (First Article)</t>
  </si>
  <si>
    <t>EJ_0204_2200</t>
  </si>
  <si>
    <t>RF-RCS-2-PWR: Materials (Production)</t>
  </si>
  <si>
    <t>6.08.06.03.04</t>
  </si>
  <si>
    <t>EJ_0204_2530</t>
  </si>
  <si>
    <t>APP00219</t>
  </si>
  <si>
    <t>RF-RCS-3-PWR: Materials (First Article)</t>
  </si>
  <si>
    <t>6.08.06.04.02</t>
  </si>
  <si>
    <t>HR_0805_6530</t>
  </si>
  <si>
    <t>APP00222</t>
  </si>
  <si>
    <t>RF-ERL-4-PWR: Materials (First Article)</t>
  </si>
  <si>
    <t>6.08.02.03.01</t>
  </si>
  <si>
    <t>HR_0305_1530</t>
  </si>
  <si>
    <t>APP00223</t>
  </si>
  <si>
    <t>591 MHz - 600 kW CW Klystron: Fabrication</t>
  </si>
  <si>
    <t>CPI</t>
  </si>
  <si>
    <t>HR_0305_1610</t>
  </si>
  <si>
    <t>APP00224</t>
  </si>
  <si>
    <t>591 MHz - 600 kW Circulator with Load: Fabrication</t>
  </si>
  <si>
    <t>RF_0802_3705</t>
  </si>
  <si>
    <t>APP00226</t>
  </si>
  <si>
    <t>591 MHz FPC conditioning box: Fabrication</t>
  </si>
  <si>
    <t>IN House</t>
  </si>
  <si>
    <t>6.08.06.02.04</t>
  </si>
  <si>
    <t>HR_0305_1162</t>
  </si>
  <si>
    <t>APP00243</t>
  </si>
  <si>
    <t>RF-HR-5-PWR: Materials (First Article)</t>
  </si>
  <si>
    <t>6.08.06.02.03</t>
  </si>
  <si>
    <t>EJ_0204_1360</t>
  </si>
  <si>
    <t>APP00249</t>
  </si>
  <si>
    <t>RF-RCS-1-PWR: Materials (First Article)</t>
  </si>
  <si>
    <t>EJ_0204_1420</t>
  </si>
  <si>
    <t>RF-RCS-1-PWR: Materials (Production)</t>
  </si>
  <si>
    <t>6.08.06.03.06</t>
  </si>
  <si>
    <t>HR_0303_1340</t>
  </si>
  <si>
    <t>APP00252</t>
  </si>
  <si>
    <t>RF-HR-3-PWR: Materials (First Article)</t>
  </si>
  <si>
    <t>HR_0303_1400</t>
  </si>
  <si>
    <t>RF-HR-3-PWR: Materials (Production)</t>
  </si>
  <si>
    <t>6.08.06.04.01</t>
  </si>
  <si>
    <t>HR_0805_5340</t>
  </si>
  <si>
    <t>APP00253</t>
  </si>
  <si>
    <t>RF-ERL-2-PWR: Materials (First Article)</t>
  </si>
  <si>
    <t>HR_0805_5400</t>
  </si>
  <si>
    <t>RF-ERL-2-PWR: Materials (Production)</t>
  </si>
  <si>
    <t>6.08.06.03.05</t>
  </si>
  <si>
    <t>HR_0302_1340</t>
  </si>
  <si>
    <t>APP00258</t>
  </si>
  <si>
    <t>RF-HR-2-PWR: Materials (First Article)</t>
  </si>
  <si>
    <t>HR_0302_1400</t>
  </si>
  <si>
    <t>RF-HR-2-PWR: Materials (Production)</t>
  </si>
  <si>
    <t>BNL Scope</t>
  </si>
  <si>
    <t xml:space="preserve">  APP00001  400 MeV Linac</t>
  </si>
  <si>
    <t xml:space="preserve">  APP00002  eSR H1 Test Power Aplifier - 4 Units</t>
  </si>
  <si>
    <t xml:space="preserve">  APP00004  Main CM/GC</t>
  </si>
  <si>
    <t xml:space="preserve">  APP00005  (New Code Value)</t>
  </si>
  <si>
    <t xml:space="preserve">  APP00006  </t>
  </si>
  <si>
    <t xml:space="preserve">  APP00007  (New Code Value)</t>
  </si>
  <si>
    <t xml:space="preserve">  APP00008  (New Code Value)</t>
  </si>
  <si>
    <t xml:space="preserve">  APP00010  Roman Pots Fabrication</t>
  </si>
  <si>
    <t xml:space="preserve">  APP00011  B0 Fabrication</t>
  </si>
  <si>
    <t xml:space="preserve">  APP00012  (New Code Value)</t>
  </si>
  <si>
    <t xml:space="preserve">  APP00017  (New Code Value)</t>
  </si>
  <si>
    <t xml:space="preserve">  APP00018  (New Code Value)</t>
  </si>
  <si>
    <t xml:space="preserve">  APP00019  (New Code Value)</t>
  </si>
  <si>
    <t xml:space="preserve">  APP00020  (New Code Value)</t>
  </si>
  <si>
    <t xml:space="preserve">  APP00021  Backward (Electron Endcap) EMCal Material</t>
  </si>
  <si>
    <t xml:space="preserve">  APP00023  EMCal Silicon Photomultipliers</t>
  </si>
  <si>
    <t xml:space="preserve">  APP00024  Backward Hadronic Calorimetry</t>
  </si>
  <si>
    <t xml:space="preserve">  APP00025  Barrel Hadronic Calorimetry</t>
  </si>
  <si>
    <t xml:space="preserve">  APP00026  Detector Infrastructure: Fabrication</t>
  </si>
  <si>
    <t xml:space="preserve">  APP00027  (New Code Value)</t>
  </si>
  <si>
    <t xml:space="preserve">  APP00028  (New Code Value)</t>
  </si>
  <si>
    <t xml:space="preserve">  APP00029  (New Code Value)</t>
  </si>
  <si>
    <t xml:space="preserve">  APP00030  (New Code Value)</t>
  </si>
  <si>
    <t xml:space="preserve">  APP00031  (New Code Value)</t>
  </si>
  <si>
    <t xml:space="preserve">  APP00032  (New Code Value)</t>
  </si>
  <si>
    <t xml:space="preserve">  APP00034  (New Code Value)</t>
  </si>
  <si>
    <t xml:space="preserve">  APP00035  (New Code Value)</t>
  </si>
  <si>
    <t xml:space="preserve">  APP00036  (New Code Value)</t>
  </si>
  <si>
    <t xml:space="preserve">  APP00038  FTTL Fabrication</t>
  </si>
  <si>
    <t xml:space="preserve">  APP00039  (New Code Value)</t>
  </si>
  <si>
    <t xml:space="preserve">  APP00040  (New Code Value)</t>
  </si>
  <si>
    <t xml:space="preserve">  APP00041  (New Code Value)</t>
  </si>
  <si>
    <t xml:space="preserve">  APP00043  (New Code Value)</t>
  </si>
  <si>
    <t xml:space="preserve">  APP00044  (New Code Value)</t>
  </si>
  <si>
    <t xml:space="preserve">  APP00047  (New Code Value)</t>
  </si>
  <si>
    <t xml:space="preserve">  APP00048  (New Code Value)</t>
  </si>
  <si>
    <t xml:space="preserve">  APP00049  (New Code Value)</t>
  </si>
  <si>
    <t xml:space="preserve">  APP00050  (New Code Value)</t>
  </si>
  <si>
    <t xml:space="preserve">  APP00051  (New Code Value)</t>
  </si>
  <si>
    <t xml:space="preserve">  APP00052  (New Code Value)</t>
  </si>
  <si>
    <t xml:space="preserve">  APP00054  (New Code Value)</t>
  </si>
  <si>
    <t xml:space="preserve">  APP00055  (New Code Value)</t>
  </si>
  <si>
    <t xml:space="preserve">  APP00056  (New Code Value)</t>
  </si>
  <si>
    <t xml:space="preserve">  APP00057  (New Code Value)</t>
  </si>
  <si>
    <t xml:space="preserve">  APP00059  (New Code Value)</t>
  </si>
  <si>
    <t xml:space="preserve">  APP00060  (New Code Value)</t>
  </si>
  <si>
    <t xml:space="preserve">  APP00061  (New Code Value)</t>
  </si>
  <si>
    <t xml:space="preserve">  APP00062  (New Code Value)</t>
  </si>
  <si>
    <t xml:space="preserve">  APP00063  (New Code Value)</t>
  </si>
  <si>
    <t xml:space="preserve">  APP00064  (New Code Value)</t>
  </si>
  <si>
    <t xml:space="preserve">  APP00065  (New Code Value)</t>
  </si>
  <si>
    <t xml:space="preserve">  APP00066  (New Code Value)</t>
  </si>
  <si>
    <t xml:space="preserve">  APP00067  (New Code Value)</t>
  </si>
  <si>
    <t xml:space="preserve">  APP00069  (New Code Value)</t>
  </si>
  <si>
    <t xml:space="preserve">  APP00070  RCS Vacuum Chambers and Bellows</t>
  </si>
  <si>
    <t xml:space="preserve">  APP00071  (New Code Value)</t>
  </si>
  <si>
    <t xml:space="preserve">  APP00072  (New Code Value)</t>
  </si>
  <si>
    <t xml:space="preserve">  APP00073  (New Code Value)</t>
  </si>
  <si>
    <t xml:space="preserve">  APP00074  (New Code Value)</t>
  </si>
  <si>
    <t xml:space="preserve">  APP00075  (New Code Value)</t>
  </si>
  <si>
    <t xml:space="preserve">  APP00076  (New Code Value)</t>
  </si>
  <si>
    <t xml:space="preserve">  APP00077  (New Code Value)</t>
  </si>
  <si>
    <t xml:space="preserve">  APP00078  (New Code Value)</t>
  </si>
  <si>
    <t xml:space="preserve">  APP00079  (New Code Value)</t>
  </si>
  <si>
    <t xml:space="preserve">  APP00080  (New Code Value)</t>
  </si>
  <si>
    <t xml:space="preserve">  APP00082  (New Code Value)</t>
  </si>
  <si>
    <t xml:space="preserve">  APP00089  (New Code Value)</t>
  </si>
  <si>
    <t xml:space="preserve">  APP00090  (New Code Value)</t>
  </si>
  <si>
    <t xml:space="preserve">  APP00091  (New Code Value)</t>
  </si>
  <si>
    <t xml:space="preserve">  APP00092  (New Code Value)</t>
  </si>
  <si>
    <t xml:space="preserve">  APP00100  (New Code Value)</t>
  </si>
  <si>
    <t xml:space="preserve">  APP00101  (New Code Value)</t>
  </si>
  <si>
    <t xml:space="preserve">  APP00104  (New Code Value)</t>
  </si>
  <si>
    <t xml:space="preserve">  APP00105  (New Code Value)</t>
  </si>
  <si>
    <t xml:space="preserve">  APP00106  (New Code Value)</t>
  </si>
  <si>
    <t xml:space="preserve">  APP00108  (New Code Value)</t>
  </si>
  <si>
    <t xml:space="preserve">  APP00109  (New Code Value)</t>
  </si>
  <si>
    <t xml:space="preserve">  APP00110  (New Code Value)</t>
  </si>
  <si>
    <t xml:space="preserve">  APP00111  (New Code Value)</t>
  </si>
  <si>
    <t xml:space="preserve">  APP00112  (New Code Value)</t>
  </si>
  <si>
    <t xml:space="preserve">  APP00113  (New Code Value)</t>
  </si>
  <si>
    <t xml:space="preserve">  APP00114  (New Code Value)</t>
  </si>
  <si>
    <t xml:space="preserve">  APP00115  (New Code Value)</t>
  </si>
  <si>
    <t xml:space="preserve">  APP00116  (New Code Value)</t>
  </si>
  <si>
    <t xml:space="preserve">  APP00117  (New Code Value)</t>
  </si>
  <si>
    <t xml:space="preserve">  APP00118  (New Code Value)</t>
  </si>
  <si>
    <t xml:space="preserve">  APP00119  (New Code Value)</t>
  </si>
  <si>
    <t xml:space="preserve">  APP00120  (New Code Value)</t>
  </si>
  <si>
    <t xml:space="preserve">  APP00122  HR Straight DC Cables</t>
  </si>
  <si>
    <t xml:space="preserve">  APP00124  (New Code Value)</t>
  </si>
  <si>
    <t xml:space="preserve">  APP00125  (New Code Value)</t>
  </si>
  <si>
    <t xml:space="preserve">  APP00126  (New Code Value)</t>
  </si>
  <si>
    <t xml:space="preserve">  APP00127  (New Code Value)</t>
  </si>
  <si>
    <t xml:space="preserve">  APP00128  (New Code Value)</t>
  </si>
  <si>
    <t xml:space="preserve">  APP00129  (New Code Value)</t>
  </si>
  <si>
    <t xml:space="preserve">  APP00130  (New Code Value)</t>
  </si>
  <si>
    <t xml:space="preserve">  APP00131  (New Code Value)</t>
  </si>
  <si>
    <t xml:space="preserve">  APP00132  (New Code Value)</t>
  </si>
  <si>
    <t xml:space="preserve">  APP00134  (New Code Value)</t>
  </si>
  <si>
    <t xml:space="preserve">  APP00135  (New Code Value)</t>
  </si>
  <si>
    <t xml:space="preserve">  APP00136  (New Code Value)</t>
  </si>
  <si>
    <t xml:space="preserve">  APP00138  (New Code Value)</t>
  </si>
  <si>
    <t xml:space="preserve">  APP00139  (New Code Value)</t>
  </si>
  <si>
    <t xml:space="preserve">  APP00140  (New Code Value)</t>
  </si>
  <si>
    <t xml:space="preserve">  APP00141  (New Code Value)</t>
  </si>
  <si>
    <t xml:space="preserve">  APP00142  (New Code Value)</t>
  </si>
  <si>
    <t xml:space="preserve">  APP00144  (New Code Value)</t>
  </si>
  <si>
    <t xml:space="preserve">  APP00148  (New Code Value)</t>
  </si>
  <si>
    <t xml:space="preserve">  APP00151  (New Code Value)</t>
  </si>
  <si>
    <t xml:space="preserve">  APP00152  (New Code Value)</t>
  </si>
  <si>
    <t xml:space="preserve">  APP00153  (New Code Value)</t>
  </si>
  <si>
    <t xml:space="preserve">  APP00154  (New Code Value)</t>
  </si>
  <si>
    <t xml:space="preserve">  APP00158  (New Code Value)</t>
  </si>
  <si>
    <t xml:space="preserve">  APP00159  Streak Camera</t>
  </si>
  <si>
    <t xml:space="preserve">  APP00160  AtR Material</t>
  </si>
  <si>
    <t xml:space="preserve">  APP00161  RCS SLM s-RAD</t>
  </si>
  <si>
    <t xml:space="preserve">  APP00162  BPM Buttons and Housing Material</t>
  </si>
  <si>
    <t xml:space="preserve">  APP00163  Profile Monitors Materials</t>
  </si>
  <si>
    <t xml:space="preserve">  APP00164  BPM Electronics - V301 Module Procurement</t>
  </si>
  <si>
    <t xml:space="preserve">  APP00165  Synchrotron Radiation Monitors Materials</t>
  </si>
  <si>
    <t xml:space="preserve">  APP00166  BPM System Misc Materials</t>
  </si>
  <si>
    <t xml:space="preserve">  APP00167  Longitudinal Feedback System</t>
  </si>
  <si>
    <t xml:space="preserve">  APP00168  BPM Pick-up -Button Procurement</t>
  </si>
  <si>
    <t xml:space="preserve">  APP00169  BPM Pick-up Materials</t>
  </si>
  <si>
    <t xml:space="preserve">  APP00170  BPM Electronics Construction</t>
  </si>
  <si>
    <t xml:space="preserve">  APP00171  Profile Monitors Construction</t>
  </si>
  <si>
    <t xml:space="preserve">  APP00172  ICT Material</t>
  </si>
  <si>
    <t xml:space="preserve">  APP00173  HSR Collimators</t>
  </si>
  <si>
    <t xml:space="preserve">  APP00174  BPM System Materials</t>
  </si>
  <si>
    <t xml:space="preserve">  APP00175  BPM Cables Material</t>
  </si>
  <si>
    <t xml:space="preserve">  APP00176  Charge and Current Monitors Materials</t>
  </si>
  <si>
    <t xml:space="preserve">  APP00177  SR SLM Materials s-Rad</t>
  </si>
  <si>
    <t xml:space="preserve">  APP00178  BPM Pick-up - Button &amp; Housing Materials</t>
  </si>
  <si>
    <t xml:space="preserve">  APP00179  BPM System - Signal Cables, Rack Hardware, System Connectors</t>
  </si>
  <si>
    <t xml:space="preserve">  APP00180  RCS Beam  Position Monitors</t>
  </si>
  <si>
    <t xml:space="preserve">  APP00181  Hadron Ring BPM Upgrade</t>
  </si>
  <si>
    <t xml:space="preserve">  APP00182  Pulsed Spectrum - Electrical Components</t>
  </si>
  <si>
    <t xml:space="preserve">  APP00183  Pulsed Spectrum - Mechanical Components</t>
  </si>
  <si>
    <t xml:space="preserve">  APP00184  RCS Injection Pulsed Bump - Kicker Magnet</t>
  </si>
  <si>
    <t xml:space="preserve">  APP00191  RCS Extraction Kicker</t>
  </si>
  <si>
    <t xml:space="preserve">  APP00192  ESR Stripline Kickers - Electrical Components</t>
  </si>
  <si>
    <t xml:space="preserve">  APP00193  ESR Stripline Kickers - Mechanical Components</t>
  </si>
  <si>
    <t xml:space="preserve">  APP00196  ESR Injection Slow Pulsed Septum - Electrical Components</t>
  </si>
  <si>
    <t xml:space="preserve">  APP00197  ESR Injection Slow Pulsed Septum - Mechanical Components</t>
  </si>
  <si>
    <t xml:space="preserve">  APP00198  Cryogenics System Installation Contract - IR02</t>
  </si>
  <si>
    <t xml:space="preserve">  APP00199  Cryogenics System Installation Contract - IR06</t>
  </si>
  <si>
    <t xml:space="preserve">  APP00200  Cryogenics System Installation Contract - IR10</t>
  </si>
  <si>
    <t xml:space="preserve">  APP00201  4K Distribution B&amp;P - Procurement</t>
  </si>
  <si>
    <t xml:space="preserve">  APP00205  (New Code Value)</t>
  </si>
  <si>
    <t xml:space="preserve">  APP00206  (New Code Value)</t>
  </si>
  <si>
    <t xml:space="preserve">  APP00207  (New Code Value)</t>
  </si>
  <si>
    <t xml:space="preserve">  APP00209  (New Code Value)</t>
  </si>
  <si>
    <t xml:space="preserve">  APP00210  (New Code Value)</t>
  </si>
  <si>
    <t xml:space="preserve">  APP00211  (New Code Value)</t>
  </si>
  <si>
    <t xml:space="preserve">  APP00213  (New Code Value)</t>
  </si>
  <si>
    <t xml:space="preserve">  APP00214  (New Code Value)</t>
  </si>
  <si>
    <t xml:space="preserve">  APP00215  (New Code Value)</t>
  </si>
  <si>
    <t xml:space="preserve">  APP00216  (New Code Value)</t>
  </si>
  <si>
    <t xml:space="preserve">  APP00218  (New Code Value)</t>
  </si>
  <si>
    <t xml:space="preserve">  APP00219  (New Code Value)</t>
  </si>
  <si>
    <t xml:space="preserve">  APP00222  (New Code Value)</t>
  </si>
  <si>
    <t xml:space="preserve">  APP00223  (New Code Value)</t>
  </si>
  <si>
    <t xml:space="preserve">  APP00224  (New Code Value)</t>
  </si>
  <si>
    <t xml:space="preserve">  APP00226  (New Code Value)</t>
  </si>
  <si>
    <t xml:space="preserve">  APP00230  (New Code Value)</t>
  </si>
  <si>
    <t xml:space="preserve">  APP00232  (New Code Value)</t>
  </si>
  <si>
    <t xml:space="preserve">  APP00233  (New Code Value)</t>
  </si>
  <si>
    <t xml:space="preserve">  APP00234  (New Code Value)</t>
  </si>
  <si>
    <t xml:space="preserve">  APP00235  (New Code Value)</t>
  </si>
  <si>
    <t xml:space="preserve">  APP00237  (New Code Value)</t>
  </si>
  <si>
    <t xml:space="preserve">  APP00238  (New Code Value)</t>
  </si>
  <si>
    <t xml:space="preserve">  APP00239  (New Code Value)</t>
  </si>
  <si>
    <t xml:space="preserve">  APP00240  (New Code Value)</t>
  </si>
  <si>
    <t xml:space="preserve">  APP00241  (New Code Value)</t>
  </si>
  <si>
    <t xml:space="preserve">  APP00242  (New Code Value)</t>
  </si>
  <si>
    <t xml:space="preserve">  APP00243  (New Code Value)</t>
  </si>
  <si>
    <t xml:space="preserve">  APP00245  (New Code Value)</t>
  </si>
  <si>
    <t xml:space="preserve">  APP00249  (New Code Value)</t>
  </si>
  <si>
    <t xml:space="preserve">  APP00250  (New Code Value)</t>
  </si>
  <si>
    <t xml:space="preserve">  APP00251  (New Code Value)</t>
  </si>
  <si>
    <t xml:space="preserve">  APP00252  (New Code Value)</t>
  </si>
  <si>
    <t xml:space="preserve">  APP00253  (New Code Value)</t>
  </si>
  <si>
    <t xml:space="preserve">  APP00254  (New Code Value)</t>
  </si>
  <si>
    <t xml:space="preserve">  APP00258  (New Code Value)</t>
  </si>
  <si>
    <t xml:space="preserve">  APP00259  (New Code Value)</t>
  </si>
  <si>
    <t xml:space="preserve">  APP00261  (New Code Value)</t>
  </si>
  <si>
    <t xml:space="preserve">  APP00270  (New Code Value)</t>
  </si>
  <si>
    <t xml:space="preserve">  APP00289  (New Code Value)</t>
  </si>
  <si>
    <t xml:space="preserve">  APP00290  (New Code Value)</t>
  </si>
  <si>
    <t xml:space="preserve">  APP00297  ESR - Installation of Vacuum System</t>
  </si>
  <si>
    <t xml:space="preserve">  APP00304  (New Code Value)</t>
  </si>
  <si>
    <t xml:space="preserve">  APP00305  (New Code Value)</t>
  </si>
  <si>
    <t xml:space="preserve">  APP00306  (New Code Value)</t>
  </si>
  <si>
    <t xml:space="preserve">  APP00307  (New Code Value)</t>
  </si>
  <si>
    <t xml:space="preserve">  APP00308  (New Code Value)</t>
  </si>
  <si>
    <t xml:space="preserve">  APP00309  (New Code Value)</t>
  </si>
  <si>
    <t xml:space="preserve">  APP00310  (New Code Value)</t>
  </si>
  <si>
    <t xml:space="preserve">  APP00311  (New Code Value)</t>
  </si>
  <si>
    <t xml:space="preserve">  APP00312  (New Code Value)</t>
  </si>
  <si>
    <t xml:space="preserve">  APP00313  (New Code Value)</t>
  </si>
  <si>
    <t xml:space="preserve">  APP00314  (New Code Value)</t>
  </si>
  <si>
    <t xml:space="preserve">  APP00424  Injection System - RCS Vacuum</t>
  </si>
  <si>
    <t xml:space="preserve">  APP00472  SHC Chicane Feedbox Procurement</t>
  </si>
  <si>
    <t xml:space="preserve">  APP00498  (New Code Value)</t>
  </si>
  <si>
    <t xml:space="preserve">  APP00514  Cryo Installation - IR06</t>
  </si>
  <si>
    <t>JLab Scope</t>
  </si>
  <si>
    <t xml:space="preserve">  APP00470  (New Code Value)</t>
  </si>
  <si>
    <t xml:space="preserve">  No EIC_APP CODE </t>
  </si>
  <si>
    <t>Sum of Budgeted Material Cost</t>
  </si>
  <si>
    <t>Subject to Commodity Price Fluctuations?</t>
  </si>
  <si>
    <t>Likely Foreign Supplier?</t>
  </si>
  <si>
    <t>Procurement Code</t>
  </si>
  <si>
    <t>A.PP001.A</t>
  </si>
  <si>
    <t>Crab: Production Procurement, Assembly, Test</t>
  </si>
  <si>
    <t xml:space="preserve">  IR_0205_2290</t>
  </si>
  <si>
    <t>x</t>
  </si>
  <si>
    <t>A.PP001.B</t>
  </si>
  <si>
    <t xml:space="preserve">  IR_0205_2320</t>
  </si>
  <si>
    <t>IR Vacuum</t>
  </si>
  <si>
    <t xml:space="preserve">  IR_0204_1160</t>
  </si>
  <si>
    <t>A.PP002</t>
  </si>
  <si>
    <t>DAQ / Computing</t>
  </si>
  <si>
    <t xml:space="preserve">  DE_0900_3101</t>
  </si>
  <si>
    <t>A.PP003</t>
  </si>
  <si>
    <t>Cooling R&amp;D</t>
  </si>
  <si>
    <t xml:space="preserve">  RD_0310_1680</t>
  </si>
  <si>
    <t>IR Warm Magnets</t>
  </si>
  <si>
    <t xml:space="preserve">  IR_0213_1080</t>
  </si>
  <si>
    <t>A.PP004</t>
  </si>
  <si>
    <t>RCS Vacuum Pumps</t>
  </si>
  <si>
    <t xml:space="preserve">  EJ_0203_1660</t>
  </si>
  <si>
    <t>A.PP005</t>
  </si>
  <si>
    <t>IR Integration &amp; Auxiliary Detectors</t>
  </si>
  <si>
    <t xml:space="preserve">  DE_1100_3080</t>
  </si>
  <si>
    <t>A.PP006</t>
  </si>
  <si>
    <t>Tracking</t>
  </si>
  <si>
    <t xml:space="preserve">  DE_0300_3150</t>
  </si>
  <si>
    <t>A.PP007.A</t>
  </si>
  <si>
    <t>CS: 591 MHz 5-Cell Procurement</t>
  </si>
  <si>
    <t xml:space="preserve">  EJ_0204_1120</t>
  </si>
  <si>
    <t>A.PP007.B</t>
  </si>
  <si>
    <t>CM: 591 MHz 5-Cell Procurement</t>
  </si>
  <si>
    <t xml:space="preserve">  EJ_0204_1180</t>
  </si>
  <si>
    <t>A.PP008</t>
  </si>
  <si>
    <t>Detector R&amp;D and Physics Design</t>
  </si>
  <si>
    <t xml:space="preserve">  DE_0200_2110</t>
  </si>
  <si>
    <t xml:space="preserve">  DE_0200_2120</t>
  </si>
  <si>
    <t xml:space="preserve">  DE_0200_2130</t>
  </si>
  <si>
    <t>A.PP009</t>
  </si>
  <si>
    <t>ESR Sextupole Magnets</t>
  </si>
  <si>
    <t xml:space="preserve">  SR_0200_2120</t>
  </si>
  <si>
    <t xml:space="preserve">  SR_0200_2220</t>
  </si>
  <si>
    <t>A.PP011</t>
  </si>
  <si>
    <t>Infrastructure Construction Management &amp; Inspection</t>
  </si>
  <si>
    <t xml:space="preserve">  IF_0103_1300</t>
  </si>
  <si>
    <t xml:space="preserve">  IF_0103_1320</t>
  </si>
  <si>
    <t xml:space="preserve">  IF_0103_1340</t>
  </si>
  <si>
    <t xml:space="preserve">  IF_0103_1360</t>
  </si>
  <si>
    <t>A.PP012</t>
  </si>
  <si>
    <t>IR Power Supplies</t>
  </si>
  <si>
    <t xml:space="preserve">  IR_0203_1100</t>
  </si>
  <si>
    <t xml:space="preserve">  IR_0203_1440</t>
  </si>
  <si>
    <t>A.PP013</t>
  </si>
  <si>
    <t>Collared Magnets</t>
  </si>
  <si>
    <t xml:space="preserve">  IR_0212_1080</t>
  </si>
  <si>
    <t>A.PP014</t>
  </si>
  <si>
    <t>Main Substation #9</t>
  </si>
  <si>
    <t xml:space="preserve">  IF_0301_1620</t>
  </si>
  <si>
    <t>X</t>
  </si>
  <si>
    <t xml:space="preserve">  IF_0301_2005</t>
  </si>
  <si>
    <t xml:space="preserve">  IF_0301_2015</t>
  </si>
  <si>
    <t>A.PP016</t>
  </si>
  <si>
    <t xml:space="preserve">  IR_0212_1260</t>
  </si>
  <si>
    <t>A.PP017</t>
  </si>
  <si>
    <t xml:space="preserve">  IR_0212_1440</t>
  </si>
  <si>
    <t>A.PP018</t>
  </si>
  <si>
    <t xml:space="preserve">  IR_0212_1620</t>
  </si>
  <si>
    <t>A.PP019</t>
  </si>
  <si>
    <t xml:space="preserve">  IR_0212_1800</t>
  </si>
  <si>
    <t>A.PP020</t>
  </si>
  <si>
    <t xml:space="preserve">  IF_0301_1520</t>
  </si>
  <si>
    <t>A.PP021</t>
  </si>
  <si>
    <t xml:space="preserve">  RD_0310_1185</t>
  </si>
  <si>
    <t xml:space="preserve">  RD_0310_1186</t>
  </si>
  <si>
    <t xml:space="preserve">  RD_0310_1187</t>
  </si>
  <si>
    <t xml:space="preserve">  RD_0310_1193</t>
  </si>
  <si>
    <t xml:space="preserve">  RD_0310_1194</t>
  </si>
  <si>
    <t xml:space="preserve">  RD_0310_1195</t>
  </si>
  <si>
    <t>A.PP022</t>
  </si>
  <si>
    <t>400 MeV Injector Power Supplies</t>
  </si>
  <si>
    <t xml:space="preserve">  EJ_040102_1280</t>
  </si>
  <si>
    <t>Electron Storage Ring Power Supplies</t>
  </si>
  <si>
    <t xml:space="preserve">  SR_0300_1260</t>
  </si>
  <si>
    <t>Hadron Ring Straight Sections Modifications Power Supplies</t>
  </si>
  <si>
    <t xml:space="preserve">  HR_0202_1100</t>
  </si>
  <si>
    <t>HR Injection System Upgrade Power Supplies</t>
  </si>
  <si>
    <t xml:space="preserve">  HR_0402_2620</t>
  </si>
  <si>
    <t>SHC Power Supplies and Cables</t>
  </si>
  <si>
    <t xml:space="preserve">  HR_0809_1460</t>
  </si>
  <si>
    <t>Transfer Lines Power Supplies</t>
  </si>
  <si>
    <t xml:space="preserve">  IR_0302_3580</t>
  </si>
  <si>
    <t xml:space="preserve">  IR_0302_4220</t>
  </si>
  <si>
    <t>A.PP023</t>
  </si>
  <si>
    <t xml:space="preserve">  EJ_040102_1500</t>
  </si>
  <si>
    <t xml:space="preserve">  SR_0300_1880</t>
  </si>
  <si>
    <t xml:space="preserve">  HR_0402_2360</t>
  </si>
  <si>
    <t xml:space="preserve">  HR_0402_2800</t>
  </si>
  <si>
    <t xml:space="preserve">  HR_0809_1660</t>
  </si>
  <si>
    <t xml:space="preserve">  IR_0302_3780</t>
  </si>
  <si>
    <t>A.PP024.A</t>
  </si>
  <si>
    <t>SSA: Crab: 394 MHz</t>
  </si>
  <si>
    <t xml:space="preserve">  IR_0205_5170</t>
  </si>
  <si>
    <t>A.PP024.B</t>
  </si>
  <si>
    <t xml:space="preserve">  IR_0205_5200</t>
  </si>
  <si>
    <t>A.PP025</t>
  </si>
  <si>
    <t>ESR Machine Protection - Single Turn Extraction Kicker</t>
  </si>
  <si>
    <t xml:space="preserve">  EJ_0305_9100</t>
  </si>
  <si>
    <t>A.PP026</t>
  </si>
  <si>
    <t>Construction of Vacuum Fabrication Facility</t>
  </si>
  <si>
    <t xml:space="preserve">  SR_0407_1160</t>
  </si>
  <si>
    <t>A.PP027</t>
  </si>
  <si>
    <t>Hadron Ring Straight Sections Modifications Vacuum System</t>
  </si>
  <si>
    <t xml:space="preserve">  HR_0203_1540</t>
  </si>
  <si>
    <t>A.PP028</t>
  </si>
  <si>
    <t>RCS Sextupole Magnets</t>
  </si>
  <si>
    <t xml:space="preserve">  EJ_0201_2280</t>
  </si>
  <si>
    <t>A.PP029</t>
  </si>
  <si>
    <t xml:space="preserve">  EJ_0201_2380</t>
  </si>
  <si>
    <t>A.PP030</t>
  </si>
  <si>
    <t>Particle Identification</t>
  </si>
  <si>
    <t xml:space="preserve">  DE_0400_4244</t>
  </si>
  <si>
    <t xml:space="preserve">  DE_0400_4261</t>
  </si>
  <si>
    <t>A.PP042</t>
  </si>
  <si>
    <t>SHC Beam Transport Magnets</t>
  </si>
  <si>
    <t xml:space="preserve">  HR_0804_1080</t>
  </si>
  <si>
    <t>A.PP048</t>
  </si>
  <si>
    <t>RCS Vacuum Chamber and Bellows</t>
  </si>
  <si>
    <t xml:space="preserve">  EJ_0203_1220</t>
  </si>
  <si>
    <t>A.PP054.A</t>
  </si>
  <si>
    <t>SSA: Crab: 197 MHz</t>
  </si>
  <si>
    <t xml:space="preserve">  IR_0205_2170</t>
  </si>
  <si>
    <t>A.PP054.B</t>
  </si>
  <si>
    <t xml:space="preserve">  IR_0205_2200</t>
  </si>
  <si>
    <t>A.PP057</t>
  </si>
  <si>
    <t>HR Injection System Upgrade Pulsed Devices</t>
  </si>
  <si>
    <t xml:space="preserve">  HR_0404_2000</t>
  </si>
  <si>
    <t>A.PP064</t>
  </si>
  <si>
    <t>HR SC Magnet Beam Pipe Upgrade</t>
  </si>
  <si>
    <t xml:space="preserve">  HR_0500_2080</t>
  </si>
  <si>
    <t>A.PP068</t>
  </si>
  <si>
    <t>Standby Power</t>
  </si>
  <si>
    <t xml:space="preserve">  IF_0305_1060</t>
  </si>
  <si>
    <t xml:space="preserve">  IF_0305_1380</t>
  </si>
  <si>
    <t>A.PP069</t>
  </si>
  <si>
    <t>Controls - Hardware Procurements - Network</t>
  </si>
  <si>
    <t xml:space="preserve">  AS_0302_1180</t>
  </si>
  <si>
    <t>A.PP071</t>
  </si>
  <si>
    <t>Matching Magnets</t>
  </si>
  <si>
    <t xml:space="preserve">  IR_0207_1100</t>
  </si>
  <si>
    <t xml:space="preserve">  IR_0207_1120</t>
  </si>
  <si>
    <t xml:space="preserve">  IR_0207_1140</t>
  </si>
  <si>
    <t xml:space="preserve">  IR_0207_1160</t>
  </si>
  <si>
    <t>A.PP080.A</t>
  </si>
  <si>
    <t>CS: 1773 MHz 5-Cell Procurement</t>
  </si>
  <si>
    <t xml:space="preserve">  HR_0805_5100</t>
  </si>
  <si>
    <t>A.PP080.B</t>
  </si>
  <si>
    <t>CM: 1773 MHz 5-Cell Procurement</t>
  </si>
  <si>
    <t xml:space="preserve">  HR_0805_5160</t>
  </si>
  <si>
    <t>A.PP082</t>
  </si>
  <si>
    <t>Motor Control &amp; Load Centers</t>
  </si>
  <si>
    <t xml:space="preserve">  IF_0304_1360</t>
  </si>
  <si>
    <t xml:space="preserve">  IF_0304_1460</t>
  </si>
  <si>
    <t xml:space="preserve">  IF_0304_1580</t>
  </si>
  <si>
    <t xml:space="preserve">  IF_0304_1620</t>
  </si>
  <si>
    <t xml:space="preserve">  IF_0304_1740</t>
  </si>
  <si>
    <t xml:space="preserve">  IF_0304_1780</t>
  </si>
  <si>
    <t>A.PP088</t>
  </si>
  <si>
    <t>RCS Quad Magnets</t>
  </si>
  <si>
    <t xml:space="preserve">  EJ_0201_1820</t>
  </si>
  <si>
    <t>A.PP093</t>
  </si>
  <si>
    <t>SSA: ERL Main Linac Fundamental</t>
  </si>
  <si>
    <t xml:space="preserve">  HR_0805_1180</t>
  </si>
  <si>
    <t>A.PP097</t>
  </si>
  <si>
    <t>New LINAC Tunnel 1002</t>
  </si>
  <si>
    <t xml:space="preserve">  IF_0202_1080</t>
  </si>
  <si>
    <t xml:space="preserve">  IF_0202_1100</t>
  </si>
  <si>
    <t xml:space="preserve">  IF_0202_1120</t>
  </si>
  <si>
    <t>A.PP107</t>
  </si>
  <si>
    <t xml:space="preserve">  EJ_0201_1920</t>
  </si>
  <si>
    <t>A.PP112</t>
  </si>
  <si>
    <t>ESR Magnet Quad #1</t>
  </si>
  <si>
    <t xml:space="preserve">  SR_0200_1680</t>
  </si>
  <si>
    <t>A.PP113</t>
  </si>
  <si>
    <t>ESR Magnet Quad #2</t>
  </si>
  <si>
    <t xml:space="preserve">  SR_0200_1780</t>
  </si>
  <si>
    <t>A.PP129</t>
  </si>
  <si>
    <t xml:space="preserve">  DE_0300_3171</t>
  </si>
  <si>
    <t xml:space="preserve">  DE_0300_3172</t>
  </si>
  <si>
    <t>A.PP142</t>
  </si>
  <si>
    <t>Detector Magnets</t>
  </si>
  <si>
    <t xml:space="preserve">  DE_0700_3560</t>
  </si>
  <si>
    <t>D.APP01</t>
  </si>
  <si>
    <t>RCS Power Supplies</t>
  </si>
  <si>
    <t xml:space="preserve">  EJ_0202_1300</t>
  </si>
  <si>
    <t>D.APP02</t>
  </si>
  <si>
    <t xml:space="preserve">  EJ_0202_1460</t>
  </si>
  <si>
    <t>D.APP03</t>
  </si>
  <si>
    <t xml:space="preserve">  EJ_0202_1620</t>
  </si>
  <si>
    <t>D.APP04</t>
  </si>
  <si>
    <t xml:space="preserve">  HR_0805_1000</t>
  </si>
  <si>
    <t>D.APP05</t>
  </si>
  <si>
    <t>Direct Wind Magnets</t>
  </si>
  <si>
    <t xml:space="preserve">  IR_0211_1120</t>
  </si>
  <si>
    <t xml:space="preserve">  IR_0211_1300</t>
  </si>
  <si>
    <t xml:space="preserve">  IR_0211_1440</t>
  </si>
  <si>
    <t xml:space="preserve">  IR_0211_1620</t>
  </si>
  <si>
    <t xml:space="preserve">  IR_0211_1800</t>
  </si>
  <si>
    <t xml:space="preserve">  IR_0211_1940</t>
  </si>
  <si>
    <t xml:space="preserve">  IR_0211_2120</t>
  </si>
  <si>
    <t xml:space="preserve">  IR_0211_2300</t>
  </si>
  <si>
    <t xml:space="preserve">  IR_0211_2440</t>
  </si>
  <si>
    <t xml:space="preserve">  IR_0211_2620</t>
  </si>
  <si>
    <t xml:space="preserve">  IR_0211_2800</t>
  </si>
  <si>
    <t xml:space="preserve">  IR_0211_2940</t>
  </si>
  <si>
    <t xml:space="preserve">  IR_0211_3120</t>
  </si>
  <si>
    <t xml:space="preserve">  IR_0211_3300</t>
  </si>
  <si>
    <t xml:space="preserve">  IR_0211_3440</t>
  </si>
  <si>
    <t xml:space="preserve">  IR_0211_3620</t>
  </si>
  <si>
    <t xml:space="preserve">  IR_0211_3800</t>
  </si>
  <si>
    <t xml:space="preserve">  IR_0211_3940</t>
  </si>
  <si>
    <t xml:space="preserve">  IR_0211_4120</t>
  </si>
  <si>
    <t xml:space="preserve">  IR_0211_4300</t>
  </si>
  <si>
    <t xml:space="preserve">  IR_0211_4440</t>
  </si>
  <si>
    <t xml:space="preserve">  IR_0211_4620</t>
  </si>
  <si>
    <t xml:space="preserve">  IR_0211_4800</t>
  </si>
  <si>
    <t xml:space="preserve">  IR_0211_4940</t>
  </si>
  <si>
    <t xml:space="preserve">  IR_0211_5120</t>
  </si>
  <si>
    <t xml:space="preserve">  IR_0211_5300</t>
  </si>
  <si>
    <t xml:space="preserve">  IR_0211_5440</t>
  </si>
  <si>
    <t xml:space="preserve">  IR_0211_5620</t>
  </si>
  <si>
    <t xml:space="preserve">  IR_0211_5800</t>
  </si>
  <si>
    <t xml:space="preserve">  IR_0211_5940</t>
  </si>
  <si>
    <t xml:space="preserve">  IR_0211_6120</t>
  </si>
  <si>
    <t xml:space="preserve">  IR_0211_6300</t>
  </si>
  <si>
    <t xml:space="preserve">  IR_0211_6440</t>
  </si>
  <si>
    <t>D.APP06</t>
  </si>
  <si>
    <t>Tower Water Systems</t>
  </si>
  <si>
    <t xml:space="preserve">  IF_0403_1100</t>
  </si>
  <si>
    <t xml:space="preserve">  IF_0403_1140</t>
  </si>
  <si>
    <t xml:space="preserve">  IF_0403_1260</t>
  </si>
  <si>
    <t xml:space="preserve">  IF_0403_1300</t>
  </si>
  <si>
    <t xml:space="preserve">  IF_0403_1420</t>
  </si>
  <si>
    <t xml:space="preserve">  IF_0403_1460</t>
  </si>
  <si>
    <t xml:space="preserve">  IF_0403_1520</t>
  </si>
  <si>
    <t xml:space="preserve">  IF_0403_1560</t>
  </si>
  <si>
    <t xml:space="preserve">  IF_0403_1620</t>
  </si>
  <si>
    <t xml:space="preserve">  IF_0403_1660</t>
  </si>
  <si>
    <t>D.APP07</t>
  </si>
  <si>
    <t>Electronics</t>
  </si>
  <si>
    <t xml:space="preserve">  DE_0800_3080</t>
  </si>
  <si>
    <t>D.APP08</t>
  </si>
  <si>
    <t>Detector Infrastructure</t>
  </si>
  <si>
    <t xml:space="preserve">  DE_1000_3150</t>
  </si>
  <si>
    <t>D.APP09.A</t>
  </si>
  <si>
    <t>400 MeV Injector RF Systems</t>
  </si>
  <si>
    <t xml:space="preserve">  EJ_0401_2270</t>
  </si>
  <si>
    <t>D.APP09.B</t>
  </si>
  <si>
    <t xml:space="preserve">  EJ_0401_2280</t>
  </si>
  <si>
    <t>D.APP10.A</t>
  </si>
  <si>
    <t>CM: 394 MHz Crab Procurement</t>
  </si>
  <si>
    <t xml:space="preserve">  IR_0205_5050</t>
  </si>
  <si>
    <t>D.APP10.B</t>
  </si>
  <si>
    <t xml:space="preserve">  IR_0205_5080</t>
  </si>
  <si>
    <t>D.APP11</t>
  </si>
  <si>
    <t>Electromagnetic Calorimetry</t>
  </si>
  <si>
    <t xml:space="preserve">  DE_0500_3080</t>
  </si>
  <si>
    <t xml:space="preserve">  DE_0500_3082</t>
  </si>
  <si>
    <t xml:space="preserve">  DE_0500_3375</t>
  </si>
  <si>
    <t xml:space="preserve">  DE_0500_3380</t>
  </si>
  <si>
    <t>D.APP12.A</t>
  </si>
  <si>
    <t>CS: 197 MHz Crab FA Procurement</t>
  </si>
  <si>
    <t xml:space="preserve">  IR_0205_2050</t>
  </si>
  <si>
    <t>D.APP12.B</t>
  </si>
  <si>
    <t>CM: 197 MHz Crab Procurement</t>
  </si>
  <si>
    <t xml:space="preserve">  IR_0205_2080</t>
  </si>
  <si>
    <t>D.APP14</t>
  </si>
  <si>
    <t>Tunnel Modifications</t>
  </si>
  <si>
    <t xml:space="preserve">  IF_0207_1000</t>
  </si>
  <si>
    <t xml:space="preserve">  IF_0207_1020</t>
  </si>
  <si>
    <t xml:space="preserve">  IF_0207_1040</t>
  </si>
  <si>
    <t xml:space="preserve">  IF_0207_1060</t>
  </si>
  <si>
    <t xml:space="preserve">  IF_0207_1080</t>
  </si>
  <si>
    <t>D.APP15</t>
  </si>
  <si>
    <t>RCS Dipole Magnets</t>
  </si>
  <si>
    <t xml:space="preserve">  EJ_0201_1360</t>
  </si>
  <si>
    <t>D.APP16</t>
  </si>
  <si>
    <t>ESR Dipole Magnets</t>
  </si>
  <si>
    <t xml:space="preserve">  SR_0200_1320</t>
  </si>
  <si>
    <t>D.APP18</t>
  </si>
  <si>
    <t xml:space="preserve">  SR_0200_1220</t>
  </si>
  <si>
    <t>D.APP19</t>
  </si>
  <si>
    <t>Overhead 13.8kV &amp; Switching</t>
  </si>
  <si>
    <t xml:space="preserve">  IF_0302_1100</t>
  </si>
  <si>
    <t>Unit Substations</t>
  </si>
  <si>
    <t xml:space="preserve">  IF_0303_1240</t>
  </si>
  <si>
    <t xml:space="preserve">  IF_0303_1245</t>
  </si>
  <si>
    <t>D.APP20</t>
  </si>
  <si>
    <t>138kV Substation</t>
  </si>
  <si>
    <t xml:space="preserve">  IF_0307_1080</t>
  </si>
  <si>
    <t xml:space="preserve">  IF_0307_1120</t>
  </si>
  <si>
    <t xml:space="preserve">  IF_0307_1200</t>
  </si>
  <si>
    <t xml:space="preserve">  IF_0307_1240</t>
  </si>
  <si>
    <t xml:space="preserve">  IF_0307_1320</t>
  </si>
  <si>
    <t xml:space="preserve">  IF_0307_1340</t>
  </si>
  <si>
    <t>D.APP23</t>
  </si>
  <si>
    <t xml:space="preserve">  EJ_0202_1120</t>
  </si>
  <si>
    <t>D.APP24</t>
  </si>
  <si>
    <t>Procurement - Distribution Lines</t>
  </si>
  <si>
    <t xml:space="preserve">  AS_0201_1160</t>
  </si>
  <si>
    <t xml:space="preserve">  AS_0207_1080</t>
  </si>
  <si>
    <t>Procurement - IR02</t>
  </si>
  <si>
    <t xml:space="preserve">  HR_0808_1200</t>
  </si>
  <si>
    <t>Procurement - IR06</t>
  </si>
  <si>
    <t xml:space="preserve">  AS_0204_1200</t>
  </si>
  <si>
    <t>Procurement - IR10</t>
  </si>
  <si>
    <t xml:space="preserve">  AS_0205_1200</t>
  </si>
  <si>
    <t>Reconfiguration Existing and New 4k Distribution - Installation</t>
  </si>
  <si>
    <t xml:space="preserve">  AS_0203_1260</t>
  </si>
  <si>
    <t>D.APP25</t>
  </si>
  <si>
    <t>Installation - IR02</t>
  </si>
  <si>
    <t xml:space="preserve">  HR_0808_1260</t>
  </si>
  <si>
    <t>Installation - IR06</t>
  </si>
  <si>
    <t xml:space="preserve">  AS_0204_1320</t>
  </si>
  <si>
    <t>Installation - IR10</t>
  </si>
  <si>
    <t xml:space="preserve">  AS_0205_1260</t>
  </si>
  <si>
    <t xml:space="preserve">  AS_0201_1180</t>
  </si>
  <si>
    <t xml:space="preserve">  AS_0203_1280</t>
  </si>
  <si>
    <t xml:space="preserve">  AS_0207_1100</t>
  </si>
  <si>
    <t>D.APP27</t>
  </si>
  <si>
    <t>ESR Vacuum Pumps</t>
  </si>
  <si>
    <t xml:space="preserve">  SR_0403_1160</t>
  </si>
  <si>
    <t>D.APP29</t>
  </si>
  <si>
    <t xml:space="preserve">  SR_0300_1080</t>
  </si>
  <si>
    <t xml:space="preserve">  SR_0300_1085</t>
  </si>
  <si>
    <t xml:space="preserve">  SR_0300_1086</t>
  </si>
  <si>
    <t xml:space="preserve">  IR_0203_1300</t>
  </si>
  <si>
    <t>D.APP30</t>
  </si>
  <si>
    <t xml:space="preserve">  EJ_040102_1080</t>
  </si>
  <si>
    <t xml:space="preserve">  SR_0300_1660</t>
  </si>
  <si>
    <t xml:space="preserve">  HR_0402_1940</t>
  </si>
  <si>
    <t xml:space="preserve">  HR_0402_2600</t>
  </si>
  <si>
    <t xml:space="preserve">  IR_0203_1080</t>
  </si>
  <si>
    <t xml:space="preserve">  HR_0809_1260</t>
  </si>
  <si>
    <t xml:space="preserve">  IR_0302_3120</t>
  </si>
  <si>
    <t xml:space="preserve">  IR_0302_3980</t>
  </si>
  <si>
    <t>D.APP33</t>
  </si>
  <si>
    <t xml:space="preserve">  EJ_0201_1460</t>
  </si>
  <si>
    <t>D.APP34</t>
  </si>
  <si>
    <t>Infrastructure Engineering</t>
  </si>
  <si>
    <t xml:space="preserve">  IF_2102_1140</t>
  </si>
  <si>
    <t xml:space="preserve">  IF_2102_1160</t>
  </si>
  <si>
    <t xml:space="preserve">  IF_2102_1180</t>
  </si>
  <si>
    <t xml:space="preserve">  IF_2102_1200</t>
  </si>
  <si>
    <t xml:space="preserve">  IF_2102_1220</t>
  </si>
  <si>
    <t xml:space="preserve">  IF_2102_1240</t>
  </si>
  <si>
    <t xml:space="preserve">  IF_2102_1260</t>
  </si>
  <si>
    <t xml:space="preserve">  IF_2102_1280</t>
  </si>
  <si>
    <t xml:space="preserve">  IF_2102_1300</t>
  </si>
  <si>
    <t xml:space="preserve">  IF_2102_1320</t>
  </si>
  <si>
    <t xml:space="preserve">  IF_2102_1340</t>
  </si>
  <si>
    <t>D.APP35</t>
  </si>
  <si>
    <t>ESR Girders and Integrated Assembly</t>
  </si>
  <si>
    <t xml:space="preserve">  SR_0200_2700</t>
  </si>
  <si>
    <t>D.APP36</t>
  </si>
  <si>
    <t>RCS Girders, Assembly and Integration</t>
  </si>
  <si>
    <t xml:space="preserve">  EJ_0201_2840</t>
  </si>
  <si>
    <t xml:space="preserve">  EJ_0201_2845</t>
  </si>
  <si>
    <t>D.APP37</t>
  </si>
  <si>
    <t xml:space="preserve">  DE_0400_4161</t>
  </si>
  <si>
    <t>D.APP38</t>
  </si>
  <si>
    <t>Hadronic Calorimetry</t>
  </si>
  <si>
    <t xml:space="preserve">  DE_0600_3072</t>
  </si>
  <si>
    <t xml:space="preserve">  DE_0600_3073</t>
  </si>
  <si>
    <t xml:space="preserve">  DE_0600_3074</t>
  </si>
  <si>
    <t>D.APP41.A</t>
  </si>
  <si>
    <t>SSA: ERL Injector: Fundamental</t>
  </si>
  <si>
    <t xml:space="preserve">  HR_0805_6170</t>
  </si>
  <si>
    <t>D.APP41.B</t>
  </si>
  <si>
    <t xml:space="preserve">  HR_0805_6200</t>
  </si>
  <si>
    <t>D.APP42</t>
  </si>
  <si>
    <t xml:space="preserve">  SR_0300_1460</t>
  </si>
  <si>
    <t xml:space="preserve">  HR_0202_1080</t>
  </si>
  <si>
    <t xml:space="preserve">  HR_0202_1420</t>
  </si>
  <si>
    <t xml:space="preserve">  HR_0202_1720</t>
  </si>
  <si>
    <t xml:space="preserve">  HR_0402_1080</t>
  </si>
  <si>
    <t xml:space="preserve">  HR_0402_1420</t>
  </si>
  <si>
    <t xml:space="preserve">  HR_0402_2140</t>
  </si>
  <si>
    <t xml:space="preserve">  HR_0402_3040</t>
  </si>
  <si>
    <t xml:space="preserve">  IR_0302_3400</t>
  </si>
  <si>
    <t>D25.APP01.A</t>
  </si>
  <si>
    <t>1002 Pre-injector &amp; SHC Bldg</t>
  </si>
  <si>
    <t xml:space="preserve">  IF_0204_1140</t>
  </si>
  <si>
    <t>1002H - EIC Injection LINAC Building</t>
  </si>
  <si>
    <t xml:space="preserve">  IF_0204_1060</t>
  </si>
  <si>
    <t>1002I - EIC Cryogenics Building</t>
  </si>
  <si>
    <t xml:space="preserve">  IF_0203_1060</t>
  </si>
  <si>
    <t>1006G - EIC 6 O’Clock Cryo Facility</t>
  </si>
  <si>
    <t xml:space="preserve">  IF_0203_1140</t>
  </si>
  <si>
    <t>1010C - EIC RF Power Amplifier Building</t>
  </si>
  <si>
    <t xml:space="preserve">  IF_0204_1300</t>
  </si>
  <si>
    <t>1010D - EIC 10 O'Clock DI Pumphouse</t>
  </si>
  <si>
    <t xml:space="preserve">  IF_0204_1220</t>
  </si>
  <si>
    <t>1010E - EIC 10 O'Clock Cryo Facility</t>
  </si>
  <si>
    <t xml:space="preserve">  IF_0203_1220</t>
  </si>
  <si>
    <t>Access Roads, Paving and Sitework</t>
  </si>
  <si>
    <t xml:space="preserve">  IF_0208_1000</t>
  </si>
  <si>
    <t>CRYO1002 - Cryogenic Plant (A-106, S-105)</t>
  </si>
  <si>
    <t xml:space="preserve">  IF_0202_1060</t>
  </si>
  <si>
    <t>D25.APP01.B</t>
  </si>
  <si>
    <t>1001A - EIC 1 O-Clock Power Supply Building</t>
  </si>
  <si>
    <t xml:space="preserve">  IF_0205_1060</t>
  </si>
  <si>
    <t>1003A - EIC 3 O-Clock Power Supply Building</t>
  </si>
  <si>
    <t xml:space="preserve">  IF_0205_1140</t>
  </si>
  <si>
    <t>1005T - EIC 5 O-Clock Power Supply Building</t>
  </si>
  <si>
    <t xml:space="preserve">  IF_0205_1220</t>
  </si>
  <si>
    <t>1007A - EIC 7 O-Clock Power Supply Building</t>
  </si>
  <si>
    <t xml:space="preserve">  IF_0205_1300</t>
  </si>
  <si>
    <t>1009A - EIC 9 O-Clock Power Supply Building</t>
  </si>
  <si>
    <t xml:space="preserve">  IF_0205_1380</t>
  </si>
  <si>
    <t>1012C - EIC Kicker Power Supply Building</t>
  </si>
  <si>
    <t xml:space="preserve">  IF_0206_1140</t>
  </si>
  <si>
    <t>Alcove Building</t>
  </si>
  <si>
    <t xml:space="preserve">  IF_0205_1460</t>
  </si>
  <si>
    <t>B1004 - Kicker Power (A-103, S-103)</t>
  </si>
  <si>
    <t xml:space="preserve">  IF_0206_1060</t>
  </si>
  <si>
    <t>D25.APP02.A</t>
  </si>
  <si>
    <t xml:space="preserve">  IF_0204_1080</t>
  </si>
  <si>
    <t xml:space="preserve">  IF_0204_1100</t>
  </si>
  <si>
    <t xml:space="preserve">  IF_0204_1120</t>
  </si>
  <si>
    <t xml:space="preserve">  IF_0204_1000</t>
  </si>
  <si>
    <t xml:space="preserve">  IF_0204_1020</t>
  </si>
  <si>
    <t xml:space="preserve">  IF_0204_1040</t>
  </si>
  <si>
    <t xml:space="preserve">  IF_0203_1000</t>
  </si>
  <si>
    <t xml:space="preserve">  IF_0203_1020</t>
  </si>
  <si>
    <t xml:space="preserve">  IF_0203_1040</t>
  </si>
  <si>
    <t xml:space="preserve">  IF_0203_1080</t>
  </si>
  <si>
    <t xml:space="preserve">  IF_0203_1100</t>
  </si>
  <si>
    <t xml:space="preserve">  IF_0203_1120</t>
  </si>
  <si>
    <t xml:space="preserve">  IF_0204_1240</t>
  </si>
  <si>
    <t xml:space="preserve">  IF_0204_1260</t>
  </si>
  <si>
    <t xml:space="preserve">  IF_0204_1280</t>
  </si>
  <si>
    <t xml:space="preserve">  IF_0204_1160</t>
  </si>
  <si>
    <t xml:space="preserve">  IF_0204_1180</t>
  </si>
  <si>
    <t xml:space="preserve">  IF_0204_1200</t>
  </si>
  <si>
    <t xml:space="preserve">  IF_0203_1160</t>
  </si>
  <si>
    <t xml:space="preserve">  IF_0203_1180</t>
  </si>
  <si>
    <t xml:space="preserve">  IF_0203_1200</t>
  </si>
  <si>
    <t>Concrete Foundations for Externally Mounted Equipment</t>
  </si>
  <si>
    <t xml:space="preserve">  IF_0204_1320</t>
  </si>
  <si>
    <t xml:space="preserve">  IF_0204_1340</t>
  </si>
  <si>
    <t xml:space="preserve">  IF_0204_1360</t>
  </si>
  <si>
    <t xml:space="preserve">  IF_0202_1000</t>
  </si>
  <si>
    <t xml:space="preserve">  IF_0202_1020</t>
  </si>
  <si>
    <t xml:space="preserve">  IF_0202_1040</t>
  </si>
  <si>
    <t>D25.APP02.B</t>
  </si>
  <si>
    <t xml:space="preserve">  IF_0205_1000</t>
  </si>
  <si>
    <t xml:space="preserve">  IF_0205_1020</t>
  </si>
  <si>
    <t xml:space="preserve">  IF_0205_1040</t>
  </si>
  <si>
    <t xml:space="preserve">  IF_0205_1080</t>
  </si>
  <si>
    <t xml:space="preserve">  IF_0205_1100</t>
  </si>
  <si>
    <t xml:space="preserve">  IF_0205_1120</t>
  </si>
  <si>
    <t xml:space="preserve">  IF_0205_1160</t>
  </si>
  <si>
    <t xml:space="preserve">  IF_0205_1180</t>
  </si>
  <si>
    <t xml:space="preserve">  IF_0205_1200</t>
  </si>
  <si>
    <t xml:space="preserve">  IF_0205_1240</t>
  </si>
  <si>
    <t xml:space="preserve">  IF_0205_1260</t>
  </si>
  <si>
    <t xml:space="preserve">  IF_0205_1280</t>
  </si>
  <si>
    <t xml:space="preserve">  IF_0205_1320</t>
  </si>
  <si>
    <t xml:space="preserve">  IF_0205_1340</t>
  </si>
  <si>
    <t xml:space="preserve">  IF_0205_1360</t>
  </si>
  <si>
    <t xml:space="preserve">  IF_0206_1080</t>
  </si>
  <si>
    <t xml:space="preserve">  IF_0206_1100</t>
  </si>
  <si>
    <t xml:space="preserve">  IF_0206_1120</t>
  </si>
  <si>
    <t xml:space="preserve">  IF_0208_1160</t>
  </si>
  <si>
    <t xml:space="preserve">  IF_0208_1180</t>
  </si>
  <si>
    <t xml:space="preserve">  IF_0208_1200</t>
  </si>
  <si>
    <t xml:space="preserve">  IF_0208_1240</t>
  </si>
  <si>
    <t xml:space="preserve">  IF_0208_1260</t>
  </si>
  <si>
    <t xml:space="preserve">  IF_0208_1280</t>
  </si>
  <si>
    <t xml:space="preserve">  IF_0205_1400</t>
  </si>
  <si>
    <t xml:space="preserve">  IF_0205_1420</t>
  </si>
  <si>
    <t xml:space="preserve">  IF_0205_1440</t>
  </si>
  <si>
    <t xml:space="preserve">  IF_0206_1000</t>
  </si>
  <si>
    <t xml:space="preserve">  IF_0206_1020</t>
  </si>
  <si>
    <t xml:space="preserve">  IF_0206_1040</t>
  </si>
  <si>
    <t>D25.APP03</t>
  </si>
  <si>
    <t>IR Spin Rotator Magnets</t>
  </si>
  <si>
    <t xml:space="preserve">  IR_0202_1140</t>
  </si>
  <si>
    <t>D25.APP04.A</t>
  </si>
  <si>
    <t>CS: 591 MHz FA Procurement</t>
  </si>
  <si>
    <t xml:space="preserve">  SR_0501_1120</t>
  </si>
  <si>
    <t>D25.APP04.B</t>
  </si>
  <si>
    <t>CM: 591 MHz 1-Cell Procurement</t>
  </si>
  <si>
    <t xml:space="preserve">  SR_0501_1180</t>
  </si>
  <si>
    <t>D25.APP05</t>
  </si>
  <si>
    <t>ESR Vacuum Chamber and Bellows</t>
  </si>
  <si>
    <t xml:space="preserve">  SR_0401_1180</t>
  </si>
  <si>
    <t>D25.APP06</t>
  </si>
  <si>
    <t>Procurement - Satellite Refrigerators</t>
  </si>
  <si>
    <t xml:space="preserve">  AS_0204_1260</t>
  </si>
  <si>
    <t xml:space="preserve">  AS_0205_1220</t>
  </si>
  <si>
    <t xml:space="preserve">  HR_0808_1220</t>
  </si>
  <si>
    <t>D25.APP07</t>
  </si>
  <si>
    <t>Low Conductivity Water Systems</t>
  </si>
  <si>
    <t xml:space="preserve">  IF_0402_1081</t>
  </si>
  <si>
    <t xml:space="preserve">  IF_0402_1083</t>
  </si>
  <si>
    <t xml:space="preserve">  IF_0402_1085</t>
  </si>
  <si>
    <t xml:space="preserve">  IF_0402_1088</t>
  </si>
  <si>
    <t xml:space="preserve">  IF_0402_1100</t>
  </si>
  <si>
    <t xml:space="preserve">  IF_0402_1140</t>
  </si>
  <si>
    <t xml:space="preserve">  IF_0402_1162</t>
  </si>
  <si>
    <t xml:space="preserve">  IF_0402_1166</t>
  </si>
  <si>
    <t xml:space="preserve">  IF_0402_1420</t>
  </si>
  <si>
    <t xml:space="preserve">  IF_0402_1460</t>
  </si>
  <si>
    <t xml:space="preserve">  IF_0402_1620</t>
  </si>
  <si>
    <t xml:space="preserve">  IF_0402_1740</t>
  </si>
  <si>
    <t xml:space="preserve">  IF_0402_1762</t>
  </si>
  <si>
    <t xml:space="preserve">  IF_0402_1766</t>
  </si>
  <si>
    <t xml:space="preserve">  IF_0402_1880</t>
  </si>
  <si>
    <t xml:space="preserve">  IF_0402_2000</t>
  </si>
  <si>
    <t xml:space="preserve">  IF_5000_5120</t>
  </si>
  <si>
    <t xml:space="preserve">  IF_5000_5600</t>
  </si>
  <si>
    <t xml:space="preserve">  IF_5000_5606</t>
  </si>
  <si>
    <t xml:space="preserve">  IF_5000_5640</t>
  </si>
  <si>
    <t xml:space="preserve">  IF_5000_5660</t>
  </si>
  <si>
    <t xml:space="preserve">  IF_5000_5710</t>
  </si>
  <si>
    <t xml:space="preserve">  IF_5000_5730</t>
  </si>
  <si>
    <t>D50.APP01.A</t>
  </si>
  <si>
    <t>SSA: 591 MHz, 400 kW with 200 kW Variant</t>
  </si>
  <si>
    <t xml:space="preserve">  SR_0501_1360</t>
  </si>
  <si>
    <t>D50.APP01.B</t>
  </si>
  <si>
    <t xml:space="preserve">  SR_0501_1420</t>
  </si>
  <si>
    <t>D50.APP01.C</t>
  </si>
  <si>
    <t xml:space="preserve">  SR_0501_1482</t>
  </si>
  <si>
    <t>S.P001</t>
  </si>
  <si>
    <t>RCS Beam Position Monitors</t>
  </si>
  <si>
    <t xml:space="preserve">  EJ_0205_1440</t>
  </si>
  <si>
    <t>S.P002</t>
  </si>
  <si>
    <t xml:space="preserve">  EJ_0201_1240</t>
  </si>
  <si>
    <t>S.P003</t>
  </si>
  <si>
    <t xml:space="preserve">  EJ_0201_1700</t>
  </si>
  <si>
    <t>S.P004</t>
  </si>
  <si>
    <t>400 MeV Injector Vacuum</t>
  </si>
  <si>
    <t xml:space="preserve">  EJ_0401_1150</t>
  </si>
  <si>
    <t>S.P005</t>
  </si>
  <si>
    <t>Transfer Lines Magnets</t>
  </si>
  <si>
    <t xml:space="preserve">  EJ_0301_1120</t>
  </si>
  <si>
    <t>S.P006</t>
  </si>
  <si>
    <t xml:space="preserve">  DE_0200_2260</t>
  </si>
  <si>
    <t>SHC Design</t>
  </si>
  <si>
    <t xml:space="preserve">  HR_0801_1510</t>
  </si>
  <si>
    <t>S.P007</t>
  </si>
  <si>
    <t>IR Magnet Cryostats</t>
  </si>
  <si>
    <t xml:space="preserve">  IR_0215_1040</t>
  </si>
  <si>
    <t>S.P008</t>
  </si>
  <si>
    <t xml:space="preserve">  HR_0404_1820</t>
  </si>
  <si>
    <t>S.P009</t>
  </si>
  <si>
    <t xml:space="preserve">  HR_0804_1200</t>
  </si>
  <si>
    <t>S.P010</t>
  </si>
  <si>
    <t>RCS Corrector Magnets</t>
  </si>
  <si>
    <t xml:space="preserve">  EJ_0201_2620</t>
  </si>
  <si>
    <t>S.P012</t>
  </si>
  <si>
    <t xml:space="preserve">  IR_0202_1380</t>
  </si>
  <si>
    <t>S.P013</t>
  </si>
  <si>
    <t>HR Injection System Upgrade Magnets</t>
  </si>
  <si>
    <t xml:space="preserve">  HR_0401_1080</t>
  </si>
  <si>
    <t>S.P015</t>
  </si>
  <si>
    <t>Cables</t>
  </si>
  <si>
    <t xml:space="preserve">  IR_0208_1720</t>
  </si>
  <si>
    <t>S.P016.A</t>
  </si>
  <si>
    <t xml:space="preserve">  IR_0205_5290</t>
  </si>
  <si>
    <t>S.P016.B</t>
  </si>
  <si>
    <t xml:space="preserve">  IR_0205_5320</t>
  </si>
  <si>
    <t>S.P017</t>
  </si>
  <si>
    <t>Chilled Water Systems</t>
  </si>
  <si>
    <t xml:space="preserve">  IF_0401_1100</t>
  </si>
  <si>
    <t xml:space="preserve">  IF_0401_1140</t>
  </si>
  <si>
    <t xml:space="preserve">  IF_0401_1200</t>
  </si>
  <si>
    <t xml:space="preserve">  IF_0401_1240</t>
  </si>
  <si>
    <t xml:space="preserve">  IF_0401_1280</t>
  </si>
  <si>
    <t xml:space="preserve">  IF_0401_1320</t>
  </si>
  <si>
    <t>S.P018</t>
  </si>
  <si>
    <t xml:space="preserve">  HR_0202_1960</t>
  </si>
  <si>
    <t>S.P019</t>
  </si>
  <si>
    <t>SHC Chicanes</t>
  </si>
  <si>
    <t xml:space="preserve">  HR_0810_1020</t>
  </si>
  <si>
    <t>S.P021</t>
  </si>
  <si>
    <t>Controls - Hardware Procurements - Diagnostics</t>
  </si>
  <si>
    <t xml:space="preserve">  AS_0305_2220</t>
  </si>
  <si>
    <t>S.P022</t>
  </si>
  <si>
    <t>RCS Injection - Pulsed Bump</t>
  </si>
  <si>
    <t xml:space="preserve">  EJ_0305_1080</t>
  </si>
  <si>
    <t>S.P023</t>
  </si>
  <si>
    <t>RCS Extraction - Kicker</t>
  </si>
  <si>
    <t xml:space="preserve">  EJ_0305_4100</t>
  </si>
  <si>
    <t>S.P024</t>
  </si>
  <si>
    <t>RCS Extraction - Pulsed Septum</t>
  </si>
  <si>
    <t xml:space="preserve">  EJ_0305_5080</t>
  </si>
  <si>
    <t>S.P025</t>
  </si>
  <si>
    <t>RCS Magnet Measuring Stations</t>
  </si>
  <si>
    <t xml:space="preserve">  EJ_0201_2980</t>
  </si>
  <si>
    <t>S.P026</t>
  </si>
  <si>
    <t xml:space="preserve">  EJ_0301_1340</t>
  </si>
  <si>
    <t>S.P027</t>
  </si>
  <si>
    <t xml:space="preserve">  HR_0500_1100</t>
  </si>
  <si>
    <t>S.P028</t>
  </si>
  <si>
    <t xml:space="preserve">  HR_0203_1420</t>
  </si>
  <si>
    <t>S.P029</t>
  </si>
  <si>
    <t xml:space="preserve">  EJ_0305_5220</t>
  </si>
  <si>
    <t>S.P030</t>
  </si>
  <si>
    <t xml:space="preserve">  IF_0304_1120</t>
  </si>
  <si>
    <t>S.P031</t>
  </si>
  <si>
    <t xml:space="preserve">  EJ_0401_1680</t>
  </si>
  <si>
    <t>S.P032</t>
  </si>
  <si>
    <t>ESR Injection &amp; Extraction - Strip-line Kickers</t>
  </si>
  <si>
    <t xml:space="preserve">  EJ_0305_6100</t>
  </si>
  <si>
    <t>S.P038</t>
  </si>
  <si>
    <t xml:space="preserve">  EJ_0305_6260</t>
  </si>
  <si>
    <t>S.P040</t>
  </si>
  <si>
    <t xml:space="preserve">  IF_0301_1780</t>
  </si>
  <si>
    <t>S.P041</t>
  </si>
  <si>
    <t xml:space="preserve">  IF_0303_1120</t>
  </si>
  <si>
    <t>S.P042</t>
  </si>
  <si>
    <t>Cable Plant</t>
  </si>
  <si>
    <t xml:space="preserve">  IF_0306_1080</t>
  </si>
  <si>
    <t xml:space="preserve">  IF_0306_1370</t>
  </si>
  <si>
    <t xml:space="preserve">  IF_0306_1440</t>
  </si>
  <si>
    <t>S.P043</t>
  </si>
  <si>
    <t xml:space="preserve">  EJ_040102_1180</t>
  </si>
  <si>
    <t xml:space="preserve">  SR_0300_1360</t>
  </si>
  <si>
    <t xml:space="preserve">  SR_0300_1560</t>
  </si>
  <si>
    <t xml:space="preserve">  SR_0300_1760</t>
  </si>
  <si>
    <t xml:space="preserve">  HR_0202_1200</t>
  </si>
  <si>
    <t xml:space="preserve">  HR_0202_1480</t>
  </si>
  <si>
    <t xml:space="preserve">  HR_0202_1620</t>
  </si>
  <si>
    <t xml:space="preserve">  HR_0402_1200</t>
  </si>
  <si>
    <t xml:space="preserve">  HR_0402_1480</t>
  </si>
  <si>
    <t xml:space="preserve">  HR_0402_1620</t>
  </si>
  <si>
    <t xml:space="preserve">  HR_0402_1960</t>
  </si>
  <si>
    <t xml:space="preserve">  HR_0402_2700</t>
  </si>
  <si>
    <t xml:space="preserve">  IR_0203_1200</t>
  </si>
  <si>
    <t xml:space="preserve">  IR_0203_1645</t>
  </si>
  <si>
    <t xml:space="preserve">  HR_0809_1360</t>
  </si>
  <si>
    <t xml:space="preserve">  HR_0809_1560</t>
  </si>
  <si>
    <t xml:space="preserve">  IR_0302_3280</t>
  </si>
  <si>
    <t xml:space="preserve">  IR_0302_3660</t>
  </si>
  <si>
    <t xml:space="preserve">  IR_0302_4020</t>
  </si>
  <si>
    <t>S.P044</t>
  </si>
  <si>
    <t>400 MeV Profile and Emittance Monitors</t>
  </si>
  <si>
    <t xml:space="preserve">  EJ_0401_6960</t>
  </si>
  <si>
    <t>S.P045</t>
  </si>
  <si>
    <t>Hadron Ring Injection Transfer Line Instrumentation</t>
  </si>
  <si>
    <t xml:space="preserve">  HR_0602_1120</t>
  </si>
  <si>
    <t>S.P046</t>
  </si>
  <si>
    <t>RCS Synchrotron Radiation Monitor</t>
  </si>
  <si>
    <t xml:space="preserve">  EJ_0205_8360</t>
  </si>
  <si>
    <t>S.P047</t>
  </si>
  <si>
    <t xml:space="preserve">  EJ_0401_1500</t>
  </si>
  <si>
    <t>S.P048</t>
  </si>
  <si>
    <t>ESR Injection - Slow Pulsed Septum</t>
  </si>
  <si>
    <t xml:space="preserve">  EJ_0305_8100</t>
  </si>
  <si>
    <t>S.P049</t>
  </si>
  <si>
    <t>ESR Magnet Correctors Design</t>
  </si>
  <si>
    <t xml:space="preserve">  SR_0200_2460</t>
  </si>
  <si>
    <t>S.P050</t>
  </si>
  <si>
    <t xml:space="preserve">  HR_0500_1460</t>
  </si>
  <si>
    <t>S.P051</t>
  </si>
  <si>
    <t>Hadron Ring Additional Snakes</t>
  </si>
  <si>
    <t xml:space="preserve">  HR_0700_1040</t>
  </si>
  <si>
    <t>S.P052</t>
  </si>
  <si>
    <t>Controls - Hardware Procurements - Global Controls - Timing, Common Platform FECs MCHINE Protection</t>
  </si>
  <si>
    <t xml:space="preserve">  AS_0302_1480</t>
  </si>
  <si>
    <t>S.P053</t>
  </si>
  <si>
    <t xml:space="preserve">  DE_0500_3240</t>
  </si>
  <si>
    <t>Hadron Ring BPM Upgrade</t>
  </si>
  <si>
    <t xml:space="preserve">  HR_0601_1210</t>
  </si>
  <si>
    <t>S.P054</t>
  </si>
  <si>
    <t xml:space="preserve">  DE_0400_4150</t>
  </si>
  <si>
    <t>S.P055</t>
  </si>
  <si>
    <t>Collimation System Design and Integration</t>
  </si>
  <si>
    <t xml:space="preserve">  IR_0204_1380</t>
  </si>
  <si>
    <t>S.P056</t>
  </si>
  <si>
    <t xml:space="preserve">  DE_0300_3220</t>
  </si>
  <si>
    <t>S.P057</t>
  </si>
  <si>
    <t xml:space="preserve">  HR_0202_1725</t>
  </si>
  <si>
    <t xml:space="preserve">  HR_0402_1980</t>
  </si>
  <si>
    <t xml:space="preserve">  HR_0402_2160</t>
  </si>
  <si>
    <t xml:space="preserve">  IR_0302_4000</t>
  </si>
  <si>
    <t>S.P058</t>
  </si>
  <si>
    <t>Procurement - 2K Satellite Plant Auxiliary Systems</t>
  </si>
  <si>
    <t xml:space="preserve">  AS_0204_1240</t>
  </si>
  <si>
    <t xml:space="preserve">  AS_0205_1240</t>
  </si>
  <si>
    <t xml:space="preserve">  HR_0808_1240</t>
  </si>
  <si>
    <t>S.P059</t>
  </si>
  <si>
    <t xml:space="preserve">  HR_0500_1810</t>
  </si>
  <si>
    <t>S.P060.A</t>
  </si>
  <si>
    <t>RCS: Production Procurement, Assembly, Test</t>
  </si>
  <si>
    <t xml:space="preserve">  EJ_0204_1600</t>
  </si>
  <si>
    <t>S.P060.B</t>
  </si>
  <si>
    <t xml:space="preserve">  EJ_0204_1660</t>
  </si>
  <si>
    <t>S.P061</t>
  </si>
  <si>
    <t>Hadron Polarimetry at IP12</t>
  </si>
  <si>
    <t xml:space="preserve">  IR_0302_1143</t>
  </si>
  <si>
    <t>S.P062</t>
  </si>
  <si>
    <t>Transfer Lines Vacuum</t>
  </si>
  <si>
    <t xml:space="preserve">  EJ_0303_2300</t>
  </si>
  <si>
    <t>S.P063</t>
  </si>
  <si>
    <t xml:space="preserve">  DE_0400_4263</t>
  </si>
  <si>
    <t>S.P065.A</t>
  </si>
  <si>
    <t>24.6 MHz Cavity Components</t>
  </si>
  <si>
    <t xml:space="preserve">  HR_0301_1100</t>
  </si>
  <si>
    <t>S.P065.B</t>
  </si>
  <si>
    <t>24.6 MHz Cavity Assembly and Test</t>
  </si>
  <si>
    <t xml:space="preserve">  HR_0301_1160</t>
  </si>
  <si>
    <t>S.P066</t>
  </si>
  <si>
    <t xml:space="preserve">  AS_0307_1920</t>
  </si>
  <si>
    <t>S.P067</t>
  </si>
  <si>
    <t>RCS Vacuum Monitoring and Control</t>
  </si>
  <si>
    <t xml:space="preserve">  EJ_0203_1440</t>
  </si>
  <si>
    <t>S.P068.A</t>
  </si>
  <si>
    <t>ERL: Production Procurement, Assembly, Test</t>
  </si>
  <si>
    <t xml:space="preserve">  HR_0805_6290</t>
  </si>
  <si>
    <t>S.P068.B</t>
  </si>
  <si>
    <t xml:space="preserve">  HR_0805_6320</t>
  </si>
  <si>
    <t>S.P069</t>
  </si>
  <si>
    <t>Controls - Hardware Procurements - Power Supply</t>
  </si>
  <si>
    <t xml:space="preserve">  AS_0307_1640</t>
  </si>
  <si>
    <t>S.P070.A</t>
  </si>
  <si>
    <t>HSR: Production Procurement, Assembly, Test</t>
  </si>
  <si>
    <t xml:space="preserve">  HR_0301_1580</t>
  </si>
  <si>
    <t>S.P070.B</t>
  </si>
  <si>
    <t xml:space="preserve">  HR_0301_1640</t>
  </si>
  <si>
    <t>S.P071</t>
  </si>
  <si>
    <t>197 MHz Crab Cavity R&amp;D</t>
  </si>
  <si>
    <t xml:space="preserve">  RD_0305_1680</t>
  </si>
  <si>
    <t>S.P072</t>
  </si>
  <si>
    <t xml:space="preserve">  RD_0305_1220</t>
  </si>
  <si>
    <t>S.P073</t>
  </si>
  <si>
    <t>Electron Storage Ring Vacuum Development</t>
  </si>
  <si>
    <t xml:space="preserve">  RD_0309_1360</t>
  </si>
  <si>
    <t>S.P074</t>
  </si>
  <si>
    <t>IR Magnet Prototyping</t>
  </si>
  <si>
    <t xml:space="preserve">  RD_0303_1160</t>
  </si>
  <si>
    <t>S.P075</t>
  </si>
  <si>
    <t>ESR Vacuum Utilities (racks, cooling water)</t>
  </si>
  <si>
    <t xml:space="preserve">  SR_0405_1160</t>
  </si>
  <si>
    <t>S.P076</t>
  </si>
  <si>
    <t>Cryogenics Controls - Controls &amp; Instrumentation Hardware Procurement</t>
  </si>
  <si>
    <t xml:space="preserve">  AS_0203_1160</t>
  </si>
  <si>
    <t xml:space="preserve">  AS_0204_1160</t>
  </si>
  <si>
    <t xml:space="preserve">  AS_0205_1160</t>
  </si>
  <si>
    <t xml:space="preserve">  HR_0808_1160</t>
  </si>
  <si>
    <t>S.P077</t>
  </si>
  <si>
    <t xml:space="preserve">  AS_0203_1100</t>
  </si>
  <si>
    <t xml:space="preserve">  AS_0204_1100</t>
  </si>
  <si>
    <t xml:space="preserve">  AS_0205_1100</t>
  </si>
  <si>
    <t xml:space="preserve">  HR_0808_1100</t>
  </si>
  <si>
    <t>S.P078</t>
  </si>
  <si>
    <t>RCS Vacuum Valves</t>
  </si>
  <si>
    <t xml:space="preserve">  EJ_0203_1560</t>
  </si>
  <si>
    <t>S.P079</t>
  </si>
  <si>
    <t xml:space="preserve">  RD_0303_1360</t>
  </si>
  <si>
    <t>S.P080</t>
  </si>
  <si>
    <t xml:space="preserve">  EJ_0305_8260</t>
  </si>
  <si>
    <t>S.P081</t>
  </si>
  <si>
    <t xml:space="preserve">  IF_0304_1220</t>
  </si>
  <si>
    <t>S.P082</t>
  </si>
  <si>
    <t xml:space="preserve">  IF_0103_1540</t>
  </si>
  <si>
    <t xml:space="preserve">  IF_0103_1560</t>
  </si>
  <si>
    <t xml:space="preserve">  IF_0103_1580</t>
  </si>
  <si>
    <t xml:space="preserve">  IF_0103_1600</t>
  </si>
  <si>
    <t xml:space="preserve">  IF_0103_1620</t>
  </si>
  <si>
    <t xml:space="preserve">  IF_0103_1640</t>
  </si>
  <si>
    <t xml:space="preserve">  IF_0103_1641</t>
  </si>
  <si>
    <t xml:space="preserve">  IF_0103_1642</t>
  </si>
  <si>
    <t xml:space="preserve">  IF_0103_1643</t>
  </si>
  <si>
    <t xml:space="preserve">  IF_0103_1644</t>
  </si>
  <si>
    <t>S.P083</t>
  </si>
  <si>
    <t xml:space="preserve">  IF_0103_1380</t>
  </si>
  <si>
    <t xml:space="preserve">  IF_0103_1400</t>
  </si>
  <si>
    <t xml:space="preserve">  IF_0103_1420</t>
  </si>
  <si>
    <t xml:space="preserve">  IF_0103_1440</t>
  </si>
  <si>
    <t xml:space="preserve">  IF_0103_1441</t>
  </si>
  <si>
    <t xml:space="preserve">  IF_0103_1442</t>
  </si>
  <si>
    <t xml:space="preserve">  IF_0103_1443</t>
  </si>
  <si>
    <t xml:space="preserve">  IF_0103_1444</t>
  </si>
  <si>
    <t>S.P084</t>
  </si>
  <si>
    <t xml:space="preserve">  IF_0103_1460</t>
  </si>
  <si>
    <t xml:space="preserve">  IF_0103_1480</t>
  </si>
  <si>
    <t xml:space="preserve">  IF_0103_1500</t>
  </si>
  <si>
    <t xml:space="preserve">  IF_0103_1520</t>
  </si>
  <si>
    <t xml:space="preserve">  IF_0103_1521</t>
  </si>
  <si>
    <t xml:space="preserve">  IF_0103_1522</t>
  </si>
  <si>
    <t xml:space="preserve">  IF_0103_1523</t>
  </si>
  <si>
    <t xml:space="preserve">  IF_0103_1524</t>
  </si>
  <si>
    <t>S.P085</t>
  </si>
  <si>
    <t xml:space="preserve">  EJ_0201_2160</t>
  </si>
  <si>
    <t>S.P086</t>
  </si>
  <si>
    <t xml:space="preserve">  IR_0208_1080</t>
  </si>
  <si>
    <t>S.P089</t>
  </si>
  <si>
    <t xml:space="preserve">  EJ_0305_9260</t>
  </si>
  <si>
    <t>S.P090</t>
  </si>
  <si>
    <t xml:space="preserve">  EJ_0401_1040</t>
  </si>
  <si>
    <t>S.P091</t>
  </si>
  <si>
    <t xml:space="preserve">  EJ_040102_1315</t>
  </si>
  <si>
    <t xml:space="preserve">  SR_0300_2040</t>
  </si>
  <si>
    <t xml:space="preserve">  HR_0202_1730</t>
  </si>
  <si>
    <t xml:space="preserve">  HR_0402_2180</t>
  </si>
  <si>
    <t xml:space="preserve">  HR_0402_2920</t>
  </si>
  <si>
    <t xml:space="preserve">  HR_0809_1685</t>
  </si>
  <si>
    <t xml:space="preserve">  IR_0302_3800</t>
  </si>
  <si>
    <t xml:space="preserve">  IR_0302_4040</t>
  </si>
  <si>
    <t>S.P092</t>
  </si>
  <si>
    <t xml:space="preserve">  IR_0215_1220</t>
  </si>
  <si>
    <t>S.P093</t>
  </si>
  <si>
    <t xml:space="preserve">  HR_0500_1980</t>
  </si>
  <si>
    <t>S.P094</t>
  </si>
  <si>
    <t xml:space="preserve">  AS_0302_2440</t>
  </si>
  <si>
    <t xml:space="preserve">  AS_0302_3290</t>
  </si>
  <si>
    <t xml:space="preserve">  AS_0302_3350</t>
  </si>
  <si>
    <t>S.P095</t>
  </si>
  <si>
    <t xml:space="preserve">  EJ_040102_1680</t>
  </si>
  <si>
    <t xml:space="preserve">  SR_0300_2200</t>
  </si>
  <si>
    <t xml:space="preserve">  IR_0302_4400</t>
  </si>
  <si>
    <t>S.P096</t>
  </si>
  <si>
    <t xml:space="preserve">  EJ_0401_1380</t>
  </si>
  <si>
    <t>S.P097.A</t>
  </si>
  <si>
    <t>295 MHz Cavity Components</t>
  </si>
  <si>
    <t xml:space="preserve">  EJ_0204_2050</t>
  </si>
  <si>
    <t>S.P098.A</t>
  </si>
  <si>
    <t>148 MHz Cavity Components</t>
  </si>
  <si>
    <t xml:space="preserve">  EJ_0204_2410</t>
  </si>
  <si>
    <t>S.P099</t>
  </si>
  <si>
    <t>ESR 1-Cell Cavity R&amp;D</t>
  </si>
  <si>
    <t xml:space="preserve">  RD_0308_1160</t>
  </si>
  <si>
    <t>S.P100.A</t>
  </si>
  <si>
    <t>SSA: RCS Bunch Merge 1: 296 MHz</t>
  </si>
  <si>
    <t xml:space="preserve">  EJ_0204_2170</t>
  </si>
  <si>
    <t>S.P100.B</t>
  </si>
  <si>
    <t xml:space="preserve">  EJ_0204_2200</t>
  </si>
  <si>
    <t>S.P101.A</t>
  </si>
  <si>
    <t>SSA: RCS Bunch Merge 2: 148 MHz</t>
  </si>
  <si>
    <t xml:space="preserve">  EJ_0204_2530</t>
  </si>
  <si>
    <t>S.P102.B</t>
  </si>
  <si>
    <t>197 MHz Cavity (ERL Inj) Assembly and Test</t>
  </si>
  <si>
    <t xml:space="preserve">  HR_0805_6080</t>
  </si>
  <si>
    <t>S.P103.A</t>
  </si>
  <si>
    <t>CS: ERL Inj Procurement</t>
  </si>
  <si>
    <t xml:space="preserve">  HR_0805_6410</t>
  </si>
  <si>
    <t>S.P104.A</t>
  </si>
  <si>
    <t>SSA: ERL Injector Third Harmonic: 1773 MHz</t>
  </si>
  <si>
    <t xml:space="preserve">  HR_0805_6530</t>
  </si>
  <si>
    <t>S.P105</t>
  </si>
  <si>
    <t xml:space="preserve">  EJ_0401_2580</t>
  </si>
  <si>
    <t>S.P106</t>
  </si>
  <si>
    <t>HP HOM Absorber Prototype</t>
  </si>
  <si>
    <t xml:space="preserve">  RD_0304_2200</t>
  </si>
  <si>
    <t>S.P107</t>
  </si>
  <si>
    <t>ESR Vacuum Monitoring and Control</t>
  </si>
  <si>
    <t xml:space="preserve">  SR_0404_1160</t>
  </si>
  <si>
    <t>S.P108</t>
  </si>
  <si>
    <t>Controls - Hardware Procurements - Water and Cryo</t>
  </si>
  <si>
    <t xml:space="preserve">  AS_0307_1540</t>
  </si>
  <si>
    <t>S.P110</t>
  </si>
  <si>
    <t>HP FPC Prototype</t>
  </si>
  <si>
    <t xml:space="preserve">  RD_0304_2020</t>
  </si>
  <si>
    <t>S.P111</t>
  </si>
  <si>
    <t>ESR Vacuum Valves</t>
  </si>
  <si>
    <t xml:space="preserve">  SR_0402_1160</t>
  </si>
  <si>
    <t>S.P112</t>
  </si>
  <si>
    <t>Polarized Electron Source Laser</t>
  </si>
  <si>
    <t xml:space="preserve">  EJ_0402_4060</t>
  </si>
  <si>
    <t>S.P113</t>
  </si>
  <si>
    <t>Lepton Polarimetry in the RCS</t>
  </si>
  <si>
    <t xml:space="preserve">  IR_0301_3120</t>
  </si>
  <si>
    <t xml:space="preserve">  IR_0301_3140</t>
  </si>
  <si>
    <t xml:space="preserve">  IR_0301_3160</t>
  </si>
  <si>
    <t>Lepton Polarimetry in the Storage Ring</t>
  </si>
  <si>
    <t xml:space="preserve">  IR_0301_1120</t>
  </si>
  <si>
    <t xml:space="preserve">  IR_0301_1140</t>
  </si>
  <si>
    <t xml:space="preserve">  IR_0301_1160</t>
  </si>
  <si>
    <t>S.P114</t>
  </si>
  <si>
    <t xml:space="preserve">  HR_0203_1200</t>
  </si>
  <si>
    <t>S.P115</t>
  </si>
  <si>
    <t>HR Injection System Upgrade Vacuum System</t>
  </si>
  <si>
    <t xml:space="preserve">  HR_0403_1200</t>
  </si>
  <si>
    <t>S.P116</t>
  </si>
  <si>
    <t>SHC Beam Transport Vacuum Systems</t>
  </si>
  <si>
    <t xml:space="preserve">  HR_0804_4800</t>
  </si>
  <si>
    <t>S.P117</t>
  </si>
  <si>
    <t xml:space="preserve">  HR_0804_5400</t>
  </si>
  <si>
    <t>S.P118</t>
  </si>
  <si>
    <t xml:space="preserve">  HR_0804_6000</t>
  </si>
  <si>
    <t>S.P120</t>
  </si>
  <si>
    <t xml:space="preserve">  HR_0804_5740</t>
  </si>
  <si>
    <t>S.P121</t>
  </si>
  <si>
    <t>SSA: HSR: Store 2</t>
  </si>
  <si>
    <t xml:space="preserve">  HR_0305_1162</t>
  </si>
  <si>
    <t>S.P122</t>
  </si>
  <si>
    <t xml:space="preserve">  DE_0800_3031</t>
  </si>
  <si>
    <t>S.P123</t>
  </si>
  <si>
    <t xml:space="preserve">  HR_0500_1750</t>
  </si>
  <si>
    <t>S.P124</t>
  </si>
  <si>
    <t>SHC Electron Source</t>
  </si>
  <si>
    <t xml:space="preserve">  HR_0802_1260</t>
  </si>
  <si>
    <t>S.P125</t>
  </si>
  <si>
    <t xml:space="preserve">  HR_0601_1240</t>
  </si>
  <si>
    <t>S.P126</t>
  </si>
  <si>
    <t>TL Profile and Emittance Monitors</t>
  </si>
  <si>
    <t xml:space="preserve">  EJ_0304_7280</t>
  </si>
  <si>
    <t>S.P127</t>
  </si>
  <si>
    <t>400 MeV Current and Charge Monitors</t>
  </si>
  <si>
    <t xml:space="preserve">  EJ_0401_5400</t>
  </si>
  <si>
    <t>S.P128</t>
  </si>
  <si>
    <t xml:space="preserve">  HR_0603_2960</t>
  </si>
  <si>
    <t>S.P129</t>
  </si>
  <si>
    <t>SHC Beam Position Monitors</t>
  </si>
  <si>
    <t xml:space="preserve">  HR_0807_0080</t>
  </si>
  <si>
    <t>S.P130</t>
  </si>
  <si>
    <t xml:space="preserve">  HR_0601_1360</t>
  </si>
  <si>
    <t>S.P131</t>
  </si>
  <si>
    <t>SHC Charge and Current Monitors</t>
  </si>
  <si>
    <t xml:space="preserve">  HR_0807_2080</t>
  </si>
  <si>
    <t>S.P132</t>
  </si>
  <si>
    <t>ESR Synchrotron and X-ray Radiation Monitors</t>
  </si>
  <si>
    <t xml:space="preserve">  SR_0604_1360</t>
  </si>
  <si>
    <t>S.P133</t>
  </si>
  <si>
    <t>ESR Beam Position Monitors</t>
  </si>
  <si>
    <t xml:space="preserve">  SR_0601_1620</t>
  </si>
  <si>
    <t>S.P134</t>
  </si>
  <si>
    <t xml:space="preserve">  SR_0601_1760</t>
  </si>
  <si>
    <t>S.P135</t>
  </si>
  <si>
    <t>IR Beam Position Monitors</t>
  </si>
  <si>
    <t xml:space="preserve">  IR_0206_1320</t>
  </si>
  <si>
    <t>S.P136</t>
  </si>
  <si>
    <t xml:space="preserve">  EJ_0205_1600</t>
  </si>
  <si>
    <t>S.P137</t>
  </si>
  <si>
    <t>ESR Tune Meter and Bunch-by-Bunch Longitudinal Feedback Systems</t>
  </si>
  <si>
    <t xml:space="preserve">  SR_0603_1200</t>
  </si>
  <si>
    <t>S.P138</t>
  </si>
  <si>
    <t xml:space="preserve">  EJ_0205_1720</t>
  </si>
  <si>
    <t>S.P139</t>
  </si>
  <si>
    <t>SHC Synchrotron Radiation Monitors</t>
  </si>
  <si>
    <t xml:space="preserve">  HR_0807_8080</t>
  </si>
  <si>
    <t>S.P140</t>
  </si>
  <si>
    <t xml:space="preserve">  SR_0601_1440</t>
  </si>
  <si>
    <t>S.P141</t>
  </si>
  <si>
    <t>SHC Profile and Emittance Monitors</t>
  </si>
  <si>
    <t xml:space="preserve">  HR_0807_4080</t>
  </si>
  <si>
    <t>S.P142</t>
  </si>
  <si>
    <t xml:space="preserve">  HR_0601_1300</t>
  </si>
  <si>
    <t>S.P143</t>
  </si>
  <si>
    <t xml:space="preserve">  DE_0300_3180</t>
  </si>
  <si>
    <t>S.P144</t>
  </si>
  <si>
    <t xml:space="preserve">  DE_0300_3230</t>
  </si>
  <si>
    <t>S.P146.A</t>
  </si>
  <si>
    <t>SSA: RCS: Fundamental</t>
  </si>
  <si>
    <t xml:space="preserve">  EJ_0204_1360</t>
  </si>
  <si>
    <t>S.P146.B</t>
  </si>
  <si>
    <t xml:space="preserve">  EJ_0204_1420</t>
  </si>
  <si>
    <t>S.P147</t>
  </si>
  <si>
    <t xml:space="preserve">  IF_0305_1420</t>
  </si>
  <si>
    <t>S.P148.A</t>
  </si>
  <si>
    <t>ESR: Production Procurement, Assembly, Test</t>
  </si>
  <si>
    <t xml:space="preserve">  SR_0501_1600</t>
  </si>
  <si>
    <t>S.P148.B</t>
  </si>
  <si>
    <t xml:space="preserve">  SR_0501_1660</t>
  </si>
  <si>
    <t>S.P149.A</t>
  </si>
  <si>
    <t>SSA: HSR Bunch Split 2: 98 MHz</t>
  </si>
  <si>
    <t xml:space="preserve">  HR_0303_1340</t>
  </si>
  <si>
    <t>S.P149.B</t>
  </si>
  <si>
    <t xml:space="preserve">  HR_0303_1400</t>
  </si>
  <si>
    <t>S.P150.A</t>
  </si>
  <si>
    <t>SSA: ERL Main Linac Third Harmonic: 1773 MHz</t>
  </si>
  <si>
    <t xml:space="preserve">  HR_0805_5340</t>
  </si>
  <si>
    <t>S.P150.B</t>
  </si>
  <si>
    <t xml:space="preserve">  HR_0805_5400</t>
  </si>
  <si>
    <t>S.P151.A</t>
  </si>
  <si>
    <t xml:space="preserve">  HR_0304_1580</t>
  </si>
  <si>
    <t>S.P151.B</t>
  </si>
  <si>
    <t xml:space="preserve">  HR_0304_1640</t>
  </si>
  <si>
    <t>S.P154.A</t>
  </si>
  <si>
    <t>49.2 MHz Cavity Components</t>
  </si>
  <si>
    <t xml:space="preserve">  HR_0302_1100</t>
  </si>
  <si>
    <t>S.P154.B</t>
  </si>
  <si>
    <t>49.2 MHz Cavity Assembly and Test</t>
  </si>
  <si>
    <t xml:space="preserve">  HR_0302_1160</t>
  </si>
  <si>
    <t>S.P155.A</t>
  </si>
  <si>
    <t>98.4 MHz Cavity Components</t>
  </si>
  <si>
    <t xml:space="preserve">  HR_0303_1100</t>
  </si>
  <si>
    <t>S.P155.B</t>
  </si>
  <si>
    <t>98.4 MHz Cavity Assembly and Test</t>
  </si>
  <si>
    <t xml:space="preserve">  HR_0303_1160</t>
  </si>
  <si>
    <t>S.P156.A</t>
  </si>
  <si>
    <t>197 MHz Cavity (HSR Store 1) Components</t>
  </si>
  <si>
    <t xml:space="preserve">  HR_0304_1100</t>
  </si>
  <si>
    <t>S.P156.B</t>
  </si>
  <si>
    <t>197 MHz Cavity (HSR Store 1) Assembly and Test</t>
  </si>
  <si>
    <t xml:space="preserve">  HR_0304_1160</t>
  </si>
  <si>
    <t>S.P157.A</t>
  </si>
  <si>
    <t>SSA: HSR Bunch Split 1: 49 MHz</t>
  </si>
  <si>
    <t xml:space="preserve">  HR_0302_1340</t>
  </si>
  <si>
    <t>S.P157.B</t>
  </si>
  <si>
    <t xml:space="preserve">  HR_0302_1400</t>
  </si>
  <si>
    <t>S.P158.A</t>
  </si>
  <si>
    <t xml:space="preserve">  HR_0805_1360</t>
  </si>
  <si>
    <t xml:space="preserve">  HR_0805_1150</t>
  </si>
  <si>
    <t>S.P158.B</t>
  </si>
  <si>
    <t xml:space="preserve">  HR_0805_1420</t>
  </si>
  <si>
    <t>S.P159</t>
  </si>
  <si>
    <t xml:space="preserve">  HR_0305_1000</t>
  </si>
  <si>
    <t>S.P160</t>
  </si>
  <si>
    <t xml:space="preserve">  RD_0309_1185</t>
  </si>
  <si>
    <t>S.P161</t>
  </si>
  <si>
    <t xml:space="preserve">  RD_0309_1260</t>
  </si>
  <si>
    <t>S.P162</t>
  </si>
  <si>
    <t xml:space="preserve">  RD_0303_2060</t>
  </si>
  <si>
    <t>S.P163</t>
  </si>
  <si>
    <t>Detector Interface Vacuum Development</t>
  </si>
  <si>
    <t xml:space="preserve">  RD_0309_5180</t>
  </si>
  <si>
    <t>S.P164</t>
  </si>
  <si>
    <t xml:space="preserve">  RD_0310_1106</t>
  </si>
  <si>
    <t xml:space="preserve">  RD_0310_1107</t>
  </si>
  <si>
    <t xml:space="preserve">  RD_0310_1108</t>
  </si>
  <si>
    <t>S.P165</t>
  </si>
  <si>
    <t xml:space="preserve">  RD_0310_1240</t>
  </si>
  <si>
    <t>S.P166</t>
  </si>
  <si>
    <t xml:space="preserve">  RD_0310_1290</t>
  </si>
  <si>
    <t>S.P167</t>
  </si>
  <si>
    <t xml:space="preserve">  RD_0310_1488</t>
  </si>
  <si>
    <t>S.P168</t>
  </si>
  <si>
    <t xml:space="preserve">  RD_0310_1700</t>
  </si>
  <si>
    <t>S.P169</t>
  </si>
  <si>
    <t xml:space="preserve">  RD_0310_1940</t>
  </si>
  <si>
    <t>S.P183</t>
  </si>
  <si>
    <t xml:space="preserve">  HR_0305_1530</t>
  </si>
  <si>
    <t>S.P184</t>
  </si>
  <si>
    <t xml:space="preserve">  HR_0305_1610</t>
  </si>
  <si>
    <t xml:space="preserve">  IR_0215_1280</t>
  </si>
  <si>
    <t>BNL_Estimator</t>
  </si>
  <si>
    <t>BNL_WBS_Hierarchical</t>
  </si>
  <si>
    <t>Budgeted Material Cost</t>
  </si>
  <si>
    <t>Tooling Materials - Vendor Manufacturing/ Fabrication</t>
  </si>
  <si>
    <t>Prototype Material - Vendor Manufacturing/ Fabrication</t>
  </si>
  <si>
    <t>6.02.03.06.01</t>
  </si>
  <si>
    <t>PROC: RF shielded bellows - Non Labor</t>
  </si>
  <si>
    <t>PROC: Vacuum chamber cross sections - Non Labor</t>
  </si>
  <si>
    <t>PROC: Vacuum chamber welding and tooling development - Non Labor</t>
  </si>
  <si>
    <t>6.02.03.06.02</t>
  </si>
  <si>
    <t>PROC: Prototype Detector Chamber - Non Labor</t>
  </si>
  <si>
    <t>PROC: Procurement, beamline</t>
  </si>
  <si>
    <t>HV DC Gun PS 600 kV - Vendor Manufacturing - Factory Acceptance</t>
  </si>
  <si>
    <t>HV DC Gun PS 600 kV - Vendor Manufacturing - Final Acceptance</t>
  </si>
  <si>
    <t>HV DC Gun PS 600 kV - Vendor Manufacturing - Preliminary Design review</t>
  </si>
  <si>
    <t>HV DC Gun PS 600 kV - Vendor Manufacturing - Operating Manual and Parts List</t>
  </si>
  <si>
    <t>PROC: Cooler R&amp;D Miscellaneous Materials - FY24</t>
  </si>
  <si>
    <t>PROC: Cooler R&amp;D Miscellaneous Materials - FY23</t>
  </si>
  <si>
    <t>PROC: Cooler R&amp;D Miscellaneous Materials - FY22</t>
  </si>
  <si>
    <t>Gun Electrodes and Feedthru - Vendor Fabrication</t>
  </si>
  <si>
    <t>PROC: Procurement, diagnostic</t>
  </si>
  <si>
    <t>PROC: Procurement, photocathode material</t>
  </si>
  <si>
    <t>01-Jun-23*</t>
  </si>
  <si>
    <t>PROC: Procurement, vacuum</t>
  </si>
  <si>
    <t>RCS Quad Prototype - Fabrication</t>
  </si>
  <si>
    <t>RCS Sextupole Prototype - Fabrcation</t>
  </si>
  <si>
    <t>6.03.02.02.01</t>
  </si>
  <si>
    <t>RCS Dipole - Magnet I - Manufacturing/Fabrication</t>
  </si>
  <si>
    <t>RCS Dipole - Magnet II - Manufacturing/Fabrication</t>
  </si>
  <si>
    <t>RCS Dipole Prototype - Fabrication</t>
  </si>
  <si>
    <t>Corrector Supplies - Vendor Fabrication</t>
  </si>
  <si>
    <t>BPM Pick-up -Button Procurement - materials</t>
  </si>
  <si>
    <t>BPM System - Miscellaneous materials</t>
  </si>
  <si>
    <t>RCS SLM Material - s-RAD</t>
  </si>
  <si>
    <t>RCS-SR H,V Corrector  - Vendor Manufacturing - CAEN-FAST PS</t>
  </si>
  <si>
    <t>400MeV-RCS Correctors CAEN - Vendor Maunufacturing</t>
  </si>
  <si>
    <t>400MeV-RCS Quad/Dipole Lambda - Vendor Maunufacturing</t>
  </si>
  <si>
    <t>RCS-SR Quad, Small Dipole - Vendor Manufacturing</t>
  </si>
  <si>
    <t>RCS-SR Large Dipole - Vendor Manufacturing</t>
  </si>
  <si>
    <t>400MeV-RCS Quad/Dipole/Corr - Purchase Racks</t>
  </si>
  <si>
    <t>RCS-SR Quad, Small Dipole, Large Dipole - Purchase-Racks</t>
  </si>
  <si>
    <t>RCS-SR H,V Corrector  - Purchase-Racks</t>
  </si>
  <si>
    <t>400MeV-RCS Quad/Dipole - DC, AC, Control Interlock Cable Order</t>
  </si>
  <si>
    <t>RCS-SR Cables - Vendor Manufacturing - DC Cable Tray Order</t>
  </si>
  <si>
    <t>400MeV-RCS Quad/Dipole/Corr - Cable Tray Order</t>
  </si>
  <si>
    <t>AC, Control, Interlock Cable &amp; Cable Tray - Vendor Maunufacturing</t>
  </si>
  <si>
    <t>Hardware Deliveries</t>
  </si>
  <si>
    <t>Profile Monitors - Construction - Non Labor</t>
  </si>
  <si>
    <t>Cable - Vendor Manufacturing - DC Cable Order</t>
  </si>
  <si>
    <t>Dipole, Solenoid and Quad PS Purchase-Racks</t>
  </si>
  <si>
    <t>Corrector PS - Vendor Manufacturing - Cable Tray</t>
  </si>
  <si>
    <t>AC, Control &amp; Interlock Cable - Vendor Manufacturing - DC Cable Order</t>
  </si>
  <si>
    <t>ICT, Material</t>
  </si>
  <si>
    <t>Streak Camera - Construction - Non Labor</t>
  </si>
  <si>
    <t>6.04.03.02.01</t>
  </si>
  <si>
    <t>ESR Quad - Magnet I - Fabrication</t>
  </si>
  <si>
    <t>6.04.03.02.02</t>
  </si>
  <si>
    <t>ESR Quad - Magnet II - Fabrication</t>
  </si>
  <si>
    <t>6.04.03.03.01</t>
  </si>
  <si>
    <t>ESR Corrector - Fabrication (#247)</t>
  </si>
  <si>
    <t>Cable Bus - Water Hoses - Manufacturing Vendor</t>
  </si>
  <si>
    <t>Correctors - Purchase-Racks</t>
  </si>
  <si>
    <t>Main Dipole/Quads/Sext -  - Purchase-Racks</t>
  </si>
  <si>
    <t>Cable Tray - Manufacturing</t>
  </si>
  <si>
    <t>ESR Vacuum Chamber and Bellows - Procurement</t>
  </si>
  <si>
    <t>BPM Pick-up -Button &amp; Housing Procurement - materials</t>
  </si>
  <si>
    <t>BPM System - Signal cables, rack hardware, system connectors</t>
  </si>
  <si>
    <t>BPM Electronics - V301 module procurement (material)</t>
  </si>
  <si>
    <t>Longitudinal Feedback System</t>
  </si>
  <si>
    <t>SR SLM Materials - s-Rad</t>
  </si>
  <si>
    <t>New PS (medium PS/ Corrector PS) - Vendor Manufacturing - CAEN</t>
  </si>
  <si>
    <t>Quench Protection - Vendor Manufacturing - QPAs - APS</t>
  </si>
  <si>
    <t>HR Straight Sw Mag APS - Vendor Manufacturing</t>
  </si>
  <si>
    <t>Quench Protection - QPAs - Purchase-Racks</t>
  </si>
  <si>
    <t>New PS (medium PS/ Corrector PS) - Purchase-Racks</t>
  </si>
  <si>
    <t>Quench Detection - QDs - Purchase-Racks</t>
  </si>
  <si>
    <t>HR Straight Sw Mag APS - DC, AC, Control Interlock Cable Order</t>
  </si>
  <si>
    <t>HR Straight Sw Mag APS - Cable Tray Order</t>
  </si>
  <si>
    <t>Corr H/V - Vendor Manufacturing - CAEN Corr H/V</t>
  </si>
  <si>
    <t>ATR Quad Cables/Corr H/V - Vendor Maunufacturing - DC Cable Order</t>
  </si>
  <si>
    <t>HR Injection DC Cables - Vendor Manufacturing - DC Cable</t>
  </si>
  <si>
    <t>ATR Quad/Dipole- Vendor Manufacturing - BiGen</t>
  </si>
  <si>
    <t>HR Inj Warm Line Quad/Dipole BiGen - Vendor Manufacturing</t>
  </si>
  <si>
    <t>ATR Dipole - Vendor Maunufacturing - APS</t>
  </si>
  <si>
    <t>ATR Quad/Dipole/Corr H/V - Purchase-Racks</t>
  </si>
  <si>
    <t>HR Inj Warm Line Quad/Dipole BiGen - Installation Racks Vendor Manufacturing</t>
  </si>
  <si>
    <t>HR Inj Warm Line Quad/Dipole BiGen - Travel</t>
  </si>
  <si>
    <t>HR Inj Warm Line Septum/Quad/Dipole - Cable Tray Order</t>
  </si>
  <si>
    <t>ATR Quad Cables/Corr H/V - Cable Tray - Vendor Maunufacturing - DC Cable Tray Order</t>
  </si>
  <si>
    <t>Tuozzolo</t>
  </si>
  <si>
    <t>BPM Electronics - Construction - Non Labor</t>
  </si>
  <si>
    <t>BPM Cables procure - Material</t>
  </si>
  <si>
    <t>BPM Buttons and Housing procure- Material</t>
  </si>
  <si>
    <t>AtR Material - Construction</t>
  </si>
  <si>
    <t>6.05.07.02</t>
  </si>
  <si>
    <t>High Current HCeS - Procurements - materials/equipment for refurbishment, upgrade, and reassembly of systems</t>
  </si>
  <si>
    <t>Partner Lab Resources - LBNL [0.5 FTE]</t>
  </si>
  <si>
    <t>03-Jan-22*</t>
  </si>
  <si>
    <t>BPM System - Materials</t>
  </si>
  <si>
    <t>Charge and Current Monitors - Materials</t>
  </si>
  <si>
    <t>Profile Monitors - Materials</t>
  </si>
  <si>
    <t>Synchrotron Radiation Monitors - Synchrotron Radiation Monitors - Materials</t>
  </si>
  <si>
    <t>Medium PS - Installation Racks</t>
  </si>
  <si>
    <t>Small PS - Installation Racks</t>
  </si>
  <si>
    <t>Cable Tray - Manufacturing - Cable Tray Order</t>
  </si>
  <si>
    <t>Hadron Chicane magnet layout / interconnect Fabrication</t>
  </si>
  <si>
    <t>Direct Wind Magnets 12 - Q2BpR - Vertical Cold Test - Material</t>
  </si>
  <si>
    <t>Direct Wind Magnets 8 - B0pF - Quad - Cold Mass Assembly - Parts Fabrication</t>
  </si>
  <si>
    <t>Direct Wind Magnets 2 - Q2eF -Cold Mass Assembly - Parts Fabrication</t>
  </si>
  <si>
    <t>Direct Wind Magnets 7 - B0pF - Dipole - Cold Mass Assembly - Parts Fabrication</t>
  </si>
  <si>
    <t>Direct Wind Magnets 8 - B0pF - Quad - Coil Assembly - Coil Parts Fabrication</t>
  </si>
  <si>
    <t>Direct Wind Magnets 3 - Q1eR - Cold Mass Assembly - Parts Fabrication</t>
  </si>
  <si>
    <t>Direct Wind Magnets 2 - Q2eF -Coil Assembly - Coil Parts Fabrication</t>
  </si>
  <si>
    <t>Direct Wind Magnets 7 - B0pF - Dipole - Coil Assembly - Coil Parts Fabrication</t>
  </si>
  <si>
    <t>Direct Wind Magnets 3 - Q1eR - Coil Assembly - Coil Parts Fabrication</t>
  </si>
  <si>
    <t>Direct Wind Magnets 4 - Q2eR - Cold Mass Assembly - Parts Fabrication</t>
  </si>
  <si>
    <t>Direct Wind Magnets 11 - Q1BpR - Coil Assembly - Coil Parts Fabrication</t>
  </si>
  <si>
    <t>Direct Wind Magnets 8 - B0pF - Quad - Vertical Cold Test - Material</t>
  </si>
  <si>
    <t>Direct Wind Magnets 4 - Q2eR - Coil Assembly - Coil Parts Fabrication</t>
  </si>
  <si>
    <t>Direct Wind Magnets 2 - Q2eF -Vertical Cold Test - Material</t>
  </si>
  <si>
    <t>Direct Wind Magnets 11 - Q1BpR - Cold Mass Assembly - Parts Fabrication</t>
  </si>
  <si>
    <t>Direct Wind Magnets 7 - B0pF - Dipole - Vertical Cold Test - Material</t>
  </si>
  <si>
    <t>Direct Wind Magnets 3 - Q1eR - Vertical Cold Test - Material</t>
  </si>
  <si>
    <t>Direct Wind Magnets 6 - B0ApF - Cold Mass Assembly - Parts Fabrication</t>
  </si>
  <si>
    <t>Direct Wind Magnets 9 - Q0eF - Cold Mass Assembly - Parts Fabrication</t>
  </si>
  <si>
    <t>Direct Wind Magnets 4 - Q2eR - Vertical Cold Test - Material</t>
  </si>
  <si>
    <t>Direct Wind Magnets 6 - B0ApF - Coil Assembly - Coil Parts Fabrication</t>
  </si>
  <si>
    <t>Direct Wind Magnets 11 - Q1BpR - Vertical Cold Test - Material</t>
  </si>
  <si>
    <t>Direct Wind Magnets 9 - Q0eF - Coil Assembly - Coil Parts Fabrication</t>
  </si>
  <si>
    <t>Direct Wind Magnets 10 - Q1ApR - Coil Assembly - Coil Parts Fabrication</t>
  </si>
  <si>
    <t>Direct Wind Magnets 10 - Q1ApR - Cold Mass Assembly - Parts Fabrication</t>
  </si>
  <si>
    <t>Direct Wind Magnets 6 - B0ApF - Vertical Cold Test - Material</t>
  </si>
  <si>
    <t>Direct Wind Magnets 9 - Q0eF - Vertical Cold Test - Material</t>
  </si>
  <si>
    <t>Direct Wind Magnets 10 - Q1ApR - Vertical Cold Test - Material</t>
  </si>
  <si>
    <t>IR PS - Vendor Manufacturing - BiGen</t>
  </si>
  <si>
    <t>IR PS  - Purchase-Racks</t>
  </si>
  <si>
    <t>Quench Detection QD BNL - Vendor Manufacturing - Purchasing Racks</t>
  </si>
  <si>
    <t>BPM Pick-up - Materials</t>
  </si>
  <si>
    <t>Cable - SC strand NbTi Matching Magnets - Fabrication</t>
  </si>
  <si>
    <t>Cable - SC Strand NbTi IR Magnets - Fabrication</t>
  </si>
  <si>
    <t>6.06.03.02</t>
  </si>
  <si>
    <t>HSR Collimators - Material</t>
  </si>
  <si>
    <t>Dalesio</t>
  </si>
  <si>
    <t>6.07.02.12.01</t>
  </si>
  <si>
    <t>Legacy Equipment Expansion - Non Labor</t>
  </si>
  <si>
    <t>6.07.02.12.03</t>
  </si>
  <si>
    <t>6.07.02.12.05</t>
  </si>
  <si>
    <t>6.07.02.12.07</t>
  </si>
  <si>
    <t>6.07.02.12.10</t>
  </si>
  <si>
    <t>Data Management – Large High Availability Storage system (500TB+) - Delivery &amp; Acceptance</t>
  </si>
  <si>
    <t>Data Management – Additional High Availability Storage Systems  - Delivery &amp; Acceptance</t>
  </si>
  <si>
    <t>6.08.02.01</t>
  </si>
  <si>
    <t>Crab Cavity Prototype - Fabrication - FPC conditioning hardware (include amplifier)</t>
  </si>
  <si>
    <t>Crab Cavity Prototype - Fabrication - Cavity</t>
  </si>
  <si>
    <t>6.08.02.02</t>
  </si>
  <si>
    <t>Nb Cavity - Fabrication (Incl. Tooling &amp; Cu Model)</t>
  </si>
  <si>
    <t>FPC: Component Fabrications - Material</t>
  </si>
  <si>
    <t>6.08.02.03.02</t>
  </si>
  <si>
    <t>BLA: Component Fabrications - Material</t>
  </si>
  <si>
    <t>6.08.03.01.01.02</t>
  </si>
  <si>
    <t>RF-CRAB-1-CM: Materials (Prototype)</t>
  </si>
  <si>
    <t>6.08.03.02.01.02</t>
  </si>
  <si>
    <t>RF-ESR-1-CM: Materials (Prototype)</t>
  </si>
  <si>
    <t>6.08.04.01.02.02</t>
  </si>
  <si>
    <t>RF-ESR-1-CM: Materials (Production)</t>
  </si>
  <si>
    <t>6.08.04.02.01.02</t>
  </si>
  <si>
    <t>RF-RCS-1-CM: Materials (Prototype)</t>
  </si>
  <si>
    <t>6.08.04.02.02.02</t>
  </si>
  <si>
    <t>RF-RCS-1-CM: Materials (Production)</t>
  </si>
  <si>
    <t>RF-ERL-1-CM: Materials (Production)</t>
  </si>
  <si>
    <t>RF-HR-5-CM: Materials (Production)</t>
  </si>
  <si>
    <t>6.08.04.03.01.02</t>
  </si>
  <si>
    <t>RF-ERL-2-CM: Materials (Prototype)</t>
  </si>
  <si>
    <t>6.08.04.03.02.02</t>
  </si>
  <si>
    <t>RF-ERL-2-CM: Materials (Production)</t>
  </si>
  <si>
    <t>6.08.04.04.02.02</t>
  </si>
  <si>
    <t>RF-CRAB-1-CM: Materials (Production)</t>
  </si>
  <si>
    <t>6.08.04.05.02.02</t>
  </si>
  <si>
    <t>RF-CRAB-2-CM: Materials (Prototype)</t>
  </si>
  <si>
    <t>RF-CRAB-2-CM: Materials (Production)</t>
  </si>
  <si>
    <t>6.08.04.06.01.02</t>
  </si>
  <si>
    <t>RF-ERL-4-CAV: Materials (First Article)</t>
  </si>
  <si>
    <t>6.08.05.01.01</t>
  </si>
  <si>
    <t>RF-RCS-2-CAV: Fabrication - 2 Cavities</t>
  </si>
  <si>
    <t>6.08.05.02.01</t>
  </si>
  <si>
    <t>RF-RCS-3-CAV: Fabrication</t>
  </si>
  <si>
    <t>6.08.05.04.01</t>
  </si>
  <si>
    <t>RF-HR-1-CAV: Materials (First Article)</t>
  </si>
  <si>
    <t>6.08.05.04.02</t>
  </si>
  <si>
    <t>RF-HR-1-CAV: Materials (Production)</t>
  </si>
  <si>
    <t>6.08.05.05.01</t>
  </si>
  <si>
    <t>RF-HR-2-CAV: Materials (First Article)</t>
  </si>
  <si>
    <t>RF-HR-2-CAV: Materials (Production)</t>
  </si>
  <si>
    <t>6.08.05.06.01</t>
  </si>
  <si>
    <t>RF-HR-3-CAV: Materials (First Article)</t>
  </si>
  <si>
    <t>RF-HR-3-CAV: Materials (Production)</t>
  </si>
  <si>
    <t>6.08.05.07.01</t>
  </si>
  <si>
    <t>RF-HR-4-CAV: Materials (First Article)</t>
  </si>
  <si>
    <t>RF-HR-4-CAV: Materials (Production)</t>
  </si>
  <si>
    <t>6.08.05.08.02</t>
  </si>
  <si>
    <t>RF-ERL-3-CAV: Materials (Production)</t>
  </si>
  <si>
    <t>RF-ESR-1-PWR: Materials (Prototype)</t>
  </si>
  <si>
    <t>RF-ESR-1-PWR: Materials (Production) - Phase 3</t>
  </si>
  <si>
    <t>RF-ESR-1-PWR: Materials (Production) - Phase 4</t>
  </si>
  <si>
    <t>RF-RCS-1-PWR: Materials (Prototype)</t>
  </si>
  <si>
    <t>RF-CRAB-1-PWR: Materials (Prototype)</t>
  </si>
  <si>
    <t>RF-CRAB-2-PWR: Materials (Prototype)</t>
  </si>
  <si>
    <t>RF-RCS-2-PWR: Materials (Prototype)</t>
  </si>
  <si>
    <t>RF-ERL-2-PWR: Materials (Prototype)</t>
  </si>
  <si>
    <t>6.08.07.03.03</t>
  </si>
  <si>
    <t>RF-RCS-1-CTRL: Materials (Prototype)</t>
  </si>
  <si>
    <t>RF-RCS-1-CTRL: Materials (Production)</t>
  </si>
  <si>
    <t>RF-ESR-1-CTRL: Materials (Prototype)</t>
  </si>
  <si>
    <t>RF-HR-1-CTRL: Materials (First Article)</t>
  </si>
  <si>
    <t>RF-HR-1-CTRL: Materials (Production)</t>
  </si>
  <si>
    <t>RF-HR-4-CTRL: Materials (First Article)</t>
  </si>
  <si>
    <t>RF-ERL-3-CTRL: Materials (First Article)</t>
  </si>
  <si>
    <t>RF-ERL-1-CTRL: Materials (First Article)</t>
  </si>
  <si>
    <t>RF-CRAB-1-CTRL: Materials (Prototype)</t>
  </si>
  <si>
    <t>RF-CRAB-2-CTRL: Materials (Prototype)</t>
  </si>
  <si>
    <t>6.09.02.03.01</t>
  </si>
  <si>
    <t>Satellite Cryoplant - Procurement - Vendor Fabrication and Delivery - IR02 SHC</t>
  </si>
  <si>
    <t>Satellite Cryoplant - Procurement - Vendor Fabrication and Delivery - IR10</t>
  </si>
  <si>
    <t>Satellite Cryoplant - Procurement - Vendor Fabrication and Delivery - IR02 SHC,IR06,IR10</t>
  </si>
  <si>
    <t>6.09.02.03.02</t>
  </si>
  <si>
    <t>LN2 Storage Dewar System - Procurement - Vendor Fabrication and Delivery - IR02 SHC</t>
  </si>
  <si>
    <t>LN2 Storage Dewar System - Procurement - Vendor Fabrication and Delivery - IR06</t>
  </si>
  <si>
    <t>LN2 Storage Dewar System - Procurement - Vendor Fabrication and Delivery - IR10</t>
  </si>
  <si>
    <t>Cryogenics System Installation Contract - NonLabor, OnSite - IR02 SHC</t>
  </si>
  <si>
    <t>Cryogenics System Installation Contract - NonLabor, OnSite - IR02 SHC,IR06,IR10</t>
  </si>
  <si>
    <t>Cryogenics System Installation Contract - NonLabor, OnSite - IR10</t>
  </si>
  <si>
    <t>Cryogenic Distribution System - Procurement - Vendor Fabrication and Delivery - IR02 HSR Mods SHC</t>
  </si>
  <si>
    <t>Cryogenic Distribution System - Procurement - Vendor Fabrication and Delivery - IR12</t>
  </si>
  <si>
    <t>Cryogenic Distribution System - Procurement - Vendor Fabrication and Delivery - IR04</t>
  </si>
  <si>
    <t>Cryogenics System Installation Contract - NonLabor, OnSite - IR04</t>
  </si>
  <si>
    <t>Cryogenics System Installation Contract - NonLabor, OnSite - IR02 HSR Mods SHC</t>
  </si>
  <si>
    <t>Cryogenics System Installation Contract - NonLabor, OnSite - IR12</t>
  </si>
  <si>
    <t>6.09.04.03.01</t>
  </si>
  <si>
    <t>Cryogenic Distribution System - Procurement - Vendor Fabrication and Delivery - IR02 SHC</t>
  </si>
  <si>
    <t>6.09.04.03.02</t>
  </si>
  <si>
    <t>Cryogenic Distribution System - Procurement - Vendor Fabrication and Delivery - IR06</t>
  </si>
  <si>
    <t>6.09.04.03.03</t>
  </si>
  <si>
    <t>Cryogenic Distribution System - Procurement - Vendor Fabrication and Delivery - IR10</t>
  </si>
  <si>
    <t>Cryogenic Controls and Instr. System - Cable and Tray Procurement - Vendor Fabrication and Delivery - IR06</t>
  </si>
  <si>
    <t>Cryogenic Controls and Instr. System - Cable and Tray Procurement - Vendor Fabrication and Delivery - IR02 SHC</t>
  </si>
  <si>
    <t>Cryogenic Controls and Instr. System - Cable and Tray Procurement - Vendor Fabrication and Delivery - IR10</t>
  </si>
  <si>
    <t>Cryogenic Controls and Instr. System - Cable and Tray Procurement - Vendor Fabrication and Delivery - IR04</t>
  </si>
  <si>
    <t>Cryogenic Controls and Instr. System - Hardware Procurement - Vendor Fabrication and Delivery - IR10</t>
  </si>
  <si>
    <t>Cryogenic Controls and Instr. System - Hardware Procurement - Vendor Fabrication and Delivery - IR02 SHC</t>
  </si>
  <si>
    <t>Cryogenic Controls and Instr. System - Hardware Procurement - Vendor Fabrication and Delivery - IR06</t>
  </si>
  <si>
    <t>Cryogenic Controls and Instr. System - Hardware Procurement - Vendor Fabrication and Delivery - IR04</t>
  </si>
  <si>
    <t>Systems Engineering &amp; Design - R&amp;D - FY23 - Phase 2</t>
  </si>
  <si>
    <t>Systems Engineering &amp; Design - R&amp;D - FY23 - Phase 3</t>
  </si>
  <si>
    <t>Systems Engineering &amp; Design - R&amp;D - FY23 - Phase 1</t>
  </si>
  <si>
    <t>Systems Engineering &amp; Design - R&amp;D - FY24 - Phase 1</t>
  </si>
  <si>
    <t>Eng</t>
  </si>
  <si>
    <t>6.10.03</t>
  </si>
  <si>
    <t>Tracking: Mu Vertex - Material - Construction</t>
  </si>
  <si>
    <t>Tracking: TPC - Material - Construction</t>
  </si>
  <si>
    <t>Tracking: Long Lead Procurement - GEM foils for MPGDs</t>
  </si>
  <si>
    <t>Tracking: Lepton Endcap - Material - Construction</t>
  </si>
  <si>
    <t>Tracking: Hadron Endcap Low-rapidity Si - Material - Construction</t>
  </si>
  <si>
    <t>Tracking: Lepton Endcap Low-rapidity Si - Material - Construction</t>
  </si>
  <si>
    <t>Zilhmann</t>
  </si>
  <si>
    <t>6.10.04</t>
  </si>
  <si>
    <t>PID: Long Lead Procurement - Silicon Photomultipliers</t>
  </si>
  <si>
    <t>PID: Hadron Endcap Construction - Materials</t>
  </si>
  <si>
    <t>PID: Barrel Construction - Materials</t>
  </si>
  <si>
    <t>PID: Barrel First Article</t>
  </si>
  <si>
    <t>PID: Lepton Endcap Construction - Materials</t>
  </si>
  <si>
    <t>6.10.05</t>
  </si>
  <si>
    <t>EMCal - Long Lead Procurement - PbWO4 Crystals</t>
  </si>
  <si>
    <t>EMCal - Long Lead Procurement - Silicon Photomultipliers</t>
  </si>
  <si>
    <t>EMCal- Lepton: Purchase Material</t>
  </si>
  <si>
    <t>EMCal- Central: Purchase Material</t>
  </si>
  <si>
    <t>EMCal- Hadron: Purchase Material</t>
  </si>
  <si>
    <t>6.10.06</t>
  </si>
  <si>
    <t>HCAL: Long Lead Procurement - Scintillators</t>
  </si>
  <si>
    <t>HCAL: Long Lead Procurement - Steel for Hadronic Calorimeters</t>
  </si>
  <si>
    <t>HCAL: Long Lead Procurement - Silicon Photomultipliers</t>
  </si>
  <si>
    <t>Rajput-Ghoshal</t>
  </si>
  <si>
    <t>6.10.07</t>
  </si>
  <si>
    <t>Long Lead Procurement - Materials</t>
  </si>
  <si>
    <t>Barbosa</t>
  </si>
  <si>
    <t>6.10.08</t>
  </si>
  <si>
    <t>CD-1 Electronics: Construction Material</t>
  </si>
  <si>
    <t>CD-1 Electronics: Final Design - Material</t>
  </si>
  <si>
    <t>6.10.09</t>
  </si>
  <si>
    <t>CD-1 DAQ/Computing: Construction - Material</t>
  </si>
  <si>
    <t>Aschenauer</t>
  </si>
  <si>
    <t>Furletova</t>
  </si>
  <si>
    <t>6.10.11</t>
  </si>
  <si>
    <t>Zero Degree Calorimeter: Production</t>
  </si>
  <si>
    <t>Gaskell</t>
  </si>
  <si>
    <t>6.10.14.01.01</t>
  </si>
  <si>
    <t>Position detectors - FY 26</t>
  </si>
  <si>
    <t>Position detectors - FY 25</t>
  </si>
  <si>
    <t>Position detectors - FY 24</t>
  </si>
  <si>
    <t>6.10.14.01.02</t>
  </si>
  <si>
    <t>Schmidke</t>
  </si>
  <si>
    <t>6.10.14.02.01</t>
  </si>
  <si>
    <t>Polarized Atomic HJET and readout electronics - material - FY25</t>
  </si>
  <si>
    <t>A/E Services Contract - Design - FY22</t>
  </si>
  <si>
    <t>A/E Services Contract - Design - FY23</t>
  </si>
  <si>
    <t>A/E Services Contract - Design - FY24</t>
  </si>
  <si>
    <t>Commissioning Contract - Const - FY26</t>
  </si>
  <si>
    <t>Commissioning Contract - Const - FY25</t>
  </si>
  <si>
    <t>Commissioning Contract - Const - FY24</t>
  </si>
  <si>
    <t>Commissioning Contract - Design - FY23</t>
  </si>
  <si>
    <t>Commissioning Contract - Const - FY30</t>
  </si>
  <si>
    <t>Commissioning Contract - Const - FY29</t>
  </si>
  <si>
    <t>Commissioning Contract - Const - FY28</t>
  </si>
  <si>
    <t>Commissioning Contract - Const - FY27</t>
  </si>
  <si>
    <t>Commissioning Contract - Const - FY31</t>
  </si>
  <si>
    <t>Commissioning Contract - Design - FY24</t>
  </si>
  <si>
    <t>Field Office Trailer Rental - FY30</t>
  </si>
  <si>
    <t>Field Office Trailer Rental - FY29</t>
  </si>
  <si>
    <t>Field Office Trailer Rental - FY28</t>
  </si>
  <si>
    <t>Field Office Trailer Rental - FY27</t>
  </si>
  <si>
    <t>Field Office Trailer Rental - FY26</t>
  </si>
  <si>
    <t>Field Office Trailer Rental - FY25</t>
  </si>
  <si>
    <t>Field Office Trailer Rental - FY24</t>
  </si>
  <si>
    <t>Field Office Trailer Rental - FY31</t>
  </si>
  <si>
    <t>Testing Contracts - FY26</t>
  </si>
  <si>
    <t>Testing Contracts - FY25</t>
  </si>
  <si>
    <t>Testing Contracts - FY30</t>
  </si>
  <si>
    <t>Testing Contracts - FY29</t>
  </si>
  <si>
    <t>Testing Contracts - FY28</t>
  </si>
  <si>
    <t>Testing Contracts - FY27</t>
  </si>
  <si>
    <t>Testing Contracts - FY31</t>
  </si>
  <si>
    <t>Testing Contracts - FY24</t>
  </si>
  <si>
    <t>6.11.02.02.01</t>
  </si>
  <si>
    <t>RF Building@ 1002 Pre-injector - MEP and Interior</t>
  </si>
  <si>
    <t>RF Building@ 1002 Pre-injector - Concrete Pad, Asphalt Pavings and markings</t>
  </si>
  <si>
    <t>RF Building@ 1002 Pre-injector - Building Structural Work</t>
  </si>
  <si>
    <t>RF Building@ 1002 Pre-injector - Excavation</t>
  </si>
  <si>
    <t>New LINAC Tunnel 1002 - Demolition of existing spectrometer tunnel</t>
  </si>
  <si>
    <t>Cryogenic 1002I – Excavation</t>
  </si>
  <si>
    <t>Cryogenic 1006 - Excavation</t>
  </si>
  <si>
    <t>Cryogenic 1010E – Excavation</t>
  </si>
  <si>
    <t>6.11.02.04.01</t>
  </si>
  <si>
    <t>1002H - EIC Injection LINAC Building -  MEP and Interior</t>
  </si>
  <si>
    <t>1002H - EIC Injection LINAC Building - Concrete Work/ slab/ Asphal Pavement</t>
  </si>
  <si>
    <t>1002H - EIC Injection LINAC Building - Structural Work</t>
  </si>
  <si>
    <t>1002H - EIC Injection LINAC Building - Excavation</t>
  </si>
  <si>
    <t>6.11.02.04.02</t>
  </si>
  <si>
    <t>1002 Pre-injector &amp; SHC Bldg -  MEP and Interior  Systems</t>
  </si>
  <si>
    <t>1002 Pre-injector &amp; SHC Bldg - Building Structural Work</t>
  </si>
  <si>
    <t>1002 Pre-injector &amp; SHC Bldg - Concrete Work/ slab/ Asphal Pavement</t>
  </si>
  <si>
    <t>1002 Pre-injector &amp; SHC Bldg - Excavation</t>
  </si>
  <si>
    <t>1010D - EIC 10 O'Clock DI Pumphouse - Excavation</t>
  </si>
  <si>
    <t>6.11.02.04.05</t>
  </si>
  <si>
    <t>Packaged HVAC and Mechanical Misc Foundations</t>
  </si>
  <si>
    <t>Electrical Equipment Foundations</t>
  </si>
  <si>
    <t>Cooling Water Towers Foundations</t>
  </si>
  <si>
    <t>Alc-01 - Excavation</t>
  </si>
  <si>
    <t>Alc-03 - Excavation</t>
  </si>
  <si>
    <t>Alc-05 - Excavation</t>
  </si>
  <si>
    <t>Alc-07 - Excavation</t>
  </si>
  <si>
    <t>Alc-09 - Excavation</t>
  </si>
  <si>
    <t>6.11.02.05.06</t>
  </si>
  <si>
    <t>Alc-11 - MEP and Interior  Systems</t>
  </si>
  <si>
    <t>Alc-11 - Building Structural Work</t>
  </si>
  <si>
    <t>Alc-11 - Concrete Pad, Asphalt Pavings and markings</t>
  </si>
  <si>
    <t>Alc-11 - Excavation</t>
  </si>
  <si>
    <t>1004 Kicker - Concrete Pad, Asphalt Pavings and markings</t>
  </si>
  <si>
    <t>1004 Kicker - Excavation</t>
  </si>
  <si>
    <t>EIC Kicker Power Supply Building - Excavation</t>
  </si>
  <si>
    <t>6.11.02.08</t>
  </si>
  <si>
    <t>Road 1010 - Wearing Course, 3" thick</t>
  </si>
  <si>
    <t>Road 1010 - Finish Grading</t>
  </si>
  <si>
    <t>Road 1002 - Rough Grading, 7510-10000 SF</t>
  </si>
  <si>
    <t>Road 1010 - Rough Grading, 7510-10000 SF</t>
  </si>
  <si>
    <t>Road 1002 - Finish Grading</t>
  </si>
  <si>
    <t>20 MVA transformer with OLTC - Installation by Contractor</t>
  </si>
  <si>
    <t>Substation Installation Contract - Mobilization</t>
  </si>
  <si>
    <t>20 MVA transformer with OLTC - Fabrication</t>
  </si>
  <si>
    <t>13.8 kV switchgear - Fabrication</t>
  </si>
  <si>
    <t>Overhead 13.8 kV lines, switch stations and duct bank- Electrical Construction - Overhead Lines (Material &amp; Labor)</t>
  </si>
  <si>
    <t>UNIT Substations w/Distribution Installation - Contract Cost, NonLabor</t>
  </si>
  <si>
    <t>UNIT Substations w/Distribution Installation - Distribution to Alcoves [1,3,5,9,11]</t>
  </si>
  <si>
    <t>UNIT Substations w/Distribution Unit substation - Fabrication (NYS Funded)</t>
  </si>
  <si>
    <t>Load centers 480V - Installation - Installation</t>
  </si>
  <si>
    <t>Cable Trays - Service Buildings -  Non Labor</t>
  </si>
  <si>
    <t>138kW Substation - PSEG Construction Engineering</t>
  </si>
  <si>
    <t>138kW Substation - PSEG Conceptual Design &amp; Cost Report</t>
  </si>
  <si>
    <t>1007A - System Installations</t>
  </si>
  <si>
    <t>1012C - System Installations</t>
  </si>
  <si>
    <t>1002H - System Installations</t>
  </si>
  <si>
    <t>1007A - Component manufacturing (Equipment and pump)</t>
  </si>
  <si>
    <t>1002H - Component manufacturing (Equipment and pump)</t>
  </si>
  <si>
    <t>1012C - Component manufacturing (Equipment and pump)</t>
  </si>
  <si>
    <t>10 O'clock Bldg - Material Supply and Fabrication (Equipment and Piping)</t>
  </si>
  <si>
    <t>10 O'clock Bldg - System Installation</t>
  </si>
  <si>
    <t>2 O'clock Bldg - Material Supply and Fabrication (Equipment and Piping)</t>
  </si>
  <si>
    <t>6 O'clock Bldg - Material Supply and Fabrication (Equipment and Piping)</t>
  </si>
  <si>
    <t>4 O'clock Bldg - Material Supply and Fabrication (Equipment and Piping)</t>
  </si>
  <si>
    <t>2 O'clock Bldg - System Installation (Mobilization/ Safety Orientation/ Traning)</t>
  </si>
  <si>
    <t>6 O'clock Bldg - System Installation - Installations</t>
  </si>
  <si>
    <t>4 O'clock Bldg - System Installation - Installations</t>
  </si>
  <si>
    <t>12 O'clock Bldg - Material Supply and Fabrication (Equipment and Piping)</t>
  </si>
  <si>
    <t>2 O'clock Bldg - Cryo SCW - Installation</t>
  </si>
  <si>
    <t>12 O'clock Bldg - System Installation - Installations</t>
  </si>
  <si>
    <t>6 O'clock Bldg - Cryo SCW - Installation</t>
  </si>
  <si>
    <t>10 O'clock Bldg - Cryo SCW - Installation</t>
  </si>
  <si>
    <t>10 O'clock Bldg - Component manufacturing (Equipment and pump)</t>
  </si>
  <si>
    <t>2 O'clock Bldg - Component manufacturing (Equipment and pump)</t>
  </si>
  <si>
    <t>6 O'clock Bldg - Component manufacturing (Equipment and pump)</t>
  </si>
  <si>
    <t>4 O'clock Bldg - Component manufacturing (Equipment and pump)</t>
  </si>
  <si>
    <t>10 O'clock Bldg System Installations - Contract</t>
  </si>
  <si>
    <t>2 O'clock Bldg - System Installations - Contract</t>
  </si>
  <si>
    <t>4 O'clock Bldg - System Installations</t>
  </si>
  <si>
    <t>6 O'clock Bldg - System Installations</t>
  </si>
  <si>
    <t>12 O'clock Bldg - System Installations</t>
  </si>
  <si>
    <t>12 O'clock Bldg - Component manufacturing (Equipment and pump)</t>
  </si>
  <si>
    <t>Active</t>
  </si>
  <si>
    <t xml:space="preserve">Residual Risk (Post-Mitigation Assessment)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</si>
</sst>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quot;$&quot;* #,##0_);_(&quot;$&quot;* \(#,##0\);_(&quot;$&quot;* &quot;-&quot;??_);_(@_)"/>
    <numFmt numFmtId="169" formatCode="_(* #,##0_);_(* \(#,##0\);_(* &quot;-&quot;??_);_(@_)"/>
    <numFmt numFmtId="170" formatCode="#,##0.0"/>
  </numFmts>
  <fonts count="92" x14ac:knownFonts="1">
    <font>
      <sz val="11"/>
      <color theme="1"/>
      <name val="Calibri"/>
      <family val="2"/>
      <scheme val="minor"/>
    </font>
    <font>
      <sz val="12"/>
      <color theme="1"/>
      <name val="Calibri"/>
      <family val="2"/>
      <scheme val="minor"/>
    </font>
    <font>
      <sz val="12"/>
      <color theme="1"/>
      <name val="Calibri"/>
      <family val="2"/>
      <scheme val="minor"/>
    </font>
    <font>
      <sz val="11"/>
      <color indexed="8"/>
      <name val="Calibri"/>
      <family val="2"/>
    </font>
    <font>
      <sz val="9"/>
      <color indexed="81"/>
      <name val="Tahoma"/>
      <family val="2"/>
    </font>
    <font>
      <b/>
      <sz val="9"/>
      <color indexed="81"/>
      <name val="Tahoma"/>
      <family val="2"/>
    </font>
    <font>
      <sz val="11"/>
      <color theme="1"/>
      <name val="Calibri"/>
      <family val="2"/>
      <scheme val="minor"/>
    </font>
    <font>
      <b/>
      <sz val="11"/>
      <color theme="1"/>
      <name val="Calibri"/>
      <family val="2"/>
      <scheme val="minor"/>
    </font>
    <font>
      <sz val="11"/>
      <name val="Calibri"/>
      <family val="2"/>
      <scheme val="minor"/>
    </font>
    <font>
      <sz val="14"/>
      <color theme="1"/>
      <name val="Calibri"/>
      <family val="2"/>
      <scheme val="minor"/>
    </font>
    <font>
      <sz val="11"/>
      <color theme="1"/>
      <name val="Calibri"/>
      <family val="2"/>
      <scheme val="minor"/>
    </font>
    <font>
      <sz val="10"/>
      <color theme="1"/>
      <name val="Calibri"/>
      <family val="2"/>
      <scheme val="minor"/>
    </font>
    <font>
      <sz val="12"/>
      <color rgb="FF000000"/>
      <name val="Calibri"/>
      <family val="2"/>
      <scheme val="minor"/>
    </font>
    <font>
      <b/>
      <sz val="22"/>
      <color theme="1"/>
      <name val="Calibri"/>
      <family val="2"/>
      <scheme val="minor"/>
    </font>
    <font>
      <b/>
      <sz val="9"/>
      <color rgb="FF000000"/>
      <name val="Tahoma"/>
      <family val="2"/>
    </font>
    <font>
      <sz val="9"/>
      <color rgb="FF000000"/>
      <name val="Tahoma"/>
      <family val="2"/>
    </font>
    <font>
      <b/>
      <sz val="11"/>
      <name val="Calibri"/>
      <family val="2"/>
      <scheme val="minor"/>
    </font>
    <font>
      <sz val="12"/>
      <color theme="0"/>
      <name val="Calibri"/>
      <family val="2"/>
      <scheme val="minor"/>
    </font>
    <font>
      <b/>
      <sz val="14"/>
      <color theme="1"/>
      <name val="Calibri"/>
      <family val="2"/>
      <scheme val="minor"/>
    </font>
    <font>
      <b/>
      <sz val="16"/>
      <color theme="1"/>
      <name val="Calibri"/>
      <family val="2"/>
      <scheme val="minor"/>
    </font>
    <font>
      <sz val="20"/>
      <color theme="1"/>
      <name val="Calibri"/>
      <family val="2"/>
      <scheme val="minor"/>
    </font>
    <font>
      <b/>
      <sz val="20"/>
      <color theme="1"/>
      <name val="Calibri"/>
      <family val="2"/>
      <scheme val="minor"/>
    </font>
    <font>
      <b/>
      <sz val="12"/>
      <color rgb="FF000000"/>
      <name val="Calibri"/>
      <family val="2"/>
      <scheme val="minor"/>
    </font>
    <font>
      <b/>
      <sz val="16"/>
      <color rgb="FF000000"/>
      <name val="Calibri"/>
      <family val="2"/>
      <scheme val="minor"/>
    </font>
    <font>
      <b/>
      <sz val="14"/>
      <color indexed="8"/>
      <name val="Calibri"/>
      <family val="2"/>
      <scheme val="minor"/>
    </font>
    <font>
      <sz val="14"/>
      <color indexed="8"/>
      <name val="Calibri"/>
      <family val="2"/>
      <scheme val="minor"/>
    </font>
    <font>
      <b/>
      <sz val="12"/>
      <color indexed="8"/>
      <name val="Calibri"/>
      <family val="2"/>
      <scheme val="minor"/>
    </font>
    <font>
      <sz val="12"/>
      <color indexed="8"/>
      <name val="Calibri"/>
      <family val="2"/>
      <scheme val="minor"/>
    </font>
    <font>
      <sz val="12"/>
      <color indexed="8"/>
      <name val="Calibri (Body)"/>
    </font>
    <font>
      <sz val="12"/>
      <color rgb="FF0070C0"/>
      <name val="Calibri"/>
      <family val="2"/>
      <scheme val="minor"/>
    </font>
    <font>
      <sz val="14"/>
      <color rgb="FF000000"/>
      <name val="Calibri"/>
      <family val="2"/>
      <scheme val="minor"/>
    </font>
    <font>
      <sz val="14"/>
      <name val="Calibri"/>
      <family val="2"/>
      <scheme val="minor"/>
    </font>
    <font>
      <sz val="14"/>
      <color rgb="FF0070C0"/>
      <name val="Calibri"/>
      <family val="2"/>
      <scheme val="minor"/>
    </font>
    <font>
      <sz val="11"/>
      <color rgb="FF3F3F76"/>
      <name val="Calibri"/>
      <family val="2"/>
      <scheme val="minor"/>
    </font>
    <font>
      <b/>
      <sz val="11"/>
      <color rgb="FFFA7D00"/>
      <name val="Calibri"/>
      <family val="2"/>
      <scheme val="minor"/>
    </font>
    <font>
      <sz val="12"/>
      <name val="Calibri"/>
      <family val="2"/>
      <scheme val="minor"/>
    </font>
    <font>
      <b/>
      <sz val="11"/>
      <color theme="0"/>
      <name val="Calibri"/>
      <family val="2"/>
      <scheme val="minor"/>
    </font>
    <font>
      <sz val="11"/>
      <color theme="0"/>
      <name val="Calibri"/>
      <family val="2"/>
      <scheme val="minor"/>
    </font>
    <font>
      <sz val="11"/>
      <color theme="1"/>
      <name val="Arial"/>
      <family val="2"/>
    </font>
    <font>
      <sz val="11"/>
      <name val="Arial"/>
      <family val="2"/>
    </font>
    <font>
      <b/>
      <sz val="11"/>
      <color theme="1"/>
      <name val="Arial"/>
      <family val="2"/>
    </font>
    <font>
      <sz val="11"/>
      <color rgb="FF000000"/>
      <name val="Arial"/>
      <family val="2"/>
    </font>
    <font>
      <sz val="12"/>
      <name val="Arial"/>
      <family val="2"/>
    </font>
    <font>
      <sz val="12"/>
      <color theme="1"/>
      <name val="Arial"/>
      <family val="2"/>
    </font>
    <font>
      <sz val="11"/>
      <color rgb="FFFF0000"/>
      <name val="Arial"/>
      <family val="2"/>
    </font>
    <font>
      <b/>
      <i/>
      <sz val="11"/>
      <color rgb="FFFF0000"/>
      <name val="Arial"/>
      <family val="2"/>
    </font>
    <font>
      <sz val="12"/>
      <color rgb="FFFF0000"/>
      <name val="Arial"/>
      <family val="2"/>
    </font>
    <font>
      <sz val="12"/>
      <color rgb="FF000000"/>
      <name val="Arial"/>
      <family val="2"/>
    </font>
    <font>
      <sz val="11"/>
      <color indexed="8"/>
      <name val="Arial"/>
      <family val="2"/>
    </font>
    <font>
      <b/>
      <sz val="11"/>
      <color rgb="FFFF0000"/>
      <name val="Arial"/>
      <family val="2"/>
    </font>
    <font>
      <b/>
      <sz val="11"/>
      <name val="Arial"/>
      <family val="2"/>
    </font>
    <font>
      <sz val="10"/>
      <color rgb="FF000000"/>
      <name val="Arial"/>
      <family val="2"/>
    </font>
    <font>
      <sz val="14"/>
      <color theme="1"/>
      <name val="Arial"/>
      <family val="2"/>
    </font>
    <font>
      <sz val="16"/>
      <color theme="1"/>
      <name val="Arial"/>
      <family val="2"/>
    </font>
    <font>
      <b/>
      <sz val="16"/>
      <color indexed="8"/>
      <name val="Arial"/>
      <family val="2"/>
    </font>
    <font>
      <b/>
      <sz val="11"/>
      <color indexed="8"/>
      <name val="Arial"/>
      <family val="2"/>
    </font>
    <font>
      <b/>
      <sz val="10"/>
      <color indexed="8"/>
      <name val="Arial"/>
      <family val="2"/>
    </font>
    <font>
      <b/>
      <sz val="10"/>
      <color theme="1"/>
      <name val="Arial"/>
      <family val="2"/>
    </font>
    <font>
      <b/>
      <sz val="10"/>
      <color rgb="FF000000"/>
      <name val="Arial"/>
      <family val="2"/>
    </font>
    <font>
      <sz val="10"/>
      <color theme="1"/>
      <name val="Arial"/>
      <family val="2"/>
    </font>
    <font>
      <sz val="10"/>
      <color indexed="8"/>
      <name val="Arial"/>
      <family val="2"/>
    </font>
    <font>
      <sz val="10"/>
      <name val="Arial"/>
      <family val="2"/>
    </font>
    <font>
      <sz val="12"/>
      <color rgb="FF000000"/>
      <name val="Helvetica"/>
      <family val="2"/>
    </font>
    <font>
      <b/>
      <sz val="8"/>
      <color theme="1"/>
      <name val="Calibri"/>
      <family val="2"/>
      <scheme val="minor"/>
    </font>
    <font>
      <b/>
      <sz val="14"/>
      <name val="Calibri"/>
      <family val="2"/>
      <scheme val="minor"/>
    </font>
    <font>
      <sz val="11"/>
      <color rgb="FF000000"/>
      <name val="Calibri"/>
      <family val="2"/>
    </font>
    <font>
      <sz val="11"/>
      <color theme="1"/>
      <name val="Times New Roman"/>
      <family val="1"/>
    </font>
    <font>
      <b/>
      <sz val="11"/>
      <color theme="1"/>
      <name val="Times New Roman"/>
      <family val="1"/>
    </font>
    <font>
      <sz val="11"/>
      <color rgb="FF000000"/>
      <name val="Calibri"/>
      <family val="2"/>
      <scheme val="minor"/>
    </font>
    <font>
      <sz val="11"/>
      <color rgb="FF2C363A"/>
      <name val="Roboto"/>
    </font>
    <font>
      <b/>
      <sz val="11"/>
      <color rgb="FF000000"/>
      <name val="Calibri"/>
      <family val="2"/>
    </font>
    <font>
      <b/>
      <sz val="12"/>
      <color indexed="8"/>
      <name val="Calibri"/>
      <family val="2"/>
    </font>
    <font>
      <b/>
      <sz val="14"/>
      <color rgb="FF0070C0"/>
      <name val="Calibri"/>
      <family val="2"/>
      <scheme val="minor"/>
    </font>
    <font>
      <b/>
      <sz val="14"/>
      <color theme="4" tint="-0.249977111117893"/>
      <name val="Calibri"/>
      <family val="2"/>
      <scheme val="minor"/>
    </font>
    <font>
      <sz val="18"/>
      <color theme="1"/>
      <name val="Calibri"/>
      <family val="2"/>
      <scheme val="minor"/>
    </font>
    <font>
      <sz val="12"/>
      <color rgb="FFFF0000"/>
      <name val="Calibri"/>
      <family val="2"/>
      <scheme val="minor"/>
    </font>
    <font>
      <sz val="12"/>
      <color theme="1"/>
      <name val="Times New Roman"/>
      <family val="1"/>
    </font>
    <font>
      <b/>
      <sz val="14"/>
      <color indexed="8"/>
      <name val="Arial"/>
      <family val="2"/>
    </font>
    <font>
      <b/>
      <sz val="12"/>
      <color indexed="8"/>
      <name val="Arial"/>
      <family val="2"/>
    </font>
    <font>
      <u/>
      <sz val="11"/>
      <color theme="10"/>
      <name val="Calibri"/>
      <family val="2"/>
      <scheme val="minor"/>
    </font>
    <font>
      <sz val="16"/>
      <name val="Calibri"/>
      <family val="2"/>
      <scheme val="minor"/>
    </font>
    <font>
      <sz val="12"/>
      <color theme="3" tint="-0.249977111117893"/>
      <name val="Calibri"/>
      <family val="2"/>
      <scheme val="minor"/>
    </font>
    <font>
      <sz val="14"/>
      <color theme="3" tint="-0.249977111117893"/>
      <name val="Calibri"/>
      <family val="2"/>
      <scheme val="minor"/>
    </font>
    <font>
      <sz val="16"/>
      <color rgb="FF002060"/>
      <name val="Calibri"/>
      <family val="2"/>
      <scheme val="minor"/>
    </font>
    <font>
      <sz val="12"/>
      <color rgb="FF002060"/>
      <name val="Calibri"/>
      <family val="2"/>
      <scheme val="minor"/>
    </font>
    <font>
      <b/>
      <sz val="12"/>
      <color theme="1"/>
      <name val="Calibri"/>
      <family val="2"/>
      <scheme val="minor"/>
    </font>
    <font>
      <sz val="11"/>
      <color theme="1"/>
      <name val="Consolas"/>
      <family val="3"/>
    </font>
    <font>
      <sz val="12"/>
      <color rgb="FF000000"/>
      <name val="Aptos"/>
      <family val="2"/>
    </font>
    <font>
      <sz val="11"/>
      <color theme="1"/>
      <name val="Aptos"/>
      <family val="2"/>
    </font>
    <font>
      <sz val="11"/>
      <color theme="1"/>
      <name val="Calibri"/>
      <family val="2"/>
    </font>
    <font>
      <b/>
      <sz val="10"/>
      <name val="Arial"/>
      <family val="2"/>
    </font>
    <font>
      <b/>
      <sz val="11"/>
      <color rgb="FF000000"/>
      <name val="Arial"/>
      <family val="2"/>
    </font>
  </fonts>
  <fills count="48">
    <fill>
      <patternFill patternType="none"/>
    </fill>
    <fill>
      <patternFill patternType="gray125"/>
    </fill>
    <fill>
      <patternFill patternType="solid">
        <fgColor rgb="FFFFCCCC"/>
        <bgColor indexed="64"/>
      </patternFill>
    </fill>
    <fill>
      <patternFill patternType="solid">
        <fgColor theme="5" tint="0.599963377788628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9" tint="0.59996337778862885"/>
        <bgColor indexed="64"/>
      </patternFill>
    </fill>
    <fill>
      <patternFill patternType="solid">
        <fgColor rgb="FFDDFFDD"/>
        <bgColor indexed="64"/>
      </patternFill>
    </fill>
    <fill>
      <patternFill patternType="solid">
        <fgColor theme="6" tint="0.59996337778862885"/>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tint="-0.14999847407452621"/>
        <bgColor indexed="64"/>
      </patternFill>
    </fill>
    <fill>
      <patternFill patternType="solid">
        <fgColor rgb="FF9ACCFF"/>
        <bgColor indexed="64"/>
      </patternFill>
    </fill>
    <fill>
      <patternFill patternType="solid">
        <fgColor theme="5" tint="0.79998168889431442"/>
        <bgColor indexed="64"/>
      </patternFill>
    </fill>
    <fill>
      <patternFill patternType="solid">
        <fgColor rgb="FFB2F886"/>
        <bgColor indexed="64"/>
      </patternFill>
    </fill>
    <fill>
      <patternFill patternType="solid">
        <fgColor rgb="FFD2FF00"/>
        <bgColor indexed="64"/>
      </patternFill>
    </fill>
    <fill>
      <patternFill patternType="solid">
        <fgColor rgb="FF74E700"/>
        <bgColor indexed="64"/>
      </patternFill>
    </fill>
    <fill>
      <patternFill patternType="solid">
        <fgColor theme="0" tint="-4.9989318521683403E-2"/>
        <bgColor indexed="64"/>
      </patternFill>
    </fill>
    <fill>
      <patternFill patternType="solid">
        <fgColor rgb="FFFEFC87"/>
        <bgColor indexed="64"/>
      </patternFill>
    </fill>
    <fill>
      <patternFill patternType="solid">
        <fgColor rgb="FFFF2F00"/>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CC99"/>
      </patternFill>
    </fill>
    <fill>
      <patternFill patternType="solid">
        <fgColor rgb="FFF2F2F2"/>
      </patternFill>
    </fill>
    <fill>
      <patternFill patternType="solid">
        <fgColor theme="3" tint="0.79998168889431442"/>
        <bgColor indexed="64"/>
      </patternFill>
    </fill>
    <fill>
      <patternFill patternType="solid">
        <fgColor rgb="FF00206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CCFFCC"/>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rgb="FFCCCCFF"/>
        <bgColor indexed="64"/>
      </patternFill>
    </fill>
    <fill>
      <patternFill patternType="solid">
        <fgColor rgb="FFFF7D7D"/>
        <bgColor indexed="64"/>
      </patternFill>
    </fill>
    <fill>
      <patternFill patternType="solid">
        <fgColor rgb="FFE7EEF5"/>
        <bgColor indexed="64"/>
      </patternFill>
    </fill>
    <fill>
      <patternFill patternType="solid">
        <fgColor rgb="FFFFBDBD"/>
        <bgColor indexed="64"/>
      </patternFill>
    </fill>
    <fill>
      <patternFill patternType="solid">
        <fgColor theme="6" tint="0.79998168889431442"/>
        <bgColor indexed="64"/>
      </patternFill>
    </fill>
    <fill>
      <patternFill patternType="solid">
        <fgColor rgb="FFFF66FF"/>
        <bgColor indexed="64"/>
      </patternFill>
    </fill>
    <fill>
      <patternFill patternType="solid">
        <fgColor theme="6" tint="0.39997558519241921"/>
        <bgColor indexed="64"/>
      </patternFill>
    </fill>
  </fills>
  <borders count="68">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right/>
      <top style="thin">
        <color rgb="FF000000"/>
      </top>
      <bottom/>
      <diagonal/>
    </border>
    <border>
      <left/>
      <right style="medium">
        <color indexed="64"/>
      </right>
      <top style="thin">
        <color rgb="FF000000"/>
      </top>
      <bottom/>
      <diagonal/>
    </border>
    <border>
      <left style="medium">
        <color indexed="64"/>
      </left>
      <right/>
      <top style="thin">
        <color rgb="FF000000"/>
      </top>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thin">
        <color rgb="FF000000"/>
      </bottom>
      <diagonal/>
    </border>
    <border>
      <left/>
      <right style="medium">
        <color indexed="64"/>
      </right>
      <top/>
      <bottom style="thin">
        <color rgb="FF000000"/>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theme="4"/>
      </bottom>
      <diagonal/>
    </border>
    <border>
      <left style="thin">
        <color indexed="64"/>
      </left>
      <right style="thin">
        <color theme="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2">
    <xf numFmtId="0" fontId="0" fillId="0" borderId="0"/>
    <xf numFmtId="43" fontId="3" fillId="0" borderId="0" applyFont="0" applyFill="0" applyBorder="0" applyAlignment="0" applyProtection="0"/>
    <xf numFmtId="0" fontId="6" fillId="2" borderId="1" applyNumberFormat="0" applyFont="0" applyBorder="0" applyAlignment="0" applyProtection="0">
      <alignment horizontal="left" vertical="top" wrapText="1"/>
    </xf>
    <xf numFmtId="0" fontId="6" fillId="2" borderId="1" applyNumberFormat="0" applyFont="0" applyBorder="0" applyAlignment="0" applyProtection="0">
      <alignment horizontal="left" vertical="top" wrapText="1"/>
    </xf>
    <xf numFmtId="0" fontId="6" fillId="3" borderId="2" applyNumberFormat="0" applyFont="0" applyBorder="0" applyAlignment="0" applyProtection="0"/>
    <xf numFmtId="0" fontId="6" fillId="4" borderId="3" applyNumberFormat="0" applyFont="0" applyBorder="0" applyAlignment="0" applyProtection="0">
      <alignment horizontal="left" vertical="top" wrapText="1"/>
    </xf>
    <xf numFmtId="0" fontId="6" fillId="4" borderId="3" applyNumberFormat="0" applyFont="0" applyBorder="0" applyAlignment="0" applyProtection="0">
      <alignment horizontal="left" vertical="top" wrapText="1"/>
    </xf>
    <xf numFmtId="0" fontId="6" fillId="4" borderId="0" applyNumberFormat="0" applyFont="0" applyBorder="0" applyAlignment="0" applyProtection="0"/>
    <xf numFmtId="0" fontId="6" fillId="5" borderId="1" applyNumberFormat="0" applyFont="0" applyBorder="0" applyAlignment="0" applyProtection="0">
      <alignment horizontal="left" vertical="top" wrapText="1"/>
    </xf>
    <xf numFmtId="0" fontId="6" fillId="5" borderId="1" applyNumberFormat="0" applyFont="0" applyBorder="0" applyAlignment="0" applyProtection="0">
      <alignment horizontal="left" vertical="top" wrapText="1"/>
    </xf>
    <xf numFmtId="0" fontId="3" fillId="6" borderId="2" applyNumberFormat="0" applyFont="0" applyBorder="0" applyAlignment="0" applyProtection="0">
      <alignment horizontal="left" vertical="top" wrapText="1"/>
    </xf>
    <xf numFmtId="0" fontId="6" fillId="7" borderId="2" applyNumberFormat="0" applyFont="0" applyBorder="0" applyAlignment="0" applyProtection="0">
      <alignment horizontal="left" vertical="top" wrapText="1"/>
    </xf>
    <xf numFmtId="0" fontId="6" fillId="7" borderId="2" applyNumberFormat="0" applyFont="0" applyBorder="0" applyAlignment="0" applyProtection="0">
      <alignment horizontal="left" vertical="top" wrapText="1"/>
    </xf>
    <xf numFmtId="0" fontId="3" fillId="8" borderId="4" applyNumberFormat="0" applyFont="0" applyBorder="0" applyAlignment="0" applyProtection="0">
      <alignment horizontal="left" vertical="top" wrapText="1"/>
    </xf>
    <xf numFmtId="9" fontId="3" fillId="0" borderId="0" applyFont="0" applyFill="0" applyBorder="0" applyAlignment="0" applyProtection="0"/>
    <xf numFmtId="44" fontId="6" fillId="0" borderId="0" applyFont="0" applyFill="0" applyBorder="0" applyAlignment="0" applyProtection="0"/>
    <xf numFmtId="0" fontId="33" fillId="25" borderId="27" applyNumberFormat="0" applyAlignment="0" applyProtection="0"/>
    <xf numFmtId="0" fontId="34" fillId="26" borderId="27" applyNumberFormat="0" applyAlignment="0" applyProtection="0"/>
    <xf numFmtId="43" fontId="6" fillId="0" borderId="0" applyFont="0" applyFill="0" applyBorder="0" applyAlignment="0" applyProtection="0"/>
    <xf numFmtId="0" fontId="79" fillId="0" borderId="0" applyNumberFormat="0" applyFill="0" applyBorder="0" applyAlignment="0" applyProtection="0"/>
    <xf numFmtId="44" fontId="6" fillId="0" borderId="0" applyFont="0" applyFill="0" applyBorder="0" applyAlignment="0" applyProtection="0"/>
    <xf numFmtId="9" fontId="6" fillId="0" borderId="0" applyFont="0" applyFill="0" applyBorder="0" applyAlignment="0" applyProtection="0"/>
  </cellStyleXfs>
  <cellXfs count="1157">
    <xf numFmtId="0" fontId="0" fillId="0" borderId="0" xfId="0"/>
    <xf numFmtId="0" fontId="10" fillId="0" borderId="0" xfId="0" applyFont="1"/>
    <xf numFmtId="0" fontId="0" fillId="0" borderId="0" xfId="0" applyAlignment="1">
      <alignment horizontal="center" vertical="center"/>
    </xf>
    <xf numFmtId="0" fontId="7" fillId="0" borderId="0" xfId="0" applyFont="1"/>
    <xf numFmtId="9" fontId="8" fillId="4" borderId="2" xfId="7" applyNumberFormat="1" applyFont="1" applyBorder="1" applyAlignment="1">
      <alignment horizontal="center" vertical="center" wrapText="1"/>
    </xf>
    <xf numFmtId="0" fontId="0" fillId="0" borderId="0" xfId="0" applyAlignment="1">
      <alignment wrapText="1"/>
    </xf>
    <xf numFmtId="0" fontId="2" fillId="0" borderId="0" xfId="0" applyFont="1" applyAlignment="1">
      <alignment horizontal="left" vertical="center"/>
    </xf>
    <xf numFmtId="0" fontId="2" fillId="0" borderId="0" xfId="0" applyFont="1"/>
    <xf numFmtId="0" fontId="9" fillId="0" borderId="0" xfId="0" applyFont="1"/>
    <xf numFmtId="0" fontId="9" fillId="0" borderId="0" xfId="0" applyFont="1" applyAlignment="1">
      <alignment horizontal="center" vertical="center"/>
    </xf>
    <xf numFmtId="0" fontId="20" fillId="0" borderId="0" xfId="0" applyFont="1" applyAlignment="1">
      <alignment horizontal="left" vertical="center"/>
    </xf>
    <xf numFmtId="0" fontId="18" fillId="0" borderId="2" xfId="0" applyFont="1" applyBorder="1" applyAlignment="1">
      <alignment horizontal="center" vertical="center"/>
    </xf>
    <xf numFmtId="0" fontId="18" fillId="0" borderId="2" xfId="0" applyFont="1" applyBorder="1" applyAlignment="1">
      <alignment horizontal="center" vertical="center" wrapText="1"/>
    </xf>
    <xf numFmtId="0" fontId="18" fillId="0" borderId="2" xfId="0" applyFont="1" applyBorder="1"/>
    <xf numFmtId="0" fontId="9" fillId="0" borderId="2" xfId="0" applyFont="1" applyBorder="1" applyAlignment="1">
      <alignment horizontal="center" vertical="center"/>
    </xf>
    <xf numFmtId="0" fontId="21" fillId="20" borderId="4" xfId="0" applyFont="1" applyFill="1" applyBorder="1" applyAlignment="1">
      <alignment horizontal="left" vertical="center"/>
    </xf>
    <xf numFmtId="0" fontId="20" fillId="20" borderId="11" xfId="0" applyFont="1" applyFill="1" applyBorder="1" applyAlignment="1">
      <alignment horizontal="left" vertical="center"/>
    </xf>
    <xf numFmtId="0" fontId="20" fillId="20" borderId="15" xfId="0" applyFont="1" applyFill="1" applyBorder="1" applyAlignment="1">
      <alignment horizontal="left" vertical="center"/>
    </xf>
    <xf numFmtId="0" fontId="9" fillId="0" borderId="0" xfId="0" applyFont="1" applyAlignment="1">
      <alignment wrapText="1"/>
    </xf>
    <xf numFmtId="0" fontId="18" fillId="13" borderId="2"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11" borderId="2" xfId="0" applyFont="1" applyFill="1" applyBorder="1" applyAlignment="1">
      <alignment horizontal="center" vertical="center"/>
    </xf>
    <xf numFmtId="0" fontId="18" fillId="10" borderId="2" xfId="0" applyFont="1" applyFill="1" applyBorder="1" applyAlignment="1">
      <alignment horizontal="center" vertical="center"/>
    </xf>
    <xf numFmtId="0" fontId="18" fillId="13" borderId="2" xfId="0" applyFont="1" applyFill="1" applyBorder="1" applyAlignment="1">
      <alignment horizontal="center" vertical="center"/>
    </xf>
    <xf numFmtId="0" fontId="12" fillId="0" borderId="0" xfId="0" applyFont="1" applyAlignment="1">
      <alignment horizontal="left" vertical="center" readingOrder="1"/>
    </xf>
    <xf numFmtId="0" fontId="12" fillId="0" borderId="2" xfId="0" applyFont="1" applyBorder="1" applyAlignment="1">
      <alignment vertical="center" wrapText="1"/>
    </xf>
    <xf numFmtId="0" fontId="12" fillId="0" borderId="22" xfId="0" applyFont="1" applyBorder="1" applyAlignment="1">
      <alignment horizontal="left" vertical="center" wrapText="1"/>
    </xf>
    <xf numFmtId="0" fontId="9" fillId="0" borderId="0" xfId="0" applyFont="1" applyAlignment="1">
      <alignment shrinkToFit="1"/>
    </xf>
    <xf numFmtId="0" fontId="19" fillId="0" borderId="0" xfId="0" applyFont="1" applyAlignment="1">
      <alignment shrinkToFit="1"/>
    </xf>
    <xf numFmtId="0" fontId="13" fillId="0" borderId="0" xfId="0" applyFont="1" applyAlignment="1">
      <alignment horizontal="left" vertical="center"/>
    </xf>
    <xf numFmtId="1" fontId="28" fillId="0" borderId="4" xfId="0" applyNumberFormat="1" applyFont="1" applyBorder="1" applyAlignment="1">
      <alignment horizontal="center" vertical="center" wrapText="1" shrinkToFit="1"/>
    </xf>
    <xf numFmtId="1" fontId="27" fillId="17" borderId="2" xfId="0" applyNumberFormat="1" applyFont="1" applyFill="1" applyBorder="1" applyAlignment="1">
      <alignment horizontal="center" vertical="center" wrapText="1" shrinkToFit="1"/>
    </xf>
    <xf numFmtId="1" fontId="27" fillId="10" borderId="2" xfId="0" applyNumberFormat="1" applyFont="1" applyFill="1" applyBorder="1" applyAlignment="1">
      <alignment horizontal="center" vertical="center" wrapText="1" shrinkToFit="1"/>
    </xf>
    <xf numFmtId="1" fontId="17" fillId="13" borderId="2" xfId="0" applyNumberFormat="1" applyFont="1" applyFill="1" applyBorder="1" applyAlignment="1">
      <alignment horizontal="center" vertical="center" wrapText="1" shrinkToFit="1"/>
    </xf>
    <xf numFmtId="9" fontId="12" fillId="20" borderId="17" xfId="0" applyNumberFormat="1" applyFont="1" applyFill="1" applyBorder="1" applyAlignment="1">
      <alignment horizontal="left" vertical="center" wrapText="1"/>
    </xf>
    <xf numFmtId="9" fontId="12" fillId="20" borderId="25" xfId="0" applyNumberFormat="1" applyFont="1" applyFill="1" applyBorder="1" applyAlignment="1">
      <alignment horizontal="right" vertical="center" wrapText="1"/>
    </xf>
    <xf numFmtId="9" fontId="12" fillId="20" borderId="5" xfId="0" applyNumberFormat="1" applyFont="1" applyFill="1" applyBorder="1" applyAlignment="1">
      <alignment horizontal="right" vertical="center" wrapText="1"/>
    </xf>
    <xf numFmtId="0" fontId="12" fillId="20" borderId="25" xfId="0" applyFont="1" applyFill="1" applyBorder="1" applyAlignment="1">
      <alignment horizontal="right" vertical="center" wrapText="1"/>
    </xf>
    <xf numFmtId="0" fontId="25" fillId="20" borderId="15" xfId="0" applyFont="1" applyFill="1" applyBorder="1" applyAlignment="1">
      <alignment horizontal="center" vertical="center" wrapText="1" shrinkToFit="1"/>
    </xf>
    <xf numFmtId="0" fontId="26" fillId="23" borderId="6" xfId="0" applyFont="1" applyFill="1" applyBorder="1" applyAlignment="1">
      <alignment vertical="center" shrinkToFit="1"/>
    </xf>
    <xf numFmtId="0" fontId="29" fillId="0" borderId="13" xfId="0" applyFont="1" applyBorder="1" applyAlignment="1">
      <alignment horizontal="center" vertical="center" wrapText="1"/>
    </xf>
    <xf numFmtId="0" fontId="29" fillId="20" borderId="13" xfId="0" applyFont="1" applyFill="1" applyBorder="1" applyAlignment="1">
      <alignment horizontal="center" vertical="center" wrapText="1"/>
    </xf>
    <xf numFmtId="9" fontId="29" fillId="20" borderId="16" xfId="0" applyNumberFormat="1" applyFont="1" applyFill="1" applyBorder="1" applyAlignment="1">
      <alignment horizontal="left" vertical="center" wrapText="1"/>
    </xf>
    <xf numFmtId="9" fontId="29" fillId="20" borderId="17" xfId="0" applyNumberFormat="1" applyFont="1" applyFill="1" applyBorder="1" applyAlignment="1">
      <alignment horizontal="left" vertical="center" wrapText="1"/>
    </xf>
    <xf numFmtId="0" fontId="29" fillId="20" borderId="15" xfId="0" applyFont="1" applyFill="1" applyBorder="1" applyAlignment="1">
      <alignment horizontal="center" vertical="center" wrapText="1" shrinkToFit="1"/>
    </xf>
    <xf numFmtId="0" fontId="29" fillId="23" borderId="2" xfId="0" applyFont="1" applyFill="1" applyBorder="1" applyAlignment="1">
      <alignment horizontal="center" vertical="center" wrapText="1" shrinkToFit="1"/>
    </xf>
    <xf numFmtId="0" fontId="29" fillId="23" borderId="2" xfId="0" applyFont="1" applyFill="1" applyBorder="1" applyAlignment="1">
      <alignment horizontal="center" vertical="center" shrinkToFit="1"/>
    </xf>
    <xf numFmtId="0" fontId="29" fillId="22" borderId="4" xfId="0" applyFont="1" applyFill="1" applyBorder="1" applyAlignment="1">
      <alignment horizontal="center" vertical="center" wrapText="1" shrinkToFit="1"/>
    </xf>
    <xf numFmtId="0" fontId="29" fillId="21" borderId="25" xfId="0" applyFont="1" applyFill="1" applyBorder="1" applyAlignment="1">
      <alignment horizontal="center" vertical="center" wrapText="1" shrinkToFit="1"/>
    </xf>
    <xf numFmtId="0" fontId="29" fillId="17" borderId="4" xfId="0" applyFont="1" applyFill="1" applyBorder="1" applyAlignment="1">
      <alignment horizontal="center" vertical="center" wrapText="1" shrinkToFit="1"/>
    </xf>
    <xf numFmtId="49" fontId="9" fillId="0" borderId="2" xfId="0" applyNumberFormat="1" applyFont="1" applyBorder="1" applyAlignment="1">
      <alignment horizontal="center" vertical="center" wrapText="1"/>
    </xf>
    <xf numFmtId="2" fontId="9" fillId="0" borderId="2"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0" fontId="9" fillId="0" borderId="2" xfId="0" applyFont="1" applyBorder="1" applyAlignment="1">
      <alignment horizontal="center" vertical="center" wrapText="1"/>
    </xf>
    <xf numFmtId="15" fontId="9" fillId="0" borderId="2" xfId="0" applyNumberFormat="1" applyFont="1" applyBorder="1" applyAlignment="1">
      <alignment horizontal="center" vertical="center" wrapText="1"/>
    </xf>
    <xf numFmtId="1" fontId="9" fillId="0" borderId="15" xfId="0" applyNumberFormat="1" applyFont="1" applyBorder="1" applyAlignment="1">
      <alignment horizontal="center" vertical="center" wrapText="1"/>
    </xf>
    <xf numFmtId="9" fontId="31" fillId="4" borderId="2" xfId="7" applyNumberFormat="1" applyFont="1" applyBorder="1" applyAlignment="1">
      <alignment horizontal="center" vertical="center" wrapText="1"/>
    </xf>
    <xf numFmtId="49" fontId="9" fillId="0" borderId="2" xfId="0" applyNumberFormat="1" applyFont="1" applyBorder="1" applyAlignment="1">
      <alignment horizontal="left" vertical="center" wrapText="1"/>
    </xf>
    <xf numFmtId="165" fontId="9" fillId="0" borderId="2" xfId="0" applyNumberFormat="1" applyFont="1" applyBorder="1" applyAlignment="1">
      <alignment horizontal="center" vertical="center" wrapText="1"/>
    </xf>
    <xf numFmtId="166" fontId="9" fillId="0" borderId="2" xfId="0" applyNumberFormat="1" applyFont="1" applyBorder="1" applyAlignment="1">
      <alignment horizontal="center" vertical="center" wrapText="1"/>
    </xf>
    <xf numFmtId="0" fontId="9" fillId="0" borderId="2" xfId="0" applyFont="1" applyBorder="1" applyAlignment="1">
      <alignment horizontal="left" vertical="center" wrapText="1"/>
    </xf>
    <xf numFmtId="0" fontId="9" fillId="9" borderId="2" xfId="0" applyFont="1" applyFill="1" applyBorder="1" applyAlignment="1">
      <alignment horizontal="center" vertical="center" wrapText="1"/>
    </xf>
    <xf numFmtId="0" fontId="30" fillId="0" borderId="2" xfId="0" applyFont="1" applyBorder="1" applyAlignment="1">
      <alignment vertical="center" wrapText="1"/>
    </xf>
    <xf numFmtId="0" fontId="9" fillId="0" borderId="2" xfId="0" applyFont="1" applyBorder="1" applyAlignment="1">
      <alignment vertical="center" wrapText="1"/>
    </xf>
    <xf numFmtId="0" fontId="24" fillId="12" borderId="20" xfId="0" applyFont="1" applyFill="1" applyBorder="1" applyAlignment="1">
      <alignment horizontal="center" vertical="center" wrapText="1"/>
    </xf>
    <xf numFmtId="0" fontId="24" fillId="12" borderId="19" xfId="0" applyFont="1" applyFill="1" applyBorder="1" applyAlignment="1">
      <alignment horizontal="center" vertical="center" wrapText="1"/>
    </xf>
    <xf numFmtId="0" fontId="24" fillId="12" borderId="14" xfId="0" applyFont="1" applyFill="1" applyBorder="1" applyAlignment="1">
      <alignment horizontal="center" vertical="center" wrapText="1"/>
    </xf>
    <xf numFmtId="0" fontId="24" fillId="12" borderId="21" xfId="0" applyFont="1" applyFill="1" applyBorder="1" applyAlignment="1">
      <alignment horizontal="center" vertical="center" wrapText="1"/>
    </xf>
    <xf numFmtId="49" fontId="9" fillId="0" borderId="13" xfId="0" applyNumberFormat="1" applyFont="1" applyBorder="1" applyAlignment="1">
      <alignment horizontal="center" vertical="center" wrapText="1"/>
    </xf>
    <xf numFmtId="0" fontId="9" fillId="0" borderId="13" xfId="0" applyFont="1" applyBorder="1" applyAlignment="1">
      <alignment horizontal="center" vertical="center" wrapText="1"/>
    </xf>
    <xf numFmtId="15" fontId="9" fillId="0" borderId="13" xfId="0" applyNumberFormat="1" applyFont="1" applyBorder="1" applyAlignment="1">
      <alignment horizontal="center" vertical="center" wrapText="1"/>
    </xf>
    <xf numFmtId="1" fontId="9" fillId="0" borderId="13" xfId="0" applyNumberFormat="1" applyFont="1" applyBorder="1" applyAlignment="1">
      <alignment horizontal="center" vertical="center" wrapText="1"/>
    </xf>
    <xf numFmtId="1" fontId="9" fillId="0" borderId="17" xfId="0" applyNumberFormat="1" applyFont="1" applyBorder="1" applyAlignment="1">
      <alignment horizontal="center" vertical="center" wrapText="1"/>
    </xf>
    <xf numFmtId="9" fontId="31" fillId="4" borderId="13" xfId="7" applyNumberFormat="1" applyFont="1" applyBorder="1" applyAlignment="1">
      <alignment horizontal="center" vertical="center" wrapText="1"/>
    </xf>
    <xf numFmtId="49" fontId="9" fillId="0" borderId="13" xfId="0" applyNumberFormat="1" applyFont="1" applyBorder="1" applyAlignment="1">
      <alignment horizontal="left" vertical="center" wrapText="1"/>
    </xf>
    <xf numFmtId="165" fontId="9" fillId="0" borderId="13" xfId="0" applyNumberFormat="1" applyFont="1" applyBorder="1" applyAlignment="1">
      <alignment horizontal="center" vertical="center" wrapText="1"/>
    </xf>
    <xf numFmtId="166" fontId="9" fillId="0" borderId="13" xfId="0" applyNumberFormat="1" applyFont="1" applyBorder="1" applyAlignment="1">
      <alignment horizontal="center" vertical="center" wrapText="1"/>
    </xf>
    <xf numFmtId="9" fontId="9" fillId="0" borderId="2" xfId="0" applyNumberFormat="1" applyFont="1" applyBorder="1" applyAlignment="1">
      <alignment horizontal="center" vertical="center" wrapText="1"/>
    </xf>
    <xf numFmtId="167" fontId="9" fillId="0" borderId="2" xfId="15" applyNumberFormat="1" applyFont="1" applyBorder="1" applyAlignment="1">
      <alignment horizontal="center" vertical="center" wrapText="1"/>
    </xf>
    <xf numFmtId="0" fontId="9" fillId="0" borderId="15" xfId="0" applyFont="1" applyBorder="1" applyAlignment="1">
      <alignment vertical="center" wrapText="1"/>
    </xf>
    <xf numFmtId="0" fontId="9" fillId="0" borderId="2" xfId="11" applyFont="1" applyFill="1" applyBorder="1" applyAlignment="1">
      <alignment horizontal="center" vertical="center" wrapText="1"/>
    </xf>
    <xf numFmtId="0" fontId="1" fillId="0" borderId="0" xfId="0" applyFont="1"/>
    <xf numFmtId="0" fontId="6" fillId="0" borderId="2" xfId="0" applyFont="1" applyBorder="1" applyAlignment="1" applyProtection="1">
      <alignment horizontal="center"/>
      <protection locked="0"/>
    </xf>
    <xf numFmtId="0" fontId="6" fillId="0" borderId="0" xfId="0" applyFont="1"/>
    <xf numFmtId="0" fontId="6" fillId="0" borderId="0" xfId="0" applyFont="1" applyAlignment="1">
      <alignment horizontal="center" vertical="center"/>
    </xf>
    <xf numFmtId="0" fontId="6" fillId="0" borderId="0" xfId="0" applyFont="1" applyAlignment="1">
      <alignment horizontal="left"/>
    </xf>
    <xf numFmtId="0" fontId="1" fillId="0" borderId="0" xfId="0" applyFont="1" applyAlignment="1">
      <alignment horizontal="left" vertical="center"/>
    </xf>
    <xf numFmtId="0" fontId="1" fillId="0" borderId="0" xfId="0" applyFont="1" applyAlignment="1">
      <alignment horizontal="left" vertical="center" wrapText="1"/>
    </xf>
    <xf numFmtId="49" fontId="18" fillId="0" borderId="2" xfId="0" applyNumberFormat="1" applyFont="1" applyBorder="1" applyAlignment="1">
      <alignment horizontal="center" vertical="center"/>
    </xf>
    <xf numFmtId="0" fontId="32" fillId="0" borderId="0" xfId="0" applyFont="1"/>
    <xf numFmtId="0" fontId="0" fillId="0" borderId="2" xfId="0" applyBorder="1" applyAlignment="1">
      <alignment horizontal="left" vertical="center" wrapText="1"/>
    </xf>
    <xf numFmtId="49" fontId="0" fillId="0" borderId="2" xfId="0" applyNumberFormat="1" applyBorder="1" applyAlignment="1">
      <alignment horizontal="center" vertical="center"/>
    </xf>
    <xf numFmtId="0" fontId="0" fillId="0" borderId="2" xfId="0" applyBorder="1" applyAlignment="1">
      <alignment horizontal="center" vertical="center" wrapText="1"/>
    </xf>
    <xf numFmtId="1" fontId="0" fillId="0" borderId="2" xfId="0" applyNumberFormat="1" applyBorder="1" applyAlignment="1">
      <alignment horizontal="center" vertical="center" wrapText="1"/>
    </xf>
    <xf numFmtId="0" fontId="0" fillId="0" borderId="2" xfId="0" applyBorder="1" applyAlignment="1">
      <alignment vertical="top" wrapText="1"/>
    </xf>
    <xf numFmtId="49" fontId="0" fillId="0" borderId="2" xfId="0" applyNumberFormat="1" applyBorder="1" applyAlignment="1">
      <alignment horizontal="center" vertical="center" wrapText="1"/>
    </xf>
    <xf numFmtId="0" fontId="0" fillId="0" borderId="2" xfId="0" applyBorder="1" applyAlignment="1">
      <alignment horizontal="center" vertical="center"/>
    </xf>
    <xf numFmtId="0" fontId="1" fillId="0" borderId="2" xfId="0" applyFont="1" applyBorder="1" applyAlignment="1">
      <alignment horizontal="center" vertical="center" wrapText="1"/>
    </xf>
    <xf numFmtId="0" fontId="8" fillId="0" borderId="2" xfId="17" applyFont="1" applyFill="1" applyBorder="1" applyAlignment="1">
      <alignment horizontal="center" vertical="center" wrapText="1"/>
    </xf>
    <xf numFmtId="168" fontId="0" fillId="0" borderId="0" xfId="15" applyNumberFormat="1" applyFont="1"/>
    <xf numFmtId="0" fontId="38" fillId="0" borderId="2" xfId="0" applyFont="1" applyBorder="1" applyAlignment="1">
      <alignment horizontal="center" vertical="center" wrapText="1"/>
    </xf>
    <xf numFmtId="49" fontId="38" fillId="0" borderId="2" xfId="0" applyNumberFormat="1" applyFont="1" applyBorder="1" applyAlignment="1">
      <alignment horizontal="center" vertical="center"/>
    </xf>
    <xf numFmtId="49" fontId="38" fillId="0" borderId="2" xfId="0" applyNumberFormat="1" applyFont="1" applyBorder="1" applyAlignment="1">
      <alignment horizontal="center" vertical="center" wrapText="1"/>
    </xf>
    <xf numFmtId="0" fontId="38" fillId="0" borderId="2" xfId="0" applyFont="1" applyBorder="1" applyAlignment="1">
      <alignment horizontal="left" vertical="center" wrapText="1"/>
    </xf>
    <xf numFmtId="3" fontId="38" fillId="0" borderId="2" xfId="0" applyNumberFormat="1" applyFont="1" applyBorder="1" applyAlignment="1">
      <alignment horizontal="center" vertical="center" wrapText="1"/>
    </xf>
    <xf numFmtId="1" fontId="38" fillId="0" borderId="2" xfId="0" applyNumberFormat="1" applyFont="1" applyBorder="1" applyAlignment="1">
      <alignment horizontal="center" vertical="center" wrapText="1"/>
    </xf>
    <xf numFmtId="9" fontId="39" fillId="4" borderId="2" xfId="7" applyNumberFormat="1" applyFont="1" applyBorder="1" applyAlignment="1">
      <alignment horizontal="center" vertical="center" wrapText="1"/>
    </xf>
    <xf numFmtId="165" fontId="38" fillId="0" borderId="2" xfId="0" applyNumberFormat="1" applyFont="1" applyBorder="1" applyAlignment="1">
      <alignment horizontal="center" vertical="center" wrapText="1"/>
    </xf>
    <xf numFmtId="166" fontId="38" fillId="0" borderId="2" xfId="0" applyNumberFormat="1" applyFont="1" applyBorder="1" applyAlignment="1">
      <alignment horizontal="center" vertical="center" wrapText="1"/>
    </xf>
    <xf numFmtId="49" fontId="38" fillId="0" borderId="2" xfId="0" applyNumberFormat="1" applyFont="1" applyBorder="1" applyAlignment="1">
      <alignment horizontal="left" vertical="center" wrapText="1"/>
    </xf>
    <xf numFmtId="0" fontId="38" fillId="0" borderId="2" xfId="0" applyFont="1" applyBorder="1" applyAlignment="1">
      <alignment horizontal="center" vertical="top" wrapText="1"/>
    </xf>
    <xf numFmtId="9" fontId="38" fillId="0" borderId="2" xfId="0" applyNumberFormat="1" applyFont="1" applyBorder="1" applyAlignment="1">
      <alignment horizontal="center" vertical="center" wrapText="1"/>
    </xf>
    <xf numFmtId="0" fontId="39" fillId="0" borderId="2" xfId="0" applyFont="1" applyBorder="1" applyAlignment="1">
      <alignment horizontal="left" vertical="center" wrapText="1"/>
    </xf>
    <xf numFmtId="0" fontId="40" fillId="0" borderId="2" xfId="0" applyFont="1" applyBorder="1" applyAlignment="1">
      <alignment horizontal="left" vertical="center" wrapText="1"/>
    </xf>
    <xf numFmtId="9" fontId="39" fillId="0" borderId="2" xfId="0" applyNumberFormat="1" applyFont="1" applyBorder="1" applyAlignment="1">
      <alignment horizontal="left" vertical="center" wrapText="1"/>
    </xf>
    <xf numFmtId="14" fontId="38" fillId="0" borderId="2" xfId="0" applyNumberFormat="1" applyFont="1" applyBorder="1" applyAlignment="1">
      <alignment horizontal="center" vertical="center" wrapText="1"/>
    </xf>
    <xf numFmtId="0" fontId="38" fillId="0" borderId="2" xfId="11" applyFont="1" applyFill="1" applyBorder="1" applyAlignment="1">
      <alignment horizontal="left" vertical="center" wrapText="1"/>
    </xf>
    <xf numFmtId="49" fontId="38" fillId="23" borderId="2" xfId="0" applyNumberFormat="1" applyFont="1" applyFill="1" applyBorder="1" applyAlignment="1">
      <alignment horizontal="center" vertical="center"/>
    </xf>
    <xf numFmtId="0" fontId="41" fillId="0" borderId="2" xfId="0" applyFont="1" applyBorder="1" applyAlignment="1">
      <alignment horizontal="center" vertical="center" wrapText="1"/>
    </xf>
    <xf numFmtId="49" fontId="39" fillId="0" borderId="2" xfId="0" applyNumberFormat="1" applyFont="1" applyBorder="1" applyAlignment="1">
      <alignment horizontal="center" vertical="center" wrapText="1"/>
    </xf>
    <xf numFmtId="0" fontId="43" fillId="0" borderId="2" xfId="0" applyFont="1" applyBorder="1" applyAlignment="1">
      <alignment horizontal="left" vertical="center" wrapText="1"/>
    </xf>
    <xf numFmtId="0" fontId="39" fillId="0" borderId="2" xfId="0" applyFont="1" applyBorder="1" applyAlignment="1">
      <alignment horizontal="left" vertical="top" wrapText="1"/>
    </xf>
    <xf numFmtId="0" fontId="38" fillId="0" borderId="2" xfId="0" applyFont="1" applyBorder="1" applyAlignment="1">
      <alignment vertical="center" wrapText="1"/>
    </xf>
    <xf numFmtId="0" fontId="41" fillId="0" borderId="2" xfId="0" applyFont="1" applyBorder="1" applyAlignment="1">
      <alignment horizontal="left" vertical="center" wrapText="1"/>
    </xf>
    <xf numFmtId="0" fontId="43" fillId="0" borderId="2" xfId="0" applyFont="1" applyBorder="1" applyAlignment="1">
      <alignment vertical="center" wrapText="1"/>
    </xf>
    <xf numFmtId="0" fontId="43" fillId="0" borderId="2" xfId="0" applyFont="1" applyBorder="1" applyAlignment="1">
      <alignment horizontal="center" vertical="center" wrapText="1"/>
    </xf>
    <xf numFmtId="0" fontId="38" fillId="0" borderId="2" xfId="0" applyFont="1" applyBorder="1" applyAlignment="1">
      <alignment horizontal="center" vertical="center"/>
    </xf>
    <xf numFmtId="1" fontId="43" fillId="0" borderId="2" xfId="0" applyNumberFormat="1" applyFont="1" applyBorder="1" applyAlignment="1">
      <alignment horizontal="center" vertical="center" wrapText="1"/>
    </xf>
    <xf numFmtId="49" fontId="43" fillId="0" borderId="2" xfId="0" applyNumberFormat="1" applyFont="1" applyBorder="1" applyAlignment="1">
      <alignment horizontal="left" vertical="center" wrapText="1"/>
    </xf>
    <xf numFmtId="15" fontId="38" fillId="0" borderId="2" xfId="0" applyNumberFormat="1" applyFont="1" applyBorder="1" applyAlignment="1">
      <alignment horizontal="center" vertical="center" wrapText="1"/>
    </xf>
    <xf numFmtId="49" fontId="43" fillId="0" borderId="2" xfId="0" applyNumberFormat="1" applyFont="1" applyBorder="1" applyAlignment="1">
      <alignment horizontal="center" vertical="center"/>
    </xf>
    <xf numFmtId="49" fontId="43" fillId="0" borderId="2" xfId="0" applyNumberFormat="1" applyFont="1" applyBorder="1" applyAlignment="1">
      <alignment horizontal="center" vertical="center" wrapText="1"/>
    </xf>
    <xf numFmtId="1" fontId="42" fillId="0" borderId="2" xfId="0" applyNumberFormat="1" applyFont="1" applyBorder="1" applyAlignment="1">
      <alignment horizontal="center" vertical="center" wrapText="1"/>
    </xf>
    <xf numFmtId="3" fontId="43" fillId="0" borderId="2" xfId="0" applyNumberFormat="1" applyFont="1" applyBorder="1" applyAlignment="1">
      <alignment horizontal="center" vertical="center" wrapText="1"/>
    </xf>
    <xf numFmtId="9" fontId="42" fillId="4" borderId="2" xfId="7" applyNumberFormat="1" applyFont="1" applyBorder="1" applyAlignment="1">
      <alignment horizontal="center" vertical="center" wrapText="1"/>
    </xf>
    <xf numFmtId="165" fontId="43" fillId="0" borderId="2" xfId="0" applyNumberFormat="1" applyFont="1" applyBorder="1" applyAlignment="1">
      <alignment horizontal="center" vertical="center" wrapText="1"/>
    </xf>
    <xf numFmtId="166" fontId="43" fillId="0" borderId="2" xfId="0" applyNumberFormat="1" applyFont="1" applyBorder="1" applyAlignment="1">
      <alignment horizontal="center" vertical="center" wrapText="1"/>
    </xf>
    <xf numFmtId="49" fontId="39" fillId="0" borderId="2" xfId="0" applyNumberFormat="1" applyFont="1" applyBorder="1" applyAlignment="1">
      <alignment horizontal="left" vertical="center" wrapText="1"/>
    </xf>
    <xf numFmtId="0" fontId="42" fillId="0" borderId="2" xfId="0" applyFont="1" applyBorder="1" applyAlignment="1">
      <alignment horizontal="center" vertical="center" wrapText="1"/>
    </xf>
    <xf numFmtId="1" fontId="39" fillId="0" borderId="2" xfId="0" applyNumberFormat="1" applyFont="1" applyBorder="1" applyAlignment="1">
      <alignment horizontal="center" vertical="center" wrapText="1"/>
    </xf>
    <xf numFmtId="164" fontId="38" fillId="0" borderId="2" xfId="0" applyNumberFormat="1" applyFont="1" applyBorder="1" applyAlignment="1">
      <alignment horizontal="center" vertical="center" wrapText="1"/>
    </xf>
    <xf numFmtId="9" fontId="45" fillId="0" borderId="2" xfId="0" applyNumberFormat="1" applyFont="1" applyBorder="1" applyAlignment="1">
      <alignment horizontal="left" vertical="center" wrapText="1"/>
    </xf>
    <xf numFmtId="1" fontId="38" fillId="0" borderId="2" xfId="0" applyNumberFormat="1" applyFont="1" applyBorder="1" applyAlignment="1">
      <alignment horizontal="center" vertical="center"/>
    </xf>
    <xf numFmtId="0" fontId="38" fillId="0" borderId="2" xfId="11" applyFont="1" applyFill="1" applyBorder="1" applyAlignment="1">
      <alignment horizontal="center" vertical="center" wrapText="1"/>
    </xf>
    <xf numFmtId="0" fontId="38" fillId="0" borderId="2" xfId="11" applyNumberFormat="1" applyFont="1" applyFill="1" applyBorder="1" applyAlignment="1">
      <alignment horizontal="left" vertical="center" wrapText="1"/>
    </xf>
    <xf numFmtId="0" fontId="38" fillId="0" borderId="2" xfId="0" applyFont="1" applyBorder="1" applyAlignment="1">
      <alignment horizontal="left" vertical="top" wrapText="1"/>
    </xf>
    <xf numFmtId="1" fontId="38" fillId="0" borderId="2" xfId="0" applyNumberFormat="1" applyFont="1" applyBorder="1" applyAlignment="1">
      <alignment horizontal="left" vertical="center" wrapText="1"/>
    </xf>
    <xf numFmtId="0" fontId="43" fillId="0" borderId="2" xfId="0" applyFont="1" applyBorder="1" applyAlignment="1">
      <alignment horizontal="center" vertical="center"/>
    </xf>
    <xf numFmtId="0" fontId="42" fillId="0" borderId="2" xfId="0" applyFont="1" applyBorder="1" applyAlignment="1">
      <alignment horizontal="left" vertical="center" wrapText="1"/>
    </xf>
    <xf numFmtId="9" fontId="43" fillId="0" borderId="2" xfId="0" applyNumberFormat="1" applyFont="1" applyBorder="1" applyAlignment="1">
      <alignment horizontal="center" vertical="center" wrapText="1"/>
    </xf>
    <xf numFmtId="1" fontId="43" fillId="9" borderId="2" xfId="0" applyNumberFormat="1" applyFont="1" applyFill="1" applyBorder="1" applyAlignment="1">
      <alignment horizontal="center" vertical="center" wrapText="1"/>
    </xf>
    <xf numFmtId="1" fontId="43" fillId="0" borderId="2" xfId="0" applyNumberFormat="1" applyFont="1" applyBorder="1" applyAlignment="1">
      <alignment horizontal="center" vertical="center"/>
    </xf>
    <xf numFmtId="0" fontId="43" fillId="0" borderId="2" xfId="11" applyFont="1" applyFill="1" applyBorder="1" applyAlignment="1">
      <alignment horizontal="center" vertical="center" wrapText="1"/>
    </xf>
    <xf numFmtId="0" fontId="46" fillId="0" borderId="2" xfId="0" applyFont="1" applyBorder="1" applyAlignment="1">
      <alignment horizontal="left" vertical="center" wrapText="1"/>
    </xf>
    <xf numFmtId="0" fontId="43" fillId="9" borderId="2" xfId="0" applyFont="1" applyFill="1" applyBorder="1" applyAlignment="1">
      <alignment horizontal="center" vertical="center" wrapText="1"/>
    </xf>
    <xf numFmtId="0" fontId="39" fillId="0" borderId="2" xfId="0" applyFont="1" applyBorder="1" applyAlignment="1">
      <alignment horizontal="center" vertical="top" wrapText="1"/>
    </xf>
    <xf numFmtId="0" fontId="39" fillId="0" borderId="2" xfId="0" applyFont="1" applyBorder="1" applyAlignment="1">
      <alignment horizontal="center" vertical="center" wrapText="1"/>
    </xf>
    <xf numFmtId="0" fontId="47" fillId="0" borderId="2" xfId="0" applyFont="1" applyBorder="1" applyAlignment="1">
      <alignment horizontal="center" vertical="center" wrapText="1"/>
    </xf>
    <xf numFmtId="0" fontId="44" fillId="0" borderId="2" xfId="0" applyFont="1" applyBorder="1" applyAlignment="1">
      <alignment horizontal="left" vertical="center" wrapText="1"/>
    </xf>
    <xf numFmtId="9" fontId="39" fillId="0" borderId="2" xfId="0" applyNumberFormat="1" applyFont="1" applyBorder="1" applyAlignment="1">
      <alignment horizontal="center" vertical="center" wrapText="1"/>
    </xf>
    <xf numFmtId="49" fontId="39" fillId="0" borderId="2" xfId="0" applyNumberFormat="1" applyFont="1" applyBorder="1" applyAlignment="1">
      <alignment horizontal="center" vertical="center"/>
    </xf>
    <xf numFmtId="49" fontId="42" fillId="0" borderId="2" xfId="0" applyNumberFormat="1" applyFont="1" applyBorder="1" applyAlignment="1">
      <alignment horizontal="center" vertical="center" wrapText="1"/>
    </xf>
    <xf numFmtId="0" fontId="39" fillId="0" borderId="2" xfId="0" applyFont="1" applyBorder="1" applyAlignment="1">
      <alignment vertical="center" wrapText="1"/>
    </xf>
    <xf numFmtId="2" fontId="39" fillId="0" borderId="2" xfId="0" applyNumberFormat="1" applyFont="1" applyBorder="1" applyAlignment="1">
      <alignment horizontal="center" vertical="center" wrapText="1"/>
    </xf>
    <xf numFmtId="9" fontId="39" fillId="0" borderId="2" xfId="7" applyNumberFormat="1" applyFont="1" applyFill="1" applyBorder="1" applyAlignment="1">
      <alignment horizontal="center" vertical="center" wrapText="1"/>
    </xf>
    <xf numFmtId="0" fontId="48" fillId="0" borderId="2" xfId="0" applyFont="1" applyBorder="1" applyAlignment="1">
      <alignment horizontal="center" vertical="center" wrapText="1"/>
    </xf>
    <xf numFmtId="0" fontId="38" fillId="20" borderId="2" xfId="0" applyFont="1" applyFill="1" applyBorder="1" applyAlignment="1">
      <alignment horizontal="center" vertical="center" wrapText="1"/>
    </xf>
    <xf numFmtId="0" fontId="48" fillId="20" borderId="2" xfId="0" applyFont="1" applyFill="1" applyBorder="1" applyAlignment="1">
      <alignment horizontal="center" vertical="center" wrapText="1"/>
    </xf>
    <xf numFmtId="0" fontId="41" fillId="20" borderId="2" xfId="0" applyFont="1" applyFill="1" applyBorder="1" applyAlignment="1">
      <alignment horizontal="center" vertical="center" wrapText="1"/>
    </xf>
    <xf numFmtId="9" fontId="49" fillId="0" borderId="2" xfId="0" applyNumberFormat="1" applyFont="1" applyBorder="1" applyAlignment="1">
      <alignment horizontal="left" vertical="center" wrapText="1"/>
    </xf>
    <xf numFmtId="2" fontId="38" fillId="0" borderId="2" xfId="0" applyNumberFormat="1" applyFont="1" applyBorder="1" applyAlignment="1">
      <alignment horizontal="center" vertical="center" wrapText="1"/>
    </xf>
    <xf numFmtId="0" fontId="39" fillId="0" borderId="2" xfId="0" applyFont="1" applyBorder="1" applyAlignment="1">
      <alignment horizontal="left" vertical="center" wrapText="1" readingOrder="1"/>
    </xf>
    <xf numFmtId="0" fontId="39" fillId="0" borderId="2" xfId="11" applyFont="1" applyFill="1" applyBorder="1" applyAlignment="1">
      <alignment horizontal="left" vertical="center" wrapText="1"/>
    </xf>
    <xf numFmtId="0" fontId="50" fillId="0" borderId="2" xfId="0" applyFont="1" applyBorder="1" applyAlignment="1">
      <alignment horizontal="left" vertical="center" wrapText="1"/>
    </xf>
    <xf numFmtId="49" fontId="42" fillId="0" borderId="2" xfId="0" applyNumberFormat="1" applyFont="1" applyBorder="1" applyAlignment="1">
      <alignment horizontal="center" vertical="center"/>
    </xf>
    <xf numFmtId="3" fontId="42" fillId="0" borderId="2" xfId="0" applyNumberFormat="1" applyFont="1" applyBorder="1" applyAlignment="1">
      <alignment horizontal="center" vertical="center" wrapText="1"/>
    </xf>
    <xf numFmtId="165" fontId="42" fillId="0" borderId="2" xfId="0" applyNumberFormat="1" applyFont="1" applyBorder="1" applyAlignment="1">
      <alignment horizontal="center" vertical="center" wrapText="1"/>
    </xf>
    <xf numFmtId="166" fontId="42" fillId="0" borderId="2" xfId="0" applyNumberFormat="1" applyFont="1" applyBorder="1" applyAlignment="1">
      <alignment horizontal="center" vertical="center" wrapText="1"/>
    </xf>
    <xf numFmtId="0" fontId="39" fillId="0" borderId="2" xfId="11" applyNumberFormat="1" applyFont="1" applyFill="1" applyBorder="1" applyAlignment="1">
      <alignment horizontal="left" vertical="center" wrapText="1"/>
    </xf>
    <xf numFmtId="166" fontId="39" fillId="0" borderId="2" xfId="0" applyNumberFormat="1" applyFont="1" applyBorder="1" applyAlignment="1">
      <alignment horizontal="center" vertical="center" wrapText="1"/>
    </xf>
    <xf numFmtId="14" fontId="48" fillId="0" borderId="2" xfId="0" applyNumberFormat="1" applyFont="1" applyBorder="1" applyAlignment="1">
      <alignment horizontal="center" vertical="center" wrapText="1"/>
    </xf>
    <xf numFmtId="0" fontId="39" fillId="0" borderId="2" xfId="11" applyFont="1" applyFill="1" applyBorder="1" applyAlignment="1">
      <alignment horizontal="center" vertical="center" wrapText="1"/>
    </xf>
    <xf numFmtId="3" fontId="39" fillId="0" borderId="2" xfId="0" applyNumberFormat="1" applyFont="1" applyBorder="1" applyAlignment="1">
      <alignment horizontal="center" vertical="center" wrapText="1"/>
    </xf>
    <xf numFmtId="165" fontId="39" fillId="0" borderId="2" xfId="0" applyNumberFormat="1" applyFont="1" applyBorder="1" applyAlignment="1">
      <alignment horizontal="center" vertical="center" wrapText="1"/>
    </xf>
    <xf numFmtId="14" fontId="39" fillId="0" borderId="2" xfId="0" applyNumberFormat="1" applyFont="1" applyBorder="1" applyAlignment="1">
      <alignment horizontal="center" vertical="center" wrapText="1"/>
    </xf>
    <xf numFmtId="0" fontId="41" fillId="0" borderId="2" xfId="0" applyFont="1" applyBorder="1" applyAlignment="1">
      <alignment horizontal="center" vertical="center"/>
    </xf>
    <xf numFmtId="0" fontId="49" fillId="0" borderId="2" xfId="0" applyFont="1" applyBorder="1" applyAlignment="1">
      <alignment horizontal="left" vertical="center" wrapText="1"/>
    </xf>
    <xf numFmtId="9" fontId="44" fillId="0" borderId="2" xfId="0" applyNumberFormat="1" applyFont="1" applyBorder="1" applyAlignment="1">
      <alignment horizontal="left" vertical="center" wrapText="1"/>
    </xf>
    <xf numFmtId="0" fontId="41" fillId="0" borderId="2" xfId="0" applyFont="1" applyBorder="1" applyAlignment="1">
      <alignment horizontal="left" vertical="center"/>
    </xf>
    <xf numFmtId="0" fontId="38" fillId="9" borderId="2" xfId="0" applyFont="1" applyFill="1" applyBorder="1" applyAlignment="1">
      <alignment horizontal="center" vertical="center" wrapText="1"/>
    </xf>
    <xf numFmtId="1" fontId="38" fillId="9" borderId="2" xfId="0" applyNumberFormat="1" applyFont="1" applyFill="1" applyBorder="1" applyAlignment="1">
      <alignment horizontal="center" vertical="center" wrapText="1"/>
    </xf>
    <xf numFmtId="0" fontId="51" fillId="0" borderId="2" xfId="0" applyFont="1" applyBorder="1" applyAlignment="1">
      <alignment vertical="center" wrapText="1"/>
    </xf>
    <xf numFmtId="0" fontId="44" fillId="0" borderId="2" xfId="0" applyFont="1" applyBorder="1" applyAlignment="1">
      <alignment horizontal="center" vertical="center" wrapText="1"/>
    </xf>
    <xf numFmtId="2" fontId="43" fillId="0" borderId="2" xfId="0" applyNumberFormat="1" applyFont="1" applyBorder="1" applyAlignment="1">
      <alignment horizontal="center" vertical="center" wrapText="1"/>
    </xf>
    <xf numFmtId="0" fontId="42" fillId="0" borderId="2" xfId="17" applyFont="1" applyFill="1" applyBorder="1" applyAlignment="1">
      <alignment horizontal="center" vertical="center" wrapText="1"/>
    </xf>
    <xf numFmtId="6" fontId="43" fillId="0" borderId="2" xfId="0" applyNumberFormat="1" applyFont="1" applyBorder="1" applyAlignment="1">
      <alignment horizontal="center" vertical="center" wrapText="1"/>
    </xf>
    <xf numFmtId="0" fontId="38" fillId="0" borderId="2" xfId="0" applyFont="1" applyBorder="1" applyAlignment="1">
      <alignment vertical="top" wrapText="1"/>
    </xf>
    <xf numFmtId="9" fontId="39" fillId="0" borderId="2" xfId="16" applyNumberFormat="1" applyFont="1" applyFill="1" applyBorder="1" applyAlignment="1">
      <alignment horizontal="center" vertical="center" wrapText="1"/>
    </xf>
    <xf numFmtId="3" fontId="39" fillId="0" borderId="2" xfId="16" applyNumberFormat="1" applyFont="1" applyFill="1" applyBorder="1" applyAlignment="1">
      <alignment horizontal="center" vertical="center" wrapText="1"/>
    </xf>
    <xf numFmtId="3" fontId="38" fillId="0" borderId="2" xfId="0" applyNumberFormat="1" applyFont="1" applyBorder="1" applyAlignment="1">
      <alignment horizontal="center" vertical="center"/>
    </xf>
    <xf numFmtId="0" fontId="39" fillId="0" borderId="2" xfId="17" applyFont="1" applyFill="1" applyBorder="1" applyAlignment="1">
      <alignment horizontal="center" vertical="center" wrapText="1"/>
    </xf>
    <xf numFmtId="6" fontId="38" fillId="0" borderId="2" xfId="0" applyNumberFormat="1" applyFont="1" applyBorder="1" applyAlignment="1">
      <alignment horizontal="center" vertical="center" wrapText="1"/>
    </xf>
    <xf numFmtId="0" fontId="43" fillId="0" borderId="2" xfId="0" applyFont="1" applyBorder="1" applyAlignment="1">
      <alignment vertical="top" wrapText="1"/>
    </xf>
    <xf numFmtId="9" fontId="38" fillId="0" borderId="2" xfId="0" applyNumberFormat="1" applyFont="1" applyBorder="1" applyAlignment="1">
      <alignment horizontal="left" vertical="center" wrapText="1"/>
    </xf>
    <xf numFmtId="1" fontId="38" fillId="0" borderId="13" xfId="0" applyNumberFormat="1" applyFont="1" applyBorder="1" applyAlignment="1">
      <alignment horizontal="center" vertical="center" wrapText="1"/>
    </xf>
    <xf numFmtId="0" fontId="38" fillId="0" borderId="18" xfId="0" applyFont="1" applyBorder="1" applyAlignment="1">
      <alignment horizontal="left" vertical="top" wrapText="1"/>
    </xf>
    <xf numFmtId="2" fontId="38" fillId="0" borderId="15" xfId="0" applyNumberFormat="1" applyFont="1" applyBorder="1" applyAlignment="1">
      <alignment horizontal="center" vertical="center" wrapText="1"/>
    </xf>
    <xf numFmtId="9" fontId="39" fillId="4" borderId="15" xfId="7" applyNumberFormat="1" applyFont="1" applyBorder="1" applyAlignment="1">
      <alignment horizontal="center" vertical="center" wrapText="1"/>
    </xf>
    <xf numFmtId="0" fontId="52" fillId="0" borderId="2" xfId="0" applyFont="1" applyBorder="1" applyAlignment="1">
      <alignment horizontal="left" vertical="center" wrapText="1"/>
    </xf>
    <xf numFmtId="3" fontId="43" fillId="0" borderId="2" xfId="0" applyNumberFormat="1" applyFont="1" applyBorder="1" applyAlignment="1">
      <alignment horizontal="center" vertical="center"/>
    </xf>
    <xf numFmtId="3" fontId="1" fillId="0" borderId="2" xfId="0" applyNumberFormat="1" applyFont="1" applyBorder="1" applyAlignment="1">
      <alignment horizontal="center" vertical="center" wrapText="1"/>
    </xf>
    <xf numFmtId="0" fontId="53" fillId="0" borderId="2" xfId="0" applyFont="1" applyBorder="1" applyAlignment="1">
      <alignment horizontal="left" vertical="center" wrapText="1"/>
    </xf>
    <xf numFmtId="0" fontId="54" fillId="5" borderId="2" xfId="0" applyFont="1" applyFill="1" applyBorder="1" applyAlignment="1">
      <alignment horizontal="center" vertical="center" wrapText="1"/>
    </xf>
    <xf numFmtId="0" fontId="55" fillId="5" borderId="2" xfId="0" applyFont="1" applyFill="1" applyBorder="1" applyAlignment="1">
      <alignment horizontal="center" vertical="center" wrapText="1"/>
    </xf>
    <xf numFmtId="0" fontId="55" fillId="16" borderId="2" xfId="0" applyFont="1" applyFill="1" applyBorder="1" applyAlignment="1">
      <alignment horizontal="center" vertical="center" wrapText="1"/>
    </xf>
    <xf numFmtId="3" fontId="55" fillId="16" borderId="2" xfId="0" applyNumberFormat="1" applyFont="1" applyFill="1" applyBorder="1" applyAlignment="1">
      <alignment horizontal="center" vertical="center" wrapText="1"/>
    </xf>
    <xf numFmtId="0" fontId="40" fillId="16" borderId="2" xfId="0" applyFont="1" applyFill="1" applyBorder="1" applyAlignment="1">
      <alignment horizontal="center" vertical="center" wrapText="1"/>
    </xf>
    <xf numFmtId="0" fontId="56" fillId="16" borderId="2" xfId="0" applyFont="1" applyFill="1" applyBorder="1" applyAlignment="1">
      <alignment horizontal="center" vertical="center" wrapText="1"/>
    </xf>
    <xf numFmtId="0" fontId="50" fillId="18" borderId="2" xfId="0" applyFont="1" applyFill="1" applyBorder="1" applyAlignment="1">
      <alignment horizontal="center" vertical="center" wrapText="1"/>
    </xf>
    <xf numFmtId="0" fontId="40" fillId="19" borderId="2" xfId="0" applyFont="1" applyFill="1" applyBorder="1" applyAlignment="1">
      <alignment horizontal="center" vertical="center" wrapText="1"/>
    </xf>
    <xf numFmtId="0" fontId="50" fillId="19" borderId="2" xfId="0" applyFont="1" applyFill="1" applyBorder="1" applyAlignment="1">
      <alignment horizontal="center" vertical="center" wrapText="1"/>
    </xf>
    <xf numFmtId="1" fontId="50" fillId="17" borderId="2" xfId="0" applyNumberFormat="1" applyFont="1" applyFill="1" applyBorder="1" applyAlignment="1">
      <alignment horizontal="center" vertical="center" wrapText="1"/>
    </xf>
    <xf numFmtId="0" fontId="50" fillId="11" borderId="2" xfId="0" applyFont="1" applyFill="1" applyBorder="1" applyAlignment="1">
      <alignment horizontal="center" vertical="center" wrapText="1"/>
    </xf>
    <xf numFmtId="0" fontId="57" fillId="11" borderId="2" xfId="0" applyFont="1" applyFill="1" applyBorder="1" applyAlignment="1">
      <alignment horizontal="center" vertical="center" wrapText="1"/>
    </xf>
    <xf numFmtId="0" fontId="56" fillId="27" borderId="2" xfId="0" applyFont="1" applyFill="1" applyBorder="1" applyAlignment="1">
      <alignment horizontal="center" vertical="center" wrapText="1"/>
    </xf>
    <xf numFmtId="0" fontId="58" fillId="27" borderId="2" xfId="0" applyFont="1" applyFill="1" applyBorder="1" applyAlignment="1">
      <alignment horizontal="center" vertical="center" wrapText="1"/>
    </xf>
    <xf numFmtId="14" fontId="56" fillId="27" borderId="2" xfId="0" applyNumberFormat="1" applyFont="1" applyFill="1" applyBorder="1" applyAlignment="1">
      <alignment horizontal="center" vertical="center" wrapText="1"/>
    </xf>
    <xf numFmtId="0" fontId="59" fillId="20" borderId="2" xfId="0" applyFont="1" applyFill="1" applyBorder="1" applyAlignment="1">
      <alignment horizontal="center" vertical="center" wrapText="1"/>
    </xf>
    <xf numFmtId="0" fontId="60" fillId="20" borderId="2" xfId="0" applyFont="1" applyFill="1" applyBorder="1" applyAlignment="1">
      <alignment horizontal="center" vertical="center" wrapText="1"/>
    </xf>
    <xf numFmtId="3" fontId="60" fillId="20" borderId="2" xfId="0" applyNumberFormat="1" applyFont="1" applyFill="1" applyBorder="1" applyAlignment="1">
      <alignment horizontal="center" vertical="center" wrapText="1"/>
    </xf>
    <xf numFmtId="0" fontId="51" fillId="20" borderId="2" xfId="0" applyFont="1" applyFill="1" applyBorder="1" applyAlignment="1">
      <alignment horizontal="center" vertical="center" wrapText="1"/>
    </xf>
    <xf numFmtId="0" fontId="61" fillId="20" borderId="2" xfId="0" applyFont="1" applyFill="1" applyBorder="1" applyAlignment="1">
      <alignment horizontal="center" vertical="center" wrapText="1"/>
    </xf>
    <xf numFmtId="49" fontId="61" fillId="20" borderId="2" xfId="0" applyNumberFormat="1" applyFont="1" applyFill="1" applyBorder="1" applyAlignment="1">
      <alignment horizontal="center" vertical="center" wrapText="1"/>
    </xf>
    <xf numFmtId="1" fontId="61" fillId="20" borderId="2" xfId="0" applyNumberFormat="1" applyFont="1" applyFill="1" applyBorder="1" applyAlignment="1">
      <alignment horizontal="center" vertical="center" wrapText="1"/>
    </xf>
    <xf numFmtId="3" fontId="40" fillId="20" borderId="2" xfId="0" applyNumberFormat="1" applyFont="1" applyFill="1" applyBorder="1" applyAlignment="1">
      <alignment horizontal="center" vertical="center" wrapText="1"/>
    </xf>
    <xf numFmtId="2" fontId="18" fillId="0" borderId="2" xfId="0" applyNumberFormat="1" applyFont="1" applyBorder="1" applyAlignment="1">
      <alignment horizontal="center" vertical="center"/>
    </xf>
    <xf numFmtId="0" fontId="7" fillId="0" borderId="0" xfId="0" applyFont="1" applyAlignment="1">
      <alignment vertical="top" wrapText="1"/>
    </xf>
    <xf numFmtId="0" fontId="0" fillId="14" borderId="2" xfId="0" applyFill="1" applyBorder="1" applyAlignment="1">
      <alignment horizontal="center" vertical="center"/>
    </xf>
    <xf numFmtId="0" fontId="0" fillId="14" borderId="2" xfId="0" applyFill="1" applyBorder="1" applyAlignment="1">
      <alignment vertical="top" wrapText="1"/>
    </xf>
    <xf numFmtId="0" fontId="0" fillId="14" borderId="2" xfId="0" applyFill="1" applyBorder="1" applyAlignment="1">
      <alignment wrapText="1"/>
    </xf>
    <xf numFmtId="0" fontId="0" fillId="14" borderId="2" xfId="0" applyFill="1" applyBorder="1"/>
    <xf numFmtId="0" fontId="0" fillId="14" borderId="2" xfId="0" quotePrefix="1" applyFill="1" applyBorder="1"/>
    <xf numFmtId="0" fontId="0" fillId="0" borderId="2" xfId="0" applyBorder="1"/>
    <xf numFmtId="9" fontId="0" fillId="0" borderId="2" xfId="0" applyNumberFormat="1" applyBorder="1"/>
    <xf numFmtId="0" fontId="0" fillId="0" borderId="2" xfId="0" quotePrefix="1" applyBorder="1"/>
    <xf numFmtId="0" fontId="0" fillId="14" borderId="2" xfId="0" applyFill="1" applyBorder="1" applyAlignment="1">
      <alignment horizontal="left" vertical="top" wrapText="1"/>
    </xf>
    <xf numFmtId="9" fontId="0" fillId="14" borderId="2" xfId="0" applyNumberFormat="1" applyFill="1" applyBorder="1"/>
    <xf numFmtId="164" fontId="0" fillId="0" borderId="2" xfId="0" applyNumberFormat="1" applyBorder="1"/>
    <xf numFmtId="1" fontId="0" fillId="14" borderId="2" xfId="0" applyNumberFormat="1" applyFill="1" applyBorder="1"/>
    <xf numFmtId="0" fontId="0" fillId="0" borderId="0" xfId="0" applyAlignment="1">
      <alignment vertical="top" wrapText="1"/>
    </xf>
    <xf numFmtId="0" fontId="7" fillId="27" borderId="2" xfId="0" applyFont="1" applyFill="1" applyBorder="1" applyAlignment="1">
      <alignment horizontal="center" vertical="center" wrapText="1"/>
    </xf>
    <xf numFmtId="0" fontId="7" fillId="27" borderId="2" xfId="0" applyFont="1" applyFill="1" applyBorder="1" applyAlignment="1">
      <alignment wrapText="1"/>
    </xf>
    <xf numFmtId="0" fontId="1" fillId="0" borderId="2" xfId="0" applyFont="1" applyBorder="1" applyAlignment="1">
      <alignment vertical="top" wrapText="1"/>
    </xf>
    <xf numFmtId="0" fontId="37" fillId="28" borderId="0" xfId="0" applyFont="1" applyFill="1" applyAlignment="1">
      <alignment horizontal="left" vertical="center" wrapText="1"/>
    </xf>
    <xf numFmtId="0" fontId="37" fillId="28" borderId="0" xfId="0" applyFont="1" applyFill="1" applyAlignment="1">
      <alignment vertical="center" wrapText="1"/>
    </xf>
    <xf numFmtId="0" fontId="37" fillId="28" borderId="0" xfId="0" applyFont="1" applyFill="1" applyAlignment="1">
      <alignment horizontal="center" vertical="center" wrapText="1"/>
    </xf>
    <xf numFmtId="0" fontId="7" fillId="24" borderId="0" xfId="0" applyFont="1" applyFill="1" applyAlignment="1">
      <alignment horizontal="left"/>
    </xf>
    <xf numFmtId="0" fontId="7" fillId="24" borderId="0" xfId="0" applyFont="1" applyFill="1"/>
    <xf numFmtId="0" fontId="7" fillId="24" borderId="0" xfId="0" applyFont="1" applyFill="1" applyAlignment="1">
      <alignment horizontal="center"/>
    </xf>
    <xf numFmtId="15" fontId="7" fillId="24" borderId="0" xfId="0" applyNumberFormat="1" applyFont="1" applyFill="1" applyAlignment="1">
      <alignment horizontal="center"/>
    </xf>
    <xf numFmtId="44" fontId="7" fillId="24" borderId="0" xfId="15" applyFont="1" applyFill="1" applyAlignment="1">
      <alignment horizontal="center"/>
    </xf>
    <xf numFmtId="168" fontId="0" fillId="0" borderId="0" xfId="0" applyNumberFormat="1"/>
    <xf numFmtId="15" fontId="0" fillId="0" borderId="0" xfId="0" applyNumberFormat="1"/>
    <xf numFmtId="0" fontId="36" fillId="29" borderId="0" xfId="0" applyFont="1" applyFill="1" applyAlignment="1">
      <alignment horizontal="left"/>
    </xf>
    <xf numFmtId="0" fontId="36" fillId="29" borderId="0" xfId="0" applyFont="1" applyFill="1"/>
    <xf numFmtId="0" fontId="36" fillId="29" borderId="0" xfId="0" applyFont="1" applyFill="1" applyAlignment="1">
      <alignment horizontal="center"/>
    </xf>
    <xf numFmtId="15" fontId="36" fillId="29" borderId="0" xfId="0" applyNumberFormat="1" applyFont="1" applyFill="1" applyAlignment="1">
      <alignment horizontal="center"/>
    </xf>
    <xf numFmtId="44" fontId="36" fillId="29" borderId="0" xfId="15" applyFont="1" applyFill="1" applyAlignment="1">
      <alignment horizontal="center"/>
    </xf>
    <xf numFmtId="44" fontId="36" fillId="0" borderId="0" xfId="0" applyNumberFormat="1" applyFont="1"/>
    <xf numFmtId="0" fontId="36" fillId="0" borderId="0" xfId="0" applyFont="1"/>
    <xf numFmtId="0" fontId="7" fillId="30" borderId="0" xfId="0" applyFont="1" applyFill="1" applyAlignment="1">
      <alignment horizontal="left"/>
    </xf>
    <xf numFmtId="0" fontId="7" fillId="30" borderId="0" xfId="0" applyFont="1" applyFill="1"/>
    <xf numFmtId="0" fontId="7" fillId="30" borderId="0" xfId="0" applyFont="1" applyFill="1" applyAlignment="1">
      <alignment horizontal="center"/>
    </xf>
    <xf numFmtId="15" fontId="7" fillId="30" borderId="0" xfId="0" applyNumberFormat="1" applyFont="1" applyFill="1" applyAlignment="1">
      <alignment horizontal="center"/>
    </xf>
    <xf numFmtId="44" fontId="7" fillId="30" borderId="0" xfId="15" applyFont="1" applyFill="1" applyAlignment="1">
      <alignment horizontal="center"/>
    </xf>
    <xf numFmtId="0" fontId="7" fillId="31" borderId="0" xfId="0" applyFont="1" applyFill="1" applyAlignment="1">
      <alignment horizontal="left"/>
    </xf>
    <xf numFmtId="0" fontId="7" fillId="31" borderId="0" xfId="0" applyFont="1" applyFill="1"/>
    <xf numFmtId="0" fontId="7" fillId="31" borderId="0" xfId="0" applyFont="1" applyFill="1" applyAlignment="1">
      <alignment horizontal="center"/>
    </xf>
    <xf numFmtId="15" fontId="7" fillId="31" borderId="0" xfId="0" applyNumberFormat="1" applyFont="1" applyFill="1" applyAlignment="1">
      <alignment horizontal="center"/>
    </xf>
    <xf numFmtId="44" fontId="7" fillId="31" borderId="0" xfId="15" applyFont="1" applyFill="1" applyAlignment="1">
      <alignment horizontal="center"/>
    </xf>
    <xf numFmtId="0" fontId="7" fillId="32" borderId="0" xfId="0" applyFont="1" applyFill="1" applyAlignment="1">
      <alignment horizontal="left"/>
    </xf>
    <xf numFmtId="0" fontId="7" fillId="32" borderId="0" xfId="0" applyFont="1" applyFill="1"/>
    <xf numFmtId="0" fontId="7" fillId="32" borderId="0" xfId="0" applyFont="1" applyFill="1" applyAlignment="1">
      <alignment horizontal="center"/>
    </xf>
    <xf numFmtId="15" fontId="7" fillId="32" borderId="0" xfId="0" applyNumberFormat="1" applyFont="1" applyFill="1" applyAlignment="1">
      <alignment horizontal="center"/>
    </xf>
    <xf numFmtId="44" fontId="7" fillId="32" borderId="0" xfId="15" applyFont="1" applyFill="1" applyAlignment="1">
      <alignment horizontal="center"/>
    </xf>
    <xf numFmtId="168" fontId="7" fillId="0" borderId="0" xfId="0" applyNumberFormat="1" applyFont="1"/>
    <xf numFmtId="0" fontId="0" fillId="0" borderId="2" xfId="0" applyBorder="1" applyAlignment="1">
      <alignment vertical="center" wrapText="1"/>
    </xf>
    <xf numFmtId="0" fontId="0" fillId="0" borderId="2" xfId="0" applyBorder="1" applyAlignment="1">
      <alignment horizontal="center"/>
    </xf>
    <xf numFmtId="0" fontId="41" fillId="0" borderId="13" xfId="0" applyFont="1" applyBorder="1" applyAlignment="1">
      <alignment wrapText="1"/>
    </xf>
    <xf numFmtId="0" fontId="41" fillId="33" borderId="13" xfId="0" applyFont="1" applyFill="1" applyBorder="1" applyAlignment="1">
      <alignment wrapText="1"/>
    </xf>
    <xf numFmtId="0" fontId="0" fillId="0" borderId="2" xfId="0" applyBorder="1" applyAlignment="1">
      <alignment wrapText="1"/>
    </xf>
    <xf numFmtId="0" fontId="0" fillId="14" borderId="2" xfId="0" applyFill="1" applyBorder="1" applyAlignment="1">
      <alignment horizontal="center" vertical="center" wrapText="1"/>
    </xf>
    <xf numFmtId="169" fontId="0" fillId="0" borderId="0" xfId="18" applyNumberFormat="1" applyFont="1"/>
    <xf numFmtId="166" fontId="0" fillId="0" borderId="0" xfId="0" applyNumberFormat="1"/>
    <xf numFmtId="169" fontId="0" fillId="0" borderId="0" xfId="0" applyNumberFormat="1"/>
    <xf numFmtId="0" fontId="0" fillId="10" borderId="2" xfId="0" applyFill="1" applyBorder="1" applyAlignment="1">
      <alignment horizontal="center"/>
    </xf>
    <xf numFmtId="0" fontId="1" fillId="0" borderId="2" xfId="0" applyFont="1" applyBorder="1" applyAlignment="1">
      <alignment horizontal="left" vertical="top" wrapText="1"/>
    </xf>
    <xf numFmtId="1" fontId="0" fillId="0" borderId="13" xfId="0" applyNumberFormat="1" applyBorder="1" applyAlignment="1">
      <alignment horizontal="center" vertical="center" wrapText="1"/>
    </xf>
    <xf numFmtId="0" fontId="0" fillId="0" borderId="0" xfId="0" pivotButton="1"/>
    <xf numFmtId="0" fontId="0" fillId="10" borderId="0" xfId="0" applyFill="1"/>
    <xf numFmtId="169" fontId="0" fillId="10" borderId="0" xfId="0" applyNumberFormat="1" applyFill="1"/>
    <xf numFmtId="0" fontId="7" fillId="34" borderId="10" xfId="0" applyFont="1" applyFill="1" applyBorder="1" applyAlignment="1">
      <alignment horizontal="right" vertical="center"/>
    </xf>
    <xf numFmtId="1" fontId="0" fillId="34" borderId="28" xfId="0" applyNumberFormat="1" applyFill="1" applyBorder="1" applyAlignment="1">
      <alignment vertical="top" wrapText="1"/>
    </xf>
    <xf numFmtId="1" fontId="0" fillId="34" borderId="29" xfId="0" applyNumberFormat="1" applyFill="1" applyBorder="1" applyAlignment="1">
      <alignment vertical="top" wrapText="1"/>
    </xf>
    <xf numFmtId="3" fontId="6" fillId="0" borderId="3" xfId="15" applyNumberFormat="1" applyFont="1" applyBorder="1" applyAlignment="1">
      <alignment horizontal="center" vertical="center"/>
    </xf>
    <xf numFmtId="0" fontId="7" fillId="34" borderId="33" xfId="0" applyFont="1" applyFill="1" applyBorder="1" applyAlignment="1">
      <alignment horizontal="right" vertical="center"/>
    </xf>
    <xf numFmtId="0" fontId="7" fillId="34" borderId="35" xfId="0" applyFont="1" applyFill="1" applyBorder="1" applyAlignment="1">
      <alignment horizontal="right" vertical="center"/>
    </xf>
    <xf numFmtId="3" fontId="6" fillId="0" borderId="36" xfId="15" applyNumberFormat="1" applyFont="1" applyBorder="1" applyAlignment="1">
      <alignment horizontal="center" vertical="center"/>
    </xf>
    <xf numFmtId="3" fontId="6" fillId="0" borderId="39" xfId="15" applyNumberFormat="1" applyFont="1" applyBorder="1" applyAlignment="1">
      <alignment horizontal="center" vertical="center"/>
    </xf>
    <xf numFmtId="3" fontId="6" fillId="0" borderId="31" xfId="18" applyNumberFormat="1" applyFont="1" applyBorder="1" applyAlignment="1" applyProtection="1">
      <alignment horizontal="center" vertical="center"/>
    </xf>
    <xf numFmtId="1" fontId="7" fillId="34" borderId="33" xfId="0" applyNumberFormat="1" applyFont="1" applyFill="1" applyBorder="1" applyAlignment="1">
      <alignment horizontal="right" vertical="center"/>
    </xf>
    <xf numFmtId="0" fontId="7" fillId="34" borderId="18" xfId="0" applyFont="1" applyFill="1" applyBorder="1" applyAlignment="1">
      <alignment horizontal="right" vertical="center"/>
    </xf>
    <xf numFmtId="0" fontId="7" fillId="34" borderId="48" xfId="0" applyFont="1" applyFill="1" applyBorder="1" applyAlignment="1">
      <alignment horizontal="right" vertical="center"/>
    </xf>
    <xf numFmtId="0" fontId="7" fillId="34" borderId="49" xfId="0" applyFont="1" applyFill="1" applyBorder="1" applyAlignment="1">
      <alignment horizontal="right" vertical="center"/>
    </xf>
    <xf numFmtId="0" fontId="0" fillId="0" borderId="46" xfId="0" applyBorder="1"/>
    <xf numFmtId="0" fontId="6" fillId="0" borderId="9" xfId="0" applyFont="1" applyBorder="1" applyAlignment="1">
      <alignment horizontal="left"/>
    </xf>
    <xf numFmtId="0" fontId="7" fillId="34" borderId="49" xfId="0" applyFont="1" applyFill="1" applyBorder="1" applyAlignment="1">
      <alignment horizontal="left" indent="1"/>
    </xf>
    <xf numFmtId="0" fontId="7" fillId="34" borderId="53" xfId="0" applyFont="1" applyFill="1" applyBorder="1" applyAlignment="1">
      <alignment horizontal="left" indent="1"/>
    </xf>
    <xf numFmtId="0" fontId="7" fillId="34" borderId="6" xfId="0" applyFont="1" applyFill="1" applyBorder="1" applyAlignment="1">
      <alignment horizontal="left" indent="1"/>
    </xf>
    <xf numFmtId="0" fontId="6" fillId="0" borderId="32" xfId="0" applyFont="1" applyBorder="1"/>
    <xf numFmtId="0" fontId="7" fillId="34" borderId="54" xfId="0" applyFont="1" applyFill="1" applyBorder="1" applyAlignment="1">
      <alignment horizontal="left" indent="1"/>
    </xf>
    <xf numFmtId="0" fontId="6" fillId="0" borderId="12" xfId="0" applyFont="1" applyBorder="1"/>
    <xf numFmtId="1" fontId="6" fillId="0" borderId="55" xfId="0" applyNumberFormat="1" applyFont="1" applyBorder="1" applyAlignment="1">
      <alignment horizontal="center" vertical="center" wrapText="1"/>
    </xf>
    <xf numFmtId="1" fontId="6" fillId="0" borderId="31" xfId="0" applyNumberFormat="1" applyFont="1" applyBorder="1" applyAlignment="1">
      <alignment horizontal="center"/>
    </xf>
    <xf numFmtId="1" fontId="6" fillId="0" borderId="11" xfId="0" applyNumberFormat="1" applyFont="1" applyBorder="1" applyAlignment="1">
      <alignment horizontal="center"/>
    </xf>
    <xf numFmtId="1" fontId="6" fillId="0" borderId="56" xfId="0" applyNumberFormat="1" applyFont="1" applyBorder="1" applyAlignment="1">
      <alignment horizontal="center"/>
    </xf>
    <xf numFmtId="0" fontId="54" fillId="27" borderId="4" xfId="0" applyFont="1" applyFill="1" applyBorder="1" applyAlignment="1">
      <alignment horizontal="center" vertical="center" wrapText="1"/>
    </xf>
    <xf numFmtId="0" fontId="56" fillId="27" borderId="4" xfId="0" applyFont="1" applyFill="1" applyBorder="1" applyAlignment="1">
      <alignment horizontal="center" vertical="center" wrapText="1"/>
    </xf>
    <xf numFmtId="14" fontId="38" fillId="0" borderId="4" xfId="0" applyNumberFormat="1" applyFont="1" applyBorder="1" applyAlignment="1">
      <alignment horizontal="left" vertical="center" wrapText="1"/>
    </xf>
    <xf numFmtId="14" fontId="38" fillId="0" borderId="4" xfId="0" applyNumberFormat="1" applyFont="1" applyBorder="1" applyAlignment="1">
      <alignment horizontal="center" vertical="center" wrapText="1"/>
    </xf>
    <xf numFmtId="0" fontId="9" fillId="0" borderId="2" xfId="0" applyFont="1" applyBorder="1" applyAlignment="1">
      <alignment horizontal="right" wrapText="1"/>
    </xf>
    <xf numFmtId="0" fontId="0" fillId="0" borderId="2" xfId="0" applyBorder="1" applyAlignment="1">
      <alignment horizontal="left" vertical="top"/>
    </xf>
    <xf numFmtId="0" fontId="0" fillId="0" borderId="2" xfId="0" applyBorder="1" applyAlignment="1">
      <alignment horizontal="left" vertical="top" wrapText="1"/>
    </xf>
    <xf numFmtId="0" fontId="64" fillId="20" borderId="2" xfId="0" applyFont="1" applyFill="1" applyBorder="1" applyAlignment="1">
      <alignment horizontal="center" vertical="center" wrapText="1"/>
    </xf>
    <xf numFmtId="9" fontId="8" fillId="0" borderId="2" xfId="0" applyNumberFormat="1" applyFont="1" applyBorder="1" applyAlignment="1">
      <alignment horizontal="left" vertical="center" wrapText="1"/>
    </xf>
    <xf numFmtId="0" fontId="7" fillId="34" borderId="30" xfId="0" applyFont="1" applyFill="1" applyBorder="1" applyAlignment="1">
      <alignment vertical="top"/>
    </xf>
    <xf numFmtId="0" fontId="39" fillId="0" borderId="2" xfId="0" applyFont="1" applyBorder="1" applyAlignment="1">
      <alignment horizontal="center" vertical="center"/>
    </xf>
    <xf numFmtId="0" fontId="6" fillId="0" borderId="9" xfId="0" applyFont="1" applyBorder="1"/>
    <xf numFmtId="0" fontId="41" fillId="0" borderId="2" xfId="0" applyFont="1" applyBorder="1" applyAlignment="1">
      <alignment horizontal="left" vertical="top" wrapText="1"/>
    </xf>
    <xf numFmtId="0" fontId="67" fillId="0" borderId="2" xfId="0" applyFont="1" applyBorder="1" applyAlignment="1">
      <alignment vertical="center"/>
    </xf>
    <xf numFmtId="0" fontId="67" fillId="0" borderId="2" xfId="0" applyFont="1" applyBorder="1"/>
    <xf numFmtId="0" fontId="67" fillId="0" borderId="2" xfId="0" applyFont="1" applyBorder="1" applyAlignment="1">
      <alignment vertical="center" wrapText="1"/>
    </xf>
    <xf numFmtId="0" fontId="67" fillId="10" borderId="2" xfId="0" applyFont="1" applyFill="1" applyBorder="1" applyAlignment="1">
      <alignment vertical="center"/>
    </xf>
    <xf numFmtId="0" fontId="67" fillId="10" borderId="2" xfId="0" applyFont="1" applyFill="1" applyBorder="1" applyAlignment="1">
      <alignment vertical="center" wrapText="1"/>
    </xf>
    <xf numFmtId="1" fontId="0" fillId="0" borderId="0" xfId="0" applyNumberFormat="1" applyAlignment="1">
      <alignment horizontal="center" vertical="center" wrapText="1"/>
    </xf>
    <xf numFmtId="49" fontId="0" fillId="0" borderId="0" xfId="0" applyNumberFormat="1" applyAlignment="1">
      <alignment horizontal="center" vertical="center"/>
    </xf>
    <xf numFmtId="0" fontId="0" fillId="0" borderId="0" xfId="0" applyAlignment="1">
      <alignment horizontal="left" vertical="center" wrapText="1"/>
    </xf>
    <xf numFmtId="165" fontId="0" fillId="0" borderId="0" xfId="0" applyNumberFormat="1" applyAlignment="1">
      <alignment horizontal="center" vertical="center" wrapText="1"/>
    </xf>
    <xf numFmtId="166" fontId="0" fillId="0" borderId="0" xfId="0" applyNumberFormat="1" applyAlignment="1">
      <alignment horizontal="center" vertical="center" wrapText="1"/>
    </xf>
    <xf numFmtId="14" fontId="1" fillId="0" borderId="2" xfId="0" applyNumberFormat="1" applyFont="1" applyBorder="1" applyAlignment="1">
      <alignment horizontal="center" vertical="center" wrapText="1"/>
    </xf>
    <xf numFmtId="0" fontId="65" fillId="0" borderId="2" xfId="0" applyFont="1" applyBorder="1" applyAlignment="1">
      <alignment horizontal="left" vertical="top" wrapText="1"/>
    </xf>
    <xf numFmtId="0" fontId="38" fillId="0" borderId="0" xfId="0" applyFont="1" applyAlignment="1">
      <alignment horizontal="left" vertical="top" wrapText="1"/>
    </xf>
    <xf numFmtId="17" fontId="38" fillId="0" borderId="2" xfId="0" applyNumberFormat="1" applyFont="1" applyBorder="1" applyAlignment="1">
      <alignment horizontal="left" vertical="top" wrapText="1"/>
    </xf>
    <xf numFmtId="0" fontId="68" fillId="0" borderId="2" xfId="0" applyFont="1" applyBorder="1" applyAlignment="1">
      <alignment horizontal="center" vertical="center" wrapText="1"/>
    </xf>
    <xf numFmtId="0" fontId="68" fillId="0" borderId="2" xfId="0" applyFont="1" applyBorder="1" applyAlignment="1">
      <alignment horizontal="left" vertical="center" wrapText="1"/>
    </xf>
    <xf numFmtId="0" fontId="11" fillId="0" borderId="4" xfId="0" applyFont="1" applyBorder="1" applyAlignment="1">
      <alignment horizontal="center" vertical="center" wrapText="1"/>
    </xf>
    <xf numFmtId="0" fontId="8" fillId="0" borderId="2" xfId="0" applyFont="1" applyBorder="1" applyAlignment="1">
      <alignment horizontal="center" vertical="center"/>
    </xf>
    <xf numFmtId="166" fontId="0" fillId="0" borderId="2" xfId="0" applyNumberFormat="1" applyBorder="1" applyAlignment="1">
      <alignment horizontal="center" vertical="center" wrapText="1"/>
    </xf>
    <xf numFmtId="0" fontId="0" fillId="0" borderId="2" xfId="11" applyNumberFormat="1" applyFont="1" applyFill="1" applyBorder="1" applyAlignment="1">
      <alignment horizontal="left" vertical="center" wrapText="1"/>
    </xf>
    <xf numFmtId="0" fontId="30" fillId="0" borderId="2" xfId="0" applyFont="1" applyBorder="1" applyAlignment="1">
      <alignment horizontal="left" vertical="center" wrapText="1"/>
    </xf>
    <xf numFmtId="14" fontId="38" fillId="9" borderId="2" xfId="0" applyNumberFormat="1" applyFont="1" applyFill="1" applyBorder="1" applyAlignment="1">
      <alignment horizontal="left" vertical="center" wrapText="1"/>
    </xf>
    <xf numFmtId="0" fontId="0" fillId="11" borderId="0" xfId="0" applyFill="1"/>
    <xf numFmtId="0" fontId="60" fillId="0" borderId="2" xfId="0" applyFont="1" applyBorder="1" applyAlignment="1">
      <alignment horizontal="center" vertical="center" wrapText="1"/>
    </xf>
    <xf numFmtId="0" fontId="51" fillId="0" borderId="2" xfId="0" applyFont="1" applyBorder="1" applyAlignment="1">
      <alignment horizontal="center" vertical="center" wrapText="1"/>
    </xf>
    <xf numFmtId="0" fontId="61" fillId="0" borderId="2" xfId="0" applyFont="1" applyBorder="1" applyAlignment="1">
      <alignment horizontal="center" vertical="center" wrapText="1"/>
    </xf>
    <xf numFmtId="44" fontId="0" fillId="0" borderId="0" xfId="15" applyFont="1"/>
    <xf numFmtId="0" fontId="7" fillId="23" borderId="0" xfId="0" applyFont="1" applyFill="1"/>
    <xf numFmtId="15" fontId="7" fillId="23" borderId="0" xfId="0" applyNumberFormat="1" applyFont="1" applyFill="1"/>
    <xf numFmtId="44" fontId="7" fillId="23" borderId="0" xfId="15" applyFont="1" applyFill="1"/>
    <xf numFmtId="15" fontId="7" fillId="24" borderId="0" xfId="0" applyNumberFormat="1" applyFont="1" applyFill="1"/>
    <xf numFmtId="44" fontId="7" fillId="24" borderId="0" xfId="15" applyFont="1" applyFill="1"/>
    <xf numFmtId="0" fontId="7" fillId="24" borderId="57" xfId="0" applyFont="1" applyFill="1" applyBorder="1"/>
    <xf numFmtId="0" fontId="0" fillId="35" borderId="50" xfId="0" applyFill="1" applyBorder="1"/>
    <xf numFmtId="15" fontId="0" fillId="35" borderId="32" xfId="0" applyNumberFormat="1" applyFill="1" applyBorder="1"/>
    <xf numFmtId="0" fontId="0" fillId="35" borderId="32" xfId="0" applyFill="1" applyBorder="1"/>
    <xf numFmtId="44" fontId="0" fillId="35" borderId="32" xfId="15" applyFont="1" applyFill="1" applyBorder="1"/>
    <xf numFmtId="0" fontId="0" fillId="35" borderId="57" xfId="0" applyFill="1" applyBorder="1"/>
    <xf numFmtId="0" fontId="0" fillId="35" borderId="34" xfId="0" applyFill="1" applyBorder="1"/>
    <xf numFmtId="0" fontId="0" fillId="35" borderId="59" xfId="0" applyFill="1" applyBorder="1"/>
    <xf numFmtId="15" fontId="0" fillId="35" borderId="46" xfId="0" applyNumberFormat="1" applyFill="1" applyBorder="1"/>
    <xf numFmtId="0" fontId="0" fillId="35" borderId="46" xfId="0" applyFill="1" applyBorder="1"/>
    <xf numFmtId="44" fontId="0" fillId="35" borderId="46" xfId="15" applyFont="1" applyFill="1" applyBorder="1"/>
    <xf numFmtId="0" fontId="0" fillId="35" borderId="58" xfId="0" applyFill="1" applyBorder="1"/>
    <xf numFmtId="0" fontId="0" fillId="35" borderId="45" xfId="0" applyFill="1" applyBorder="1"/>
    <xf numFmtId="0" fontId="0" fillId="35" borderId="60" xfId="0" applyFill="1" applyBorder="1"/>
    <xf numFmtId="15" fontId="0" fillId="35" borderId="38" xfId="0" applyNumberFormat="1" applyFill="1" applyBorder="1"/>
    <xf numFmtId="0" fontId="0" fillId="35" borderId="38" xfId="0" applyFill="1" applyBorder="1"/>
    <xf numFmtId="44" fontId="0" fillId="35" borderId="38" xfId="15" applyFont="1" applyFill="1" applyBorder="1"/>
    <xf numFmtId="0" fontId="0" fillId="35" borderId="61" xfId="0" applyFill="1" applyBorder="1"/>
    <xf numFmtId="0" fontId="0" fillId="35" borderId="37" xfId="0" applyFill="1" applyBorder="1"/>
    <xf numFmtId="0" fontId="0" fillId="35" borderId="9" xfId="0" applyFill="1" applyBorder="1"/>
    <xf numFmtId="15" fontId="0" fillId="35" borderId="0" xfId="0" applyNumberFormat="1" applyFill="1"/>
    <xf numFmtId="0" fontId="0" fillId="35" borderId="0" xfId="0" applyFill="1"/>
    <xf numFmtId="44" fontId="0" fillId="35" borderId="0" xfId="15" applyFont="1" applyFill="1" applyBorder="1"/>
    <xf numFmtId="0" fontId="0" fillId="35" borderId="62" xfId="0" applyFill="1" applyBorder="1"/>
    <xf numFmtId="0" fontId="0" fillId="35" borderId="12" xfId="0" applyFill="1" applyBorder="1"/>
    <xf numFmtId="0" fontId="7" fillId="0" borderId="58" xfId="0" applyFont="1" applyBorder="1"/>
    <xf numFmtId="0" fontId="0" fillId="0" borderId="60" xfId="0" applyBorder="1"/>
    <xf numFmtId="0" fontId="0" fillId="0" borderId="38" xfId="0" applyBorder="1"/>
    <xf numFmtId="44" fontId="0" fillId="0" borderId="38" xfId="15" applyFont="1" applyBorder="1"/>
    <xf numFmtId="0" fontId="0" fillId="0" borderId="61" xfId="0" applyBorder="1"/>
    <xf numFmtId="0" fontId="0" fillId="0" borderId="37" xfId="0" applyBorder="1"/>
    <xf numFmtId="0" fontId="7" fillId="36" borderId="61" xfId="0" applyFont="1" applyFill="1" applyBorder="1"/>
    <xf numFmtId="0" fontId="0" fillId="36" borderId="60" xfId="0" applyFill="1" applyBorder="1"/>
    <xf numFmtId="15" fontId="0" fillId="36" borderId="38" xfId="0" applyNumberFormat="1" applyFill="1" applyBorder="1"/>
    <xf numFmtId="0" fontId="0" fillId="36" borderId="38" xfId="0" applyFill="1" applyBorder="1"/>
    <xf numFmtId="44" fontId="0" fillId="36" borderId="38" xfId="15" applyFont="1" applyFill="1" applyBorder="1"/>
    <xf numFmtId="0" fontId="0" fillId="36" borderId="61" xfId="0" applyFill="1" applyBorder="1"/>
    <xf numFmtId="0" fontId="0" fillId="36" borderId="37" xfId="0" applyFill="1" applyBorder="1"/>
    <xf numFmtId="0" fontId="0" fillId="36" borderId="50" xfId="0" applyFill="1" applyBorder="1"/>
    <xf numFmtId="15" fontId="0" fillId="36" borderId="32" xfId="0" applyNumberFormat="1" applyFill="1" applyBorder="1"/>
    <xf numFmtId="0" fontId="0" fillId="36" borderId="32" xfId="0" applyFill="1" applyBorder="1"/>
    <xf numFmtId="44" fontId="0" fillId="36" borderId="32" xfId="15" applyFont="1" applyFill="1" applyBorder="1"/>
    <xf numFmtId="0" fontId="0" fillId="36" borderId="57" xfId="0" applyFill="1" applyBorder="1"/>
    <xf numFmtId="0" fontId="0" fillId="36" borderId="34" xfId="0" applyFill="1" applyBorder="1"/>
    <xf numFmtId="0" fontId="0" fillId="36" borderId="59" xfId="0" applyFill="1" applyBorder="1"/>
    <xf numFmtId="15" fontId="0" fillId="36" borderId="46" xfId="0" applyNumberFormat="1" applyFill="1" applyBorder="1"/>
    <xf numFmtId="0" fontId="0" fillId="36" borderId="46" xfId="0" applyFill="1" applyBorder="1"/>
    <xf numFmtId="44" fontId="0" fillId="36" borderId="46" xfId="15" applyFont="1" applyFill="1" applyBorder="1"/>
    <xf numFmtId="0" fontId="0" fillId="36" borderId="58" xfId="0" applyFill="1" applyBorder="1"/>
    <xf numFmtId="0" fontId="0" fillId="36" borderId="45" xfId="0" applyFill="1" applyBorder="1"/>
    <xf numFmtId="0" fontId="0" fillId="36" borderId="9" xfId="0" applyFill="1" applyBorder="1"/>
    <xf numFmtId="15" fontId="0" fillId="36" borderId="0" xfId="0" applyNumberFormat="1" applyFill="1"/>
    <xf numFmtId="0" fontId="0" fillId="36" borderId="0" xfId="0" applyFill="1"/>
    <xf numFmtId="44" fontId="0" fillId="36" borderId="0" xfId="15" applyFont="1" applyFill="1" applyBorder="1"/>
    <xf numFmtId="0" fontId="0" fillId="36" borderId="62" xfId="0" applyFill="1" applyBorder="1"/>
    <xf numFmtId="0" fontId="0" fillId="36" borderId="12" xfId="0" applyFill="1" applyBorder="1"/>
    <xf numFmtId="0" fontId="7" fillId="0" borderId="57" xfId="0" applyFont="1" applyBorder="1"/>
    <xf numFmtId="15" fontId="0" fillId="0" borderId="38" xfId="0" applyNumberFormat="1" applyBorder="1"/>
    <xf numFmtId="0" fontId="7" fillId="0" borderId="61" xfId="0" applyFont="1" applyBorder="1"/>
    <xf numFmtId="0" fontId="7" fillId="0" borderId="62" xfId="0" applyFont="1" applyBorder="1"/>
    <xf numFmtId="0" fontId="0" fillId="0" borderId="50" xfId="0" applyBorder="1"/>
    <xf numFmtId="15" fontId="0" fillId="0" borderId="32" xfId="0" applyNumberFormat="1" applyBorder="1"/>
    <xf numFmtId="0" fontId="0" fillId="0" borderId="32" xfId="0" applyBorder="1"/>
    <xf numFmtId="44" fontId="0" fillId="0" borderId="32" xfId="15" applyFont="1" applyBorder="1"/>
    <xf numFmtId="0" fontId="0" fillId="0" borderId="57" xfId="0" applyBorder="1"/>
    <xf numFmtId="0" fontId="0" fillId="0" borderId="34" xfId="0" applyBorder="1"/>
    <xf numFmtId="0" fontId="0" fillId="0" borderId="9" xfId="0" applyBorder="1"/>
    <xf numFmtId="44" fontId="0" fillId="0" borderId="0" xfId="15" applyFont="1" applyBorder="1"/>
    <xf numFmtId="0" fontId="0" fillId="0" borderId="62" xfId="0" applyBorder="1"/>
    <xf numFmtId="0" fontId="0" fillId="0" borderId="12" xfId="0" applyBorder="1"/>
    <xf numFmtId="0" fontId="0" fillId="0" borderId="59" xfId="0" applyBorder="1"/>
    <xf numFmtId="15" fontId="0" fillId="0" borderId="46" xfId="0" applyNumberFormat="1" applyBorder="1"/>
    <xf numFmtId="44" fontId="0" fillId="0" borderId="46" xfId="15" applyFont="1" applyBorder="1"/>
    <xf numFmtId="0" fontId="0" fillId="0" borderId="58" xfId="0" applyBorder="1"/>
    <xf numFmtId="0" fontId="0" fillId="0" borderId="45" xfId="0" applyBorder="1"/>
    <xf numFmtId="0" fontId="7" fillId="37" borderId="61" xfId="0" applyFont="1" applyFill="1" applyBorder="1"/>
    <xf numFmtId="0" fontId="0" fillId="37" borderId="60" xfId="0" applyFill="1" applyBorder="1"/>
    <xf numFmtId="15" fontId="0" fillId="37" borderId="38" xfId="0" applyNumberFormat="1" applyFill="1" applyBorder="1"/>
    <xf numFmtId="0" fontId="0" fillId="37" borderId="38" xfId="0" applyFill="1" applyBorder="1"/>
    <xf numFmtId="44" fontId="0" fillId="37" borderId="38" xfId="15" applyFont="1" applyFill="1" applyBorder="1"/>
    <xf numFmtId="0" fontId="0" fillId="37" borderId="61" xfId="0" applyFill="1" applyBorder="1"/>
    <xf numFmtId="0" fontId="0" fillId="37" borderId="37" xfId="0" applyFill="1" applyBorder="1"/>
    <xf numFmtId="0" fontId="7" fillId="37" borderId="62" xfId="0" applyFont="1" applyFill="1" applyBorder="1"/>
    <xf numFmtId="0" fontId="7" fillId="38" borderId="61" xfId="0" applyFont="1" applyFill="1" applyBorder="1"/>
    <xf numFmtId="0" fontId="0" fillId="38" borderId="60" xfId="0" applyFill="1" applyBorder="1"/>
    <xf numFmtId="15" fontId="0" fillId="38" borderId="38" xfId="0" applyNumberFormat="1" applyFill="1" applyBorder="1"/>
    <xf numFmtId="0" fontId="0" fillId="38" borderId="38" xfId="0" applyFill="1" applyBorder="1"/>
    <xf numFmtId="44" fontId="0" fillId="38" borderId="38" xfId="15" applyFont="1" applyFill="1" applyBorder="1"/>
    <xf numFmtId="0" fontId="0" fillId="38" borderId="61" xfId="0" applyFill="1" applyBorder="1"/>
    <xf numFmtId="0" fontId="0" fillId="38" borderId="37" xfId="0" applyFill="1" applyBorder="1"/>
    <xf numFmtId="0" fontId="7" fillId="38" borderId="62" xfId="0" applyFont="1" applyFill="1" applyBorder="1"/>
    <xf numFmtId="0" fontId="0" fillId="38" borderId="50" xfId="0" applyFill="1" applyBorder="1"/>
    <xf numFmtId="15" fontId="0" fillId="38" borderId="32" xfId="0" applyNumberFormat="1" applyFill="1" applyBorder="1"/>
    <xf numFmtId="0" fontId="0" fillId="38" borderId="32" xfId="0" applyFill="1" applyBorder="1"/>
    <xf numFmtId="44" fontId="0" fillId="38" borderId="32" xfId="15" applyFont="1" applyFill="1" applyBorder="1"/>
    <xf numFmtId="0" fontId="0" fillId="38" borderId="57" xfId="0" applyFill="1" applyBorder="1"/>
    <xf numFmtId="0" fontId="0" fillId="38" borderId="34" xfId="0" applyFill="1" applyBorder="1"/>
    <xf numFmtId="0" fontId="0" fillId="38" borderId="59" xfId="0" applyFill="1" applyBorder="1"/>
    <xf numFmtId="15" fontId="0" fillId="38" borderId="46" xfId="0" applyNumberFormat="1" applyFill="1" applyBorder="1"/>
    <xf numFmtId="0" fontId="0" fillId="38" borderId="46" xfId="0" applyFill="1" applyBorder="1"/>
    <xf numFmtId="44" fontId="0" fillId="38" borderId="46" xfId="15" applyFont="1" applyFill="1" applyBorder="1"/>
    <xf numFmtId="0" fontId="0" fillId="38" borderId="58" xfId="0" applyFill="1" applyBorder="1"/>
    <xf numFmtId="0" fontId="0" fillId="38" borderId="45" xfId="0" applyFill="1" applyBorder="1"/>
    <xf numFmtId="0" fontId="0" fillId="39" borderId="50" xfId="0" applyFill="1" applyBorder="1"/>
    <xf numFmtId="15" fontId="0" fillId="39" borderId="32" xfId="0" applyNumberFormat="1" applyFill="1" applyBorder="1"/>
    <xf numFmtId="0" fontId="0" fillId="39" borderId="32" xfId="0" applyFill="1" applyBorder="1"/>
    <xf numFmtId="44" fontId="0" fillId="39" borderId="32" xfId="15" applyFont="1" applyFill="1" applyBorder="1"/>
    <xf numFmtId="0" fontId="0" fillId="39" borderId="57" xfId="0" applyFill="1" applyBorder="1"/>
    <xf numFmtId="0" fontId="0" fillId="39" borderId="34" xfId="0" applyFill="1" applyBorder="1"/>
    <xf numFmtId="0" fontId="0" fillId="39" borderId="9" xfId="0" applyFill="1" applyBorder="1"/>
    <xf numFmtId="15" fontId="0" fillId="39" borderId="0" xfId="0" applyNumberFormat="1" applyFill="1"/>
    <xf numFmtId="0" fontId="0" fillId="39" borderId="0" xfId="0" applyFill="1"/>
    <xf numFmtId="44" fontId="0" fillId="39" borderId="0" xfId="15" applyFont="1" applyFill="1" applyBorder="1"/>
    <xf numFmtId="0" fontId="0" fillId="39" borderId="62" xfId="0" applyFill="1" applyBorder="1"/>
    <xf numFmtId="0" fontId="0" fillId="39" borderId="12" xfId="0" applyFill="1" applyBorder="1"/>
    <xf numFmtId="0" fontId="0" fillId="39" borderId="59" xfId="0" applyFill="1" applyBorder="1"/>
    <xf numFmtId="15" fontId="0" fillId="39" borderId="46" xfId="0" applyNumberFormat="1" applyFill="1" applyBorder="1"/>
    <xf numFmtId="0" fontId="0" fillId="39" borderId="46" xfId="0" applyFill="1" applyBorder="1"/>
    <xf numFmtId="44" fontId="0" fillId="39" borderId="46" xfId="15" applyFont="1" applyFill="1" applyBorder="1"/>
    <xf numFmtId="0" fontId="0" fillId="39" borderId="58" xfId="0" applyFill="1" applyBorder="1"/>
    <xf numFmtId="0" fontId="0" fillId="39" borderId="45" xfId="0" applyFill="1" applyBorder="1"/>
    <xf numFmtId="0" fontId="7" fillId="27" borderId="61" xfId="0" applyFont="1" applyFill="1" applyBorder="1"/>
    <xf numFmtId="0" fontId="0" fillId="27" borderId="60" xfId="0" applyFill="1" applyBorder="1"/>
    <xf numFmtId="15" fontId="0" fillId="27" borderId="38" xfId="0" applyNumberFormat="1" applyFill="1" applyBorder="1"/>
    <xf numFmtId="0" fontId="0" fillId="27" borderId="38" xfId="0" applyFill="1" applyBorder="1"/>
    <xf numFmtId="44" fontId="0" fillId="27" borderId="38" xfId="15" applyFont="1" applyFill="1" applyBorder="1"/>
    <xf numFmtId="0" fontId="0" fillId="27" borderId="61" xfId="0" applyFill="1" applyBorder="1"/>
    <xf numFmtId="0" fontId="0" fillId="27" borderId="37" xfId="0" applyFill="1" applyBorder="1"/>
    <xf numFmtId="0" fontId="0" fillId="27" borderId="50" xfId="0" applyFill="1" applyBorder="1"/>
    <xf numFmtId="15" fontId="0" fillId="27" borderId="32" xfId="0" applyNumberFormat="1" applyFill="1" applyBorder="1"/>
    <xf numFmtId="0" fontId="0" fillId="27" borderId="32" xfId="0" applyFill="1" applyBorder="1"/>
    <xf numFmtId="44" fontId="0" fillId="27" borderId="32" xfId="15" applyFont="1" applyFill="1" applyBorder="1"/>
    <xf numFmtId="0" fontId="0" fillId="27" borderId="57" xfId="0" applyFill="1" applyBorder="1"/>
    <xf numFmtId="0" fontId="0" fillId="27" borderId="34" xfId="0" applyFill="1" applyBorder="1"/>
    <xf numFmtId="0" fontId="0" fillId="27" borderId="9" xfId="0" applyFill="1" applyBorder="1"/>
    <xf numFmtId="15" fontId="0" fillId="27" borderId="0" xfId="0" applyNumberFormat="1" applyFill="1"/>
    <xf numFmtId="0" fontId="0" fillId="27" borderId="0" xfId="0" applyFill="1"/>
    <xf numFmtId="44" fontId="0" fillId="27" borderId="0" xfId="15" applyFont="1" applyFill="1" applyBorder="1"/>
    <xf numFmtId="0" fontId="0" fillId="27" borderId="62" xfId="0" applyFill="1" applyBorder="1"/>
    <xf numFmtId="0" fontId="0" fillId="27" borderId="12" xfId="0" applyFill="1" applyBorder="1"/>
    <xf numFmtId="0" fontId="0" fillId="27" borderId="59" xfId="0" applyFill="1" applyBorder="1"/>
    <xf numFmtId="15" fontId="0" fillId="27" borderId="46" xfId="0" applyNumberFormat="1" applyFill="1" applyBorder="1"/>
    <xf numFmtId="0" fontId="0" fillId="27" borderId="46" xfId="0" applyFill="1" applyBorder="1"/>
    <xf numFmtId="44" fontId="0" fillId="27" borderId="46" xfId="15" applyFont="1" applyFill="1" applyBorder="1"/>
    <xf numFmtId="0" fontId="0" fillId="27" borderId="58" xfId="0" applyFill="1" applyBorder="1"/>
    <xf numFmtId="0" fontId="0" fillId="27" borderId="45" xfId="0" applyFill="1" applyBorder="1"/>
    <xf numFmtId="0" fontId="16" fillId="5" borderId="61" xfId="0" applyFont="1" applyFill="1" applyBorder="1" applyAlignment="1">
      <alignment horizontal="center"/>
    </xf>
    <xf numFmtId="0" fontId="16" fillId="5" borderId="61" xfId="0" applyFont="1" applyFill="1" applyBorder="1"/>
    <xf numFmtId="0" fontId="8" fillId="5" borderId="60" xfId="0" applyFont="1" applyFill="1" applyBorder="1"/>
    <xf numFmtId="15" fontId="8" fillId="5" borderId="38" xfId="0" applyNumberFormat="1" applyFont="1" applyFill="1" applyBorder="1"/>
    <xf numFmtId="0" fontId="8" fillId="5" borderId="38" xfId="0" applyFont="1" applyFill="1" applyBorder="1"/>
    <xf numFmtId="44" fontId="8" fillId="5" borderId="38" xfId="15" applyFont="1" applyFill="1" applyBorder="1"/>
    <xf numFmtId="0" fontId="8" fillId="5" borderId="61" xfId="0" applyFont="1" applyFill="1" applyBorder="1"/>
    <xf numFmtId="0" fontId="8" fillId="5" borderId="37" xfId="0" applyFont="1" applyFill="1" applyBorder="1"/>
    <xf numFmtId="0" fontId="8" fillId="5" borderId="61" xfId="0" applyFont="1" applyFill="1" applyBorder="1" applyAlignment="1">
      <alignment horizontal="center"/>
    </xf>
    <xf numFmtId="0" fontId="8" fillId="5" borderId="50" xfId="0" applyFont="1" applyFill="1" applyBorder="1"/>
    <xf numFmtId="15" fontId="8" fillId="5" borderId="32" xfId="0" applyNumberFormat="1" applyFont="1" applyFill="1" applyBorder="1"/>
    <xf numFmtId="0" fontId="8" fillId="5" borderId="32" xfId="0" applyFont="1" applyFill="1" applyBorder="1"/>
    <xf numFmtId="44" fontId="8" fillId="5" borderId="32" xfId="15" applyFont="1" applyFill="1" applyBorder="1"/>
    <xf numFmtId="0" fontId="8" fillId="5" borderId="57" xfId="0" applyFont="1" applyFill="1" applyBorder="1"/>
    <xf numFmtId="0" fontId="8" fillId="5" borderId="34" xfId="0" applyFont="1" applyFill="1" applyBorder="1"/>
    <xf numFmtId="0" fontId="8" fillId="5" borderId="9" xfId="0" applyFont="1" applyFill="1" applyBorder="1"/>
    <xf numFmtId="15" fontId="8" fillId="5" borderId="0" xfId="0" applyNumberFormat="1" applyFont="1" applyFill="1"/>
    <xf numFmtId="0" fontId="8" fillId="5" borderId="0" xfId="0" applyFont="1" applyFill="1"/>
    <xf numFmtId="44" fontId="8" fillId="5" borderId="0" xfId="15" applyFont="1" applyFill="1" applyBorder="1"/>
    <xf numFmtId="0" fontId="8" fillId="5" borderId="62" xfId="0" applyFont="1" applyFill="1" applyBorder="1"/>
    <xf numFmtId="0" fontId="8" fillId="5" borderId="12" xfId="0" applyFont="1" applyFill="1" applyBorder="1"/>
    <xf numFmtId="0" fontId="8" fillId="5" borderId="59" xfId="0" applyFont="1" applyFill="1" applyBorder="1"/>
    <xf numFmtId="15" fontId="8" fillId="5" borderId="46" xfId="0" applyNumberFormat="1" applyFont="1" applyFill="1" applyBorder="1"/>
    <xf numFmtId="0" fontId="8" fillId="5" borderId="46" xfId="0" applyFont="1" applyFill="1" applyBorder="1"/>
    <xf numFmtId="44" fontId="8" fillId="5" borderId="46" xfId="15" applyFont="1" applyFill="1" applyBorder="1"/>
    <xf numFmtId="0" fontId="8" fillId="5" borderId="58" xfId="0" applyFont="1" applyFill="1" applyBorder="1"/>
    <xf numFmtId="0" fontId="8" fillId="5" borderId="45" xfId="0" applyFont="1" applyFill="1" applyBorder="1"/>
    <xf numFmtId="0" fontId="7" fillId="40" borderId="61" xfId="0" applyFont="1" applyFill="1" applyBorder="1"/>
    <xf numFmtId="0" fontId="0" fillId="40" borderId="60" xfId="0" applyFill="1" applyBorder="1"/>
    <xf numFmtId="15" fontId="0" fillId="40" borderId="38" xfId="0" applyNumberFormat="1" applyFill="1" applyBorder="1"/>
    <xf numFmtId="0" fontId="0" fillId="40" borderId="38" xfId="0" applyFill="1" applyBorder="1"/>
    <xf numFmtId="44" fontId="0" fillId="40" borderId="38" xfId="15" applyFont="1" applyFill="1" applyBorder="1"/>
    <xf numFmtId="0" fontId="0" fillId="40" borderId="61" xfId="0" applyFill="1" applyBorder="1"/>
    <xf numFmtId="0" fontId="0" fillId="40" borderId="37" xfId="0" applyFill="1" applyBorder="1"/>
    <xf numFmtId="0" fontId="7" fillId="40" borderId="62" xfId="0" applyFont="1" applyFill="1" applyBorder="1"/>
    <xf numFmtId="0" fontId="0" fillId="40" borderId="9" xfId="0" applyFill="1" applyBorder="1"/>
    <xf numFmtId="15" fontId="0" fillId="40" borderId="0" xfId="0" applyNumberFormat="1" applyFill="1"/>
    <xf numFmtId="0" fontId="0" fillId="40" borderId="0" xfId="0" applyFill="1"/>
    <xf numFmtId="44" fontId="0" fillId="40" borderId="0" xfId="15" applyFont="1" applyFill="1" applyBorder="1"/>
    <xf numFmtId="0" fontId="0" fillId="40" borderId="62" xfId="0" applyFill="1" applyBorder="1"/>
    <xf numFmtId="0" fontId="0" fillId="40" borderId="12" xfId="0" applyFill="1" applyBorder="1"/>
    <xf numFmtId="0" fontId="7" fillId="40" borderId="58" xfId="0" applyFont="1" applyFill="1" applyBorder="1"/>
    <xf numFmtId="0" fontId="7" fillId="16" borderId="57" xfId="0" applyFont="1" applyFill="1" applyBorder="1"/>
    <xf numFmtId="0" fontId="0" fillId="16" borderId="50" xfId="0" applyFill="1" applyBorder="1"/>
    <xf numFmtId="15" fontId="0" fillId="16" borderId="32" xfId="0" applyNumberFormat="1" applyFill="1" applyBorder="1"/>
    <xf numFmtId="0" fontId="0" fillId="16" borderId="32" xfId="0" applyFill="1" applyBorder="1"/>
    <xf numFmtId="44" fontId="0" fillId="16" borderId="32" xfId="15" applyFont="1" applyFill="1" applyBorder="1"/>
    <xf numFmtId="0" fontId="0" fillId="16" borderId="57" xfId="0" applyFill="1" applyBorder="1"/>
    <xf numFmtId="0" fontId="0" fillId="16" borderId="34" xfId="0" applyFill="1" applyBorder="1"/>
    <xf numFmtId="0" fontId="7" fillId="16" borderId="61" xfId="0" applyFont="1" applyFill="1" applyBorder="1"/>
    <xf numFmtId="0" fontId="0" fillId="16" borderId="60" xfId="0" applyFill="1" applyBorder="1"/>
    <xf numFmtId="15" fontId="0" fillId="16" borderId="38" xfId="0" applyNumberFormat="1" applyFill="1" applyBorder="1"/>
    <xf numFmtId="0" fontId="0" fillId="16" borderId="38" xfId="0" applyFill="1" applyBorder="1"/>
    <xf numFmtId="44" fontId="0" fillId="16" borderId="38" xfId="15" applyFont="1" applyFill="1" applyBorder="1"/>
    <xf numFmtId="0" fontId="0" fillId="16" borderId="61" xfId="0" applyFill="1" applyBorder="1"/>
    <xf numFmtId="0" fontId="0" fillId="16" borderId="37" xfId="0" applyFill="1" applyBorder="1"/>
    <xf numFmtId="0" fontId="7" fillId="16" borderId="62" xfId="0" applyFont="1" applyFill="1" applyBorder="1"/>
    <xf numFmtId="0" fontId="0" fillId="16" borderId="9" xfId="0" applyFill="1" applyBorder="1"/>
    <xf numFmtId="15" fontId="0" fillId="16" borderId="0" xfId="0" applyNumberFormat="1" applyFill="1"/>
    <xf numFmtId="0" fontId="0" fillId="16" borderId="0" xfId="0" applyFill="1"/>
    <xf numFmtId="44" fontId="0" fillId="16" borderId="0" xfId="15" applyFont="1" applyFill="1" applyBorder="1"/>
    <xf numFmtId="0" fontId="0" fillId="16" borderId="62" xfId="0" applyFill="1" applyBorder="1"/>
    <xf numFmtId="0" fontId="0" fillId="16" borderId="12" xfId="0" applyFill="1" applyBorder="1"/>
    <xf numFmtId="0" fontId="0" fillId="16" borderId="59" xfId="0" applyFill="1" applyBorder="1"/>
    <xf numFmtId="15" fontId="0" fillId="16" borderId="46" xfId="0" applyNumberFormat="1" applyFill="1" applyBorder="1"/>
    <xf numFmtId="0" fontId="0" fillId="16" borderId="46" xfId="0" applyFill="1" applyBorder="1"/>
    <xf numFmtId="44" fontId="0" fillId="16" borderId="46" xfId="15" applyFont="1" applyFill="1" applyBorder="1"/>
    <xf numFmtId="0" fontId="0" fillId="16" borderId="58" xfId="0" applyFill="1" applyBorder="1"/>
    <xf numFmtId="0" fontId="0" fillId="16" borderId="45" xfId="0" applyFill="1" applyBorder="1"/>
    <xf numFmtId="0" fontId="0" fillId="37" borderId="50" xfId="0" applyFill="1" applyBorder="1"/>
    <xf numFmtId="15" fontId="0" fillId="37" borderId="32" xfId="0" applyNumberFormat="1" applyFill="1" applyBorder="1"/>
    <xf numFmtId="0" fontId="0" fillId="37" borderId="32" xfId="0" applyFill="1" applyBorder="1"/>
    <xf numFmtId="44" fontId="0" fillId="37" borderId="32" xfId="15" applyFont="1" applyFill="1" applyBorder="1"/>
    <xf numFmtId="0" fontId="0" fillId="37" borderId="57" xfId="0" applyFill="1" applyBorder="1"/>
    <xf numFmtId="0" fontId="0" fillId="37" borderId="34" xfId="0" applyFill="1" applyBorder="1"/>
    <xf numFmtId="0" fontId="7" fillId="37" borderId="57" xfId="0" applyFont="1" applyFill="1" applyBorder="1"/>
    <xf numFmtId="0" fontId="0" fillId="37" borderId="9" xfId="0" applyFill="1" applyBorder="1"/>
    <xf numFmtId="15" fontId="0" fillId="37" borderId="0" xfId="0" applyNumberFormat="1" applyFill="1"/>
    <xf numFmtId="0" fontId="0" fillId="37" borderId="0" xfId="0" applyFill="1"/>
    <xf numFmtId="44" fontId="0" fillId="37" borderId="0" xfId="15" applyFont="1" applyFill="1" applyBorder="1"/>
    <xf numFmtId="0" fontId="0" fillId="37" borderId="62" xfId="0" applyFill="1" applyBorder="1"/>
    <xf numFmtId="0" fontId="0" fillId="37" borderId="12" xfId="0" applyFill="1" applyBorder="1"/>
    <xf numFmtId="0" fontId="7" fillId="37" borderId="58" xfId="0" applyFont="1" applyFill="1" applyBorder="1"/>
    <xf numFmtId="0" fontId="7" fillId="37" borderId="60" xfId="0" applyFont="1" applyFill="1" applyBorder="1"/>
    <xf numFmtId="0" fontId="0" fillId="37" borderId="59" xfId="0" applyFill="1" applyBorder="1"/>
    <xf numFmtId="15" fontId="0" fillId="37" borderId="46" xfId="0" applyNumberFormat="1" applyFill="1" applyBorder="1"/>
    <xf numFmtId="0" fontId="0" fillId="37" borderId="46" xfId="0" applyFill="1" applyBorder="1"/>
    <xf numFmtId="44" fontId="0" fillId="37" borderId="46" xfId="15" applyFont="1" applyFill="1" applyBorder="1"/>
    <xf numFmtId="0" fontId="0" fillId="37" borderId="58" xfId="0" applyFill="1" applyBorder="1"/>
    <xf numFmtId="0" fontId="0" fillId="37" borderId="45" xfId="0" applyFill="1" applyBorder="1"/>
    <xf numFmtId="0" fontId="0" fillId="40" borderId="50" xfId="0" applyFill="1" applyBorder="1"/>
    <xf numFmtId="15" fontId="0" fillId="40" borderId="32" xfId="0" applyNumberFormat="1" applyFill="1" applyBorder="1"/>
    <xf numFmtId="0" fontId="0" fillId="40" borderId="32" xfId="0" applyFill="1" applyBorder="1"/>
    <xf numFmtId="44" fontId="0" fillId="40" borderId="32" xfId="15" applyFont="1" applyFill="1" applyBorder="1"/>
    <xf numFmtId="0" fontId="0" fillId="40" borderId="57" xfId="0" applyFill="1" applyBorder="1"/>
    <xf numFmtId="0" fontId="0" fillId="40" borderId="34" xfId="0" applyFill="1" applyBorder="1"/>
    <xf numFmtId="0" fontId="7" fillId="40" borderId="57" xfId="0" applyFont="1" applyFill="1" applyBorder="1"/>
    <xf numFmtId="0" fontId="0" fillId="40" borderId="59" xfId="0" applyFill="1" applyBorder="1"/>
    <xf numFmtId="15" fontId="0" fillId="40" borderId="46" xfId="0" applyNumberFormat="1" applyFill="1" applyBorder="1"/>
    <xf numFmtId="0" fontId="0" fillId="40" borderId="46" xfId="0" applyFill="1" applyBorder="1"/>
    <xf numFmtId="44" fontId="0" fillId="40" borderId="46" xfId="15" applyFont="1" applyFill="1" applyBorder="1"/>
    <xf numFmtId="0" fontId="0" fillId="40" borderId="58" xfId="0" applyFill="1" applyBorder="1"/>
    <xf numFmtId="0" fontId="0" fillId="40" borderId="45" xfId="0" applyFill="1" applyBorder="1"/>
    <xf numFmtId="0" fontId="7" fillId="41" borderId="61" xfId="0" applyFont="1" applyFill="1" applyBorder="1"/>
    <xf numFmtId="0" fontId="0" fillId="41" borderId="60" xfId="0" applyFill="1" applyBorder="1"/>
    <xf numFmtId="15" fontId="0" fillId="41" borderId="38" xfId="0" applyNumberFormat="1" applyFill="1" applyBorder="1"/>
    <xf numFmtId="0" fontId="0" fillId="41" borderId="38" xfId="0" applyFill="1" applyBorder="1"/>
    <xf numFmtId="44" fontId="0" fillId="41" borderId="38" xfId="15" applyFont="1" applyFill="1" applyBorder="1"/>
    <xf numFmtId="0" fontId="0" fillId="41" borderId="61" xfId="0" applyFill="1" applyBorder="1"/>
    <xf numFmtId="0" fontId="0" fillId="41" borderId="37" xfId="0" applyFill="1" applyBorder="1"/>
    <xf numFmtId="0" fontId="0" fillId="41" borderId="50" xfId="0" applyFill="1" applyBorder="1"/>
    <xf numFmtId="15" fontId="0" fillId="41" borderId="32" xfId="0" applyNumberFormat="1" applyFill="1" applyBorder="1"/>
    <xf numFmtId="0" fontId="0" fillId="41" borderId="32" xfId="0" applyFill="1" applyBorder="1"/>
    <xf numFmtId="44" fontId="0" fillId="41" borderId="32" xfId="15" applyFont="1" applyFill="1" applyBorder="1"/>
    <xf numFmtId="0" fontId="0" fillId="41" borderId="57" xfId="0" applyFill="1" applyBorder="1"/>
    <xf numFmtId="0" fontId="0" fillId="41" borderId="34" xfId="0" applyFill="1" applyBorder="1"/>
    <xf numFmtId="0" fontId="0" fillId="41" borderId="9" xfId="0" applyFill="1" applyBorder="1"/>
    <xf numFmtId="15" fontId="0" fillId="41" borderId="0" xfId="0" applyNumberFormat="1" applyFill="1"/>
    <xf numFmtId="0" fontId="0" fillId="41" borderId="0" xfId="0" applyFill="1"/>
    <xf numFmtId="44" fontId="0" fillId="41" borderId="0" xfId="15" applyFont="1" applyFill="1" applyBorder="1"/>
    <xf numFmtId="0" fontId="0" fillId="41" borderId="62" xfId="0" applyFill="1" applyBorder="1"/>
    <xf numFmtId="0" fontId="0" fillId="41" borderId="12" xfId="0" applyFill="1" applyBorder="1"/>
    <xf numFmtId="0" fontId="0" fillId="41" borderId="59" xfId="0" applyFill="1" applyBorder="1"/>
    <xf numFmtId="15" fontId="0" fillId="41" borderId="46" xfId="0" applyNumberFormat="1" applyFill="1" applyBorder="1"/>
    <xf numFmtId="0" fontId="0" fillId="41" borderId="46" xfId="0" applyFill="1" applyBorder="1"/>
    <xf numFmtId="44" fontId="0" fillId="41" borderId="46" xfId="15" applyFont="1" applyFill="1" applyBorder="1"/>
    <xf numFmtId="0" fontId="0" fillId="41" borderId="58" xfId="0" applyFill="1" applyBorder="1"/>
    <xf numFmtId="0" fontId="0" fillId="41" borderId="45" xfId="0" applyFill="1" applyBorder="1"/>
    <xf numFmtId="0" fontId="0" fillId="23" borderId="50" xfId="0" applyFill="1" applyBorder="1"/>
    <xf numFmtId="15" fontId="0" fillId="23" borderId="32" xfId="0" applyNumberFormat="1" applyFill="1" applyBorder="1"/>
    <xf numFmtId="0" fontId="0" fillId="23" borderId="32" xfId="0" applyFill="1" applyBorder="1"/>
    <xf numFmtId="44" fontId="0" fillId="23" borderId="32" xfId="15" applyFont="1" applyFill="1" applyBorder="1"/>
    <xf numFmtId="0" fontId="0" fillId="23" borderId="57" xfId="0" applyFill="1" applyBorder="1"/>
    <xf numFmtId="0" fontId="0" fillId="23" borderId="34" xfId="0" applyFill="1" applyBorder="1"/>
    <xf numFmtId="0" fontId="0" fillId="23" borderId="9" xfId="0" applyFill="1" applyBorder="1"/>
    <xf numFmtId="15" fontId="0" fillId="23" borderId="0" xfId="0" applyNumberFormat="1" applyFill="1"/>
    <xf numFmtId="0" fontId="0" fillId="23" borderId="0" xfId="0" applyFill="1"/>
    <xf numFmtId="44" fontId="0" fillId="23" borderId="0" xfId="15" applyFont="1" applyFill="1" applyBorder="1"/>
    <xf numFmtId="0" fontId="0" fillId="23" borderId="62" xfId="0" applyFill="1" applyBorder="1"/>
    <xf numFmtId="0" fontId="0" fillId="23" borderId="12" xfId="0" applyFill="1" applyBorder="1"/>
    <xf numFmtId="0" fontId="0" fillId="23" borderId="59" xfId="0" applyFill="1" applyBorder="1"/>
    <xf numFmtId="15" fontId="0" fillId="23" borderId="46" xfId="0" applyNumberFormat="1" applyFill="1" applyBorder="1"/>
    <xf numFmtId="0" fontId="0" fillId="23" borderId="46" xfId="0" applyFill="1" applyBorder="1"/>
    <xf numFmtId="44" fontId="0" fillId="23" borderId="46" xfId="15" applyFont="1" applyFill="1" applyBorder="1"/>
    <xf numFmtId="0" fontId="0" fillId="23" borderId="58" xfId="0" applyFill="1" applyBorder="1"/>
    <xf numFmtId="0" fontId="0" fillId="23" borderId="45" xfId="0" applyFill="1" applyBorder="1"/>
    <xf numFmtId="0" fontId="70" fillId="35" borderId="2" xfId="0" applyFont="1" applyFill="1" applyBorder="1" applyAlignment="1">
      <alignment vertical="center"/>
    </xf>
    <xf numFmtId="0" fontId="7" fillId="4" borderId="61" xfId="0" applyFont="1" applyFill="1" applyBorder="1"/>
    <xf numFmtId="0" fontId="0" fillId="4" borderId="60" xfId="0" applyFill="1" applyBorder="1"/>
    <xf numFmtId="15" fontId="0" fillId="4" borderId="38" xfId="0" applyNumberFormat="1" applyFill="1" applyBorder="1"/>
    <xf numFmtId="0" fontId="0" fillId="4" borderId="38" xfId="0" applyFill="1" applyBorder="1"/>
    <xf numFmtId="44" fontId="0" fillId="4" borderId="38" xfId="15" applyFont="1" applyFill="1" applyBorder="1"/>
    <xf numFmtId="0" fontId="0" fillId="4" borderId="61" xfId="0" applyFill="1" applyBorder="1"/>
    <xf numFmtId="0" fontId="0" fillId="4" borderId="37" xfId="0" applyFill="1" applyBorder="1"/>
    <xf numFmtId="0" fontId="0" fillId="4" borderId="9" xfId="0" applyFill="1" applyBorder="1"/>
    <xf numFmtId="15" fontId="0" fillId="4" borderId="0" xfId="0" applyNumberFormat="1" applyFill="1"/>
    <xf numFmtId="0" fontId="0" fillId="4" borderId="0" xfId="0" applyFill="1"/>
    <xf numFmtId="44" fontId="0" fillId="4" borderId="0" xfId="15" applyFont="1" applyFill="1" applyBorder="1"/>
    <xf numFmtId="0" fontId="0" fillId="4" borderId="62" xfId="0" applyFill="1" applyBorder="1"/>
    <xf numFmtId="0" fontId="0" fillId="4" borderId="12" xfId="0" applyFill="1" applyBorder="1"/>
    <xf numFmtId="0" fontId="0" fillId="4" borderId="59" xfId="0" applyFill="1" applyBorder="1"/>
    <xf numFmtId="15" fontId="0" fillId="4" borderId="46" xfId="0" applyNumberFormat="1" applyFill="1" applyBorder="1"/>
    <xf numFmtId="0" fontId="0" fillId="4" borderId="46" xfId="0" applyFill="1" applyBorder="1"/>
    <xf numFmtId="44" fontId="0" fillId="4" borderId="46" xfId="15" applyFont="1" applyFill="1" applyBorder="1"/>
    <xf numFmtId="0" fontId="0" fillId="4" borderId="58" xfId="0" applyFill="1" applyBorder="1"/>
    <xf numFmtId="0" fontId="0" fillId="4" borderId="45" xfId="0" applyFill="1" applyBorder="1"/>
    <xf numFmtId="0" fontId="7" fillId="13" borderId="0" xfId="0" applyFont="1" applyFill="1"/>
    <xf numFmtId="0" fontId="36" fillId="28" borderId="0" xfId="0" applyFont="1" applyFill="1"/>
    <xf numFmtId="44" fontId="36" fillId="28" borderId="0" xfId="15" applyFont="1" applyFill="1"/>
    <xf numFmtId="0" fontId="36" fillId="28" borderId="58" xfId="0" applyFont="1" applyFill="1" applyBorder="1"/>
    <xf numFmtId="9" fontId="39" fillId="4" borderId="0" xfId="7" applyNumberFormat="1" applyFont="1" applyBorder="1" applyAlignment="1">
      <alignment horizontal="center" vertical="center" wrapText="1"/>
    </xf>
    <xf numFmtId="0" fontId="1" fillId="0" borderId="2" xfId="0" applyFont="1" applyBorder="1" applyAlignment="1">
      <alignment horizontal="center" vertical="center"/>
    </xf>
    <xf numFmtId="0" fontId="42" fillId="0" borderId="2" xfId="11" applyNumberFormat="1" applyFont="1" applyFill="1" applyBorder="1" applyAlignment="1">
      <alignment horizontal="left" vertical="top" wrapText="1"/>
    </xf>
    <xf numFmtId="0" fontId="59" fillId="0" borderId="2" xfId="0" applyFont="1" applyBorder="1" applyAlignment="1">
      <alignment horizontal="center" vertical="center" wrapText="1"/>
    </xf>
    <xf numFmtId="9" fontId="0" fillId="0" borderId="2" xfId="0" applyNumberFormat="1" applyBorder="1" applyAlignment="1">
      <alignment horizontal="center" vertical="center"/>
    </xf>
    <xf numFmtId="1" fontId="71" fillId="0" borderId="4" xfId="0" applyNumberFormat="1" applyFont="1" applyBorder="1" applyAlignment="1">
      <alignment horizontal="center" vertical="center" wrapText="1" shrinkToFit="1"/>
    </xf>
    <xf numFmtId="0" fontId="35" fillId="0" borderId="15" xfId="0" applyFont="1" applyBorder="1" applyAlignment="1">
      <alignment horizontal="left" shrinkToFit="1"/>
    </xf>
    <xf numFmtId="0" fontId="1" fillId="0" borderId="15" xfId="0" applyFont="1" applyBorder="1" applyAlignment="1">
      <alignment horizontal="left" shrinkToFit="1"/>
    </xf>
    <xf numFmtId="0" fontId="9" fillId="17" borderId="2" xfId="0" applyFont="1" applyFill="1" applyBorder="1" applyAlignment="1">
      <alignment horizontal="center" vertical="center"/>
    </xf>
    <xf numFmtId="0" fontId="9" fillId="10" borderId="2" xfId="0" applyFont="1" applyFill="1" applyBorder="1" applyAlignment="1">
      <alignment horizontal="center" vertical="center"/>
    </xf>
    <xf numFmtId="0" fontId="9" fillId="13" borderId="2" xfId="0" applyFont="1" applyFill="1" applyBorder="1" applyAlignment="1">
      <alignment horizontal="center" vertical="center"/>
    </xf>
    <xf numFmtId="1" fontId="59" fillId="0" borderId="2" xfId="0" applyNumberFormat="1" applyFont="1" applyBorder="1" applyAlignment="1">
      <alignment horizontal="center" vertical="center" wrapText="1"/>
    </xf>
    <xf numFmtId="1" fontId="59" fillId="0" borderId="13" xfId="0" applyNumberFormat="1" applyFont="1" applyBorder="1" applyAlignment="1">
      <alignment horizontal="center" vertical="center" wrapText="1"/>
    </xf>
    <xf numFmtId="0" fontId="31" fillId="0" borderId="2" xfId="0" applyFont="1" applyBorder="1" applyAlignment="1">
      <alignment horizontal="center" vertical="center"/>
    </xf>
    <xf numFmtId="0" fontId="64" fillId="0" borderId="2" xfId="0" applyFont="1" applyBorder="1" applyAlignment="1">
      <alignment horizontal="center" vertical="center"/>
    </xf>
    <xf numFmtId="0" fontId="12" fillId="0" borderId="2" xfId="0" applyFont="1" applyBorder="1" applyAlignment="1">
      <alignment horizontal="center" vertical="center" wrapText="1"/>
    </xf>
    <xf numFmtId="0" fontId="39" fillId="0" borderId="13" xfId="0" applyFont="1" applyBorder="1" applyAlignment="1">
      <alignment vertical="center" wrapText="1"/>
    </xf>
    <xf numFmtId="0" fontId="73" fillId="0" borderId="0" xfId="0" applyFont="1"/>
    <xf numFmtId="0" fontId="9" fillId="9" borderId="0" xfId="0" applyFont="1" applyFill="1" applyAlignment="1">
      <alignment wrapText="1"/>
    </xf>
    <xf numFmtId="0" fontId="26" fillId="9" borderId="0" xfId="0" applyFont="1" applyFill="1" applyAlignment="1">
      <alignment horizontal="center" vertical="top" shrinkToFit="1"/>
    </xf>
    <xf numFmtId="0" fontId="25" fillId="9" borderId="0" xfId="0" applyFont="1" applyFill="1" applyAlignment="1">
      <alignment horizontal="center" vertical="center" wrapText="1" shrinkToFit="1"/>
    </xf>
    <xf numFmtId="0" fontId="29" fillId="9" borderId="0" xfId="0" applyFont="1" applyFill="1" applyAlignment="1">
      <alignment horizontal="center" vertical="center" wrapText="1" shrinkToFit="1"/>
    </xf>
    <xf numFmtId="0" fontId="32" fillId="9" borderId="0" xfId="0" applyFont="1" applyFill="1"/>
    <xf numFmtId="0" fontId="9" fillId="9" borderId="0" xfId="0" applyFont="1" applyFill="1"/>
    <xf numFmtId="0" fontId="0" fillId="9" borderId="0" xfId="0" applyFill="1"/>
    <xf numFmtId="0" fontId="41" fillId="0" borderId="2" xfId="0" applyFont="1" applyBorder="1" applyAlignment="1">
      <alignment vertical="center" wrapText="1"/>
    </xf>
    <xf numFmtId="0" fontId="38" fillId="0" borderId="15" xfId="0" applyFont="1" applyBorder="1" applyAlignment="1">
      <alignment horizontal="left" vertical="center" wrapText="1"/>
    </xf>
    <xf numFmtId="3" fontId="0" fillId="0" borderId="2" xfId="0" applyNumberFormat="1" applyBorder="1" applyAlignment="1">
      <alignment horizontal="center" vertical="center"/>
    </xf>
    <xf numFmtId="3" fontId="60" fillId="0" borderId="2" xfId="0" applyNumberFormat="1" applyFont="1" applyBorder="1" applyAlignment="1">
      <alignment horizontal="center" vertical="center" wrapText="1"/>
    </xf>
    <xf numFmtId="2" fontId="0" fillId="0" borderId="0" xfId="0" applyNumberFormat="1"/>
    <xf numFmtId="14" fontId="60" fillId="0" borderId="2" xfId="0" applyNumberFormat="1" applyFont="1" applyBorder="1" applyAlignment="1">
      <alignment horizontal="center" vertical="center" wrapText="1"/>
    </xf>
    <xf numFmtId="0" fontId="39" fillId="33" borderId="13" xfId="0" applyFont="1" applyFill="1" applyBorder="1" applyAlignment="1">
      <alignment vertical="center" wrapText="1"/>
    </xf>
    <xf numFmtId="0" fontId="38" fillId="0" borderId="64" xfId="0" applyFont="1" applyBorder="1" applyAlignment="1">
      <alignment horizontal="center" vertical="center" wrapText="1"/>
    </xf>
    <xf numFmtId="0" fontId="38" fillId="0" borderId="63" xfId="0" applyFont="1" applyBorder="1" applyAlignment="1">
      <alignment horizontal="center" vertical="center" wrapText="1"/>
    </xf>
    <xf numFmtId="0" fontId="7" fillId="34" borderId="51" xfId="0" applyFont="1" applyFill="1" applyBorder="1" applyAlignment="1">
      <alignment horizontal="left" vertical="center" wrapText="1" indent="1"/>
    </xf>
    <xf numFmtId="0" fontId="7" fillId="34" borderId="7" xfId="0" applyFont="1" applyFill="1" applyBorder="1" applyAlignment="1">
      <alignment horizontal="left" vertical="center" wrapText="1" indent="1"/>
    </xf>
    <xf numFmtId="1" fontId="7" fillId="34" borderId="11" xfId="0" applyNumberFormat="1" applyFont="1" applyFill="1" applyBorder="1" applyAlignment="1">
      <alignment horizontal="right" vertical="center"/>
    </xf>
    <xf numFmtId="0" fontId="7" fillId="34" borderId="11" xfId="0" applyFont="1" applyFill="1" applyBorder="1" applyAlignment="1">
      <alignment horizontal="right" vertical="center"/>
    </xf>
    <xf numFmtId="0" fontId="6" fillId="0" borderId="13" xfId="0" applyFont="1" applyBorder="1" applyAlignment="1">
      <alignment horizontal="center" vertical="center" wrapText="1"/>
    </xf>
    <xf numFmtId="0" fontId="7" fillId="34" borderId="22" xfId="0" applyFont="1" applyFill="1" applyBorder="1" applyAlignment="1">
      <alignment horizontal="left" vertical="center" wrapText="1" indent="1"/>
    </xf>
    <xf numFmtId="0" fontId="40" fillId="11" borderId="2" xfId="0" applyFont="1" applyFill="1" applyBorder="1" applyAlignment="1">
      <alignment horizontal="center" vertical="center" wrapText="1"/>
    </xf>
    <xf numFmtId="0" fontId="16" fillId="0" borderId="6" xfId="0" applyFont="1" applyBorder="1" applyAlignment="1">
      <alignment horizontal="center" vertical="center" wrapText="1"/>
    </xf>
    <xf numFmtId="9" fontId="39" fillId="0" borderId="0" xfId="0" applyNumberFormat="1" applyFont="1" applyAlignment="1">
      <alignment horizontal="left" vertical="center" wrapText="1"/>
    </xf>
    <xf numFmtId="0" fontId="60" fillId="20" borderId="4" xfId="0" applyFont="1" applyFill="1" applyBorder="1" applyAlignment="1">
      <alignment horizontal="center" vertical="center" wrapText="1"/>
    </xf>
    <xf numFmtId="14" fontId="48" fillId="0" borderId="4" xfId="0" applyNumberFormat="1" applyFont="1" applyBorder="1" applyAlignment="1">
      <alignment horizontal="center" vertical="center" wrapText="1"/>
    </xf>
    <xf numFmtId="14" fontId="1" fillId="0" borderId="4" xfId="0" applyNumberFormat="1" applyFont="1" applyBorder="1" applyAlignment="1">
      <alignment horizontal="center" vertical="center" wrapText="1"/>
    </xf>
    <xf numFmtId="0" fontId="57" fillId="11" borderId="16" xfId="0" applyFont="1" applyFill="1" applyBorder="1" applyAlignment="1">
      <alignment horizontal="center" vertical="center" wrapText="1"/>
    </xf>
    <xf numFmtId="0" fontId="1" fillId="0" borderId="15" xfId="0" applyFont="1" applyBorder="1" applyAlignment="1">
      <alignment horizontal="center" vertical="center"/>
    </xf>
    <xf numFmtId="170" fontId="0" fillId="0" borderId="2" xfId="0" applyNumberFormat="1" applyBorder="1" applyAlignment="1">
      <alignment horizontal="center" vertical="center"/>
    </xf>
    <xf numFmtId="0" fontId="0" fillId="0" borderId="22" xfId="0" applyBorder="1" applyAlignment="1">
      <alignment horizontal="center" vertical="center"/>
    </xf>
    <xf numFmtId="0" fontId="0" fillId="0" borderId="13" xfId="0" applyBorder="1" applyAlignment="1">
      <alignment horizontal="center" vertical="center"/>
    </xf>
    <xf numFmtId="0" fontId="41" fillId="0" borderId="13" xfId="0" applyFont="1" applyBorder="1" applyAlignment="1">
      <alignment horizontal="center" vertical="top" wrapText="1"/>
    </xf>
    <xf numFmtId="0" fontId="54" fillId="27" borderId="2" xfId="0" applyFont="1" applyFill="1" applyBorder="1" applyAlignment="1">
      <alignment horizontal="center" vertical="center" wrapText="1"/>
    </xf>
    <xf numFmtId="0" fontId="54" fillId="16" borderId="2" xfId="0" applyFont="1" applyFill="1" applyBorder="1" applyAlignment="1">
      <alignment horizontal="center" vertical="center" wrapText="1"/>
    </xf>
    <xf numFmtId="49" fontId="38" fillId="0" borderId="2" xfId="0" applyNumberFormat="1" applyFont="1" applyBorder="1" applyAlignment="1">
      <alignment horizontal="left" vertical="top" wrapText="1"/>
    </xf>
    <xf numFmtId="0" fontId="0" fillId="0" borderId="13" xfId="0" applyBorder="1" applyAlignment="1">
      <alignment horizontal="center" vertical="center" wrapText="1"/>
    </xf>
    <xf numFmtId="0" fontId="16" fillId="0" borderId="52" xfId="0" applyFont="1" applyBorder="1" applyAlignment="1">
      <alignment horizontal="center" vertical="center" wrapText="1"/>
    </xf>
    <xf numFmtId="0" fontId="8" fillId="0" borderId="2" xfId="0" applyFont="1" applyBorder="1" applyAlignment="1">
      <alignment vertical="center" wrapText="1"/>
    </xf>
    <xf numFmtId="0" fontId="39" fillId="0" borderId="0" xfId="0" applyFont="1" applyAlignment="1">
      <alignment horizontal="left" vertical="center" wrapText="1"/>
    </xf>
    <xf numFmtId="0" fontId="38" fillId="0" borderId="2" xfId="0" applyFont="1" applyBorder="1" applyAlignment="1">
      <alignment horizontal="left" vertical="center" wrapText="1" indent="1"/>
    </xf>
    <xf numFmtId="0" fontId="43" fillId="0" borderId="2" xfId="0" applyFont="1" applyBorder="1" applyAlignment="1">
      <alignment horizontal="left" vertical="top" wrapText="1"/>
    </xf>
    <xf numFmtId="0" fontId="38" fillId="0" borderId="4"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applyAlignment="1">
      <alignment horizontal="left" vertical="center" wrapText="1"/>
    </xf>
    <xf numFmtId="0" fontId="69" fillId="0" borderId="2" xfId="0" applyFont="1" applyBorder="1" applyAlignment="1">
      <alignment vertical="top" wrapText="1"/>
    </xf>
    <xf numFmtId="0" fontId="0" fillId="0" borderId="2" xfId="0" applyBorder="1" applyAlignment="1">
      <alignment vertical="center"/>
    </xf>
    <xf numFmtId="0" fontId="38" fillId="0" borderId="18" xfId="0" applyFont="1" applyBorder="1" applyAlignment="1">
      <alignment horizontal="center" vertical="center" wrapText="1"/>
    </xf>
    <xf numFmtId="3" fontId="38" fillId="0" borderId="0" xfId="0" applyNumberFormat="1" applyFont="1" applyAlignment="1">
      <alignment horizontal="center" vertical="center" wrapText="1"/>
    </xf>
    <xf numFmtId="1" fontId="38" fillId="0" borderId="0" xfId="0" applyNumberFormat="1" applyFont="1" applyAlignment="1">
      <alignment horizontal="center" vertical="center" wrapText="1"/>
    </xf>
    <xf numFmtId="49" fontId="38" fillId="0" borderId="0" xfId="0" applyNumberFormat="1" applyFont="1" applyAlignment="1">
      <alignment horizontal="center" vertical="center"/>
    </xf>
    <xf numFmtId="165" fontId="38" fillId="0" borderId="0" xfId="0" applyNumberFormat="1" applyFont="1" applyAlignment="1">
      <alignment horizontal="center" vertical="center" wrapText="1"/>
    </xf>
    <xf numFmtId="166" fontId="38" fillId="0" borderId="0" xfId="0" applyNumberFormat="1" applyFont="1" applyAlignment="1">
      <alignment horizontal="center" vertical="center" wrapText="1"/>
    </xf>
    <xf numFmtId="6" fontId="0" fillId="0" borderId="2" xfId="0" applyNumberFormat="1" applyBorder="1" applyAlignment="1">
      <alignment horizontal="center" vertical="center" wrapText="1"/>
    </xf>
    <xf numFmtId="0" fontId="38" fillId="0" borderId="13" xfId="0" applyFont="1" applyBorder="1" applyAlignment="1">
      <alignment horizontal="center" vertical="center" wrapText="1"/>
    </xf>
    <xf numFmtId="0" fontId="0" fillId="0" borderId="2" xfId="0" applyBorder="1" applyAlignment="1">
      <alignment horizontal="center" vertical="top"/>
    </xf>
    <xf numFmtId="0" fontId="76" fillId="0" borderId="2" xfId="0" applyFont="1" applyBorder="1" applyAlignment="1">
      <alignment vertical="top" wrapText="1"/>
    </xf>
    <xf numFmtId="0" fontId="68" fillId="0" borderId="2" xfId="0" applyFont="1" applyBorder="1" applyAlignment="1">
      <alignment vertical="center" wrapText="1"/>
    </xf>
    <xf numFmtId="14" fontId="0" fillId="0" borderId="2" xfId="0" applyNumberFormat="1" applyBorder="1" applyAlignment="1">
      <alignment horizontal="center" vertical="center"/>
    </xf>
    <xf numFmtId="0" fontId="76" fillId="0" borderId="0" xfId="0" applyFont="1" applyAlignment="1">
      <alignment vertical="center" wrapText="1"/>
    </xf>
    <xf numFmtId="0" fontId="6" fillId="0" borderId="0" xfId="0" applyFont="1" applyAlignment="1">
      <alignment vertical="top" wrapText="1"/>
    </xf>
    <xf numFmtId="0" fontId="35" fillId="0" borderId="0" xfId="0" applyFont="1" applyAlignment="1">
      <alignment vertical="top" wrapText="1"/>
    </xf>
    <xf numFmtId="0" fontId="42" fillId="0" borderId="0" xfId="11" applyFont="1" applyFill="1" applyBorder="1" applyAlignment="1">
      <alignment horizontal="left" vertical="top" wrapText="1"/>
    </xf>
    <xf numFmtId="0" fontId="38" fillId="0" borderId="0" xfId="0" applyFont="1" applyAlignment="1">
      <alignment vertical="center" wrapText="1"/>
    </xf>
    <xf numFmtId="0" fontId="44" fillId="33" borderId="2" xfId="0" applyFont="1" applyFill="1" applyBorder="1" applyAlignment="1">
      <alignment vertical="center" wrapText="1"/>
    </xf>
    <xf numFmtId="0" fontId="38" fillId="9" borderId="13" xfId="0" applyFont="1" applyFill="1" applyBorder="1" applyAlignment="1">
      <alignment horizontal="center" vertical="center" wrapText="1"/>
    </xf>
    <xf numFmtId="0" fontId="39" fillId="0" borderId="13" xfId="0" applyFont="1" applyBorder="1" applyAlignment="1">
      <alignment horizontal="left" vertical="top" wrapText="1"/>
    </xf>
    <xf numFmtId="0" fontId="43" fillId="0" borderId="66" xfId="0" applyFont="1" applyBorder="1" applyAlignment="1">
      <alignment horizontal="left" vertical="center" wrapText="1"/>
    </xf>
    <xf numFmtId="1" fontId="38" fillId="0" borderId="13" xfId="0" applyNumberFormat="1" applyFont="1" applyBorder="1" applyAlignment="1">
      <alignment horizontal="center" vertical="center"/>
    </xf>
    <xf numFmtId="0" fontId="38" fillId="0" borderId="22" xfId="0" applyFont="1" applyBorder="1" applyAlignment="1">
      <alignment horizontal="left" vertical="top" wrapText="1"/>
    </xf>
    <xf numFmtId="0" fontId="0" fillId="0" borderId="0" xfId="0" applyAlignment="1">
      <alignment horizontal="center" vertical="center" wrapText="1"/>
    </xf>
    <xf numFmtId="0" fontId="60" fillId="0" borderId="2" xfId="0" applyFont="1" applyBorder="1" applyAlignment="1">
      <alignment horizontal="left" vertical="center" wrapText="1"/>
    </xf>
    <xf numFmtId="0" fontId="38" fillId="0" borderId="2" xfId="0" applyFont="1" applyBorder="1" applyAlignment="1" applyProtection="1">
      <alignment horizontal="left" vertical="center"/>
      <protection hidden="1"/>
    </xf>
    <xf numFmtId="0" fontId="38" fillId="0" borderId="2" xfId="0" applyFont="1" applyBorder="1" applyAlignment="1">
      <alignment horizontal="left" vertical="center"/>
    </xf>
    <xf numFmtId="49" fontId="38" fillId="0" borderId="2" xfId="0" applyNumberFormat="1" applyFont="1" applyBorder="1" applyAlignment="1">
      <alignment horizontal="left" vertical="center"/>
    </xf>
    <xf numFmtId="49" fontId="43" fillId="0" borderId="2" xfId="0" applyNumberFormat="1" applyFont="1" applyBorder="1" applyAlignment="1">
      <alignment horizontal="left" vertical="center"/>
    </xf>
    <xf numFmtId="0" fontId="43" fillId="0" borderId="2" xfId="0" applyFont="1" applyBorder="1" applyAlignment="1" applyProtection="1">
      <alignment horizontal="left" vertical="center"/>
      <protection hidden="1"/>
    </xf>
    <xf numFmtId="49" fontId="38" fillId="0" borderId="2" xfId="0" applyNumberFormat="1" applyFont="1" applyBorder="1" applyAlignment="1" applyProtection="1">
      <alignment horizontal="left" vertical="center"/>
      <protection hidden="1"/>
    </xf>
    <xf numFmtId="49" fontId="38" fillId="0" borderId="2" xfId="0" applyNumberFormat="1" applyFont="1" applyBorder="1" applyAlignment="1" applyProtection="1">
      <alignment horizontal="left" vertical="center" wrapText="1"/>
      <protection hidden="1"/>
    </xf>
    <xf numFmtId="49" fontId="48" fillId="0" borderId="2" xfId="0" applyNumberFormat="1" applyFont="1" applyBorder="1" applyAlignment="1" applyProtection="1">
      <alignment horizontal="left" vertical="center" wrapText="1"/>
      <protection hidden="1"/>
    </xf>
    <xf numFmtId="0" fontId="39" fillId="0" borderId="2" xfId="0" applyFont="1" applyBorder="1" applyAlignment="1">
      <alignment horizontal="left" vertical="center"/>
    </xf>
    <xf numFmtId="49" fontId="48" fillId="0" borderId="2" xfId="0" applyNumberFormat="1" applyFont="1" applyBorder="1" applyAlignment="1">
      <alignment horizontal="left" vertical="center" wrapText="1"/>
    </xf>
    <xf numFmtId="49" fontId="39" fillId="0" borderId="2" xfId="0" applyNumberFormat="1" applyFont="1" applyBorder="1" applyAlignment="1">
      <alignment horizontal="left" vertical="center"/>
    </xf>
    <xf numFmtId="49" fontId="39" fillId="0" borderId="2" xfId="0" applyNumberFormat="1" applyFont="1" applyBorder="1" applyAlignment="1" applyProtection="1">
      <alignment horizontal="left" vertical="center" wrapText="1"/>
      <protection hidden="1"/>
    </xf>
    <xf numFmtId="0" fontId="67" fillId="17" borderId="0" xfId="0" applyFont="1" applyFill="1" applyAlignment="1">
      <alignment vertical="center" wrapText="1"/>
    </xf>
    <xf numFmtId="0" fontId="67" fillId="31" borderId="2" xfId="0" applyFont="1" applyFill="1" applyBorder="1" applyAlignment="1">
      <alignment vertical="center" wrapText="1"/>
    </xf>
    <xf numFmtId="9" fontId="39" fillId="5" borderId="2" xfId="7" applyNumberFormat="1" applyFont="1" applyFill="1" applyBorder="1" applyAlignment="1">
      <alignment horizontal="center" vertical="center" wrapText="1"/>
    </xf>
    <xf numFmtId="0" fontId="42" fillId="5" borderId="2" xfId="0" applyFont="1" applyFill="1" applyBorder="1" applyAlignment="1">
      <alignment horizontal="left" vertical="center" wrapText="1"/>
    </xf>
    <xf numFmtId="165" fontId="42" fillId="5" borderId="2" xfId="0" applyNumberFormat="1" applyFont="1" applyFill="1" applyBorder="1" applyAlignment="1">
      <alignment horizontal="center" vertical="center" wrapText="1"/>
    </xf>
    <xf numFmtId="166" fontId="42" fillId="5" borderId="2" xfId="0" applyNumberFormat="1" applyFont="1" applyFill="1" applyBorder="1" applyAlignment="1">
      <alignment horizontal="center" vertical="center" wrapText="1"/>
    </xf>
    <xf numFmtId="49" fontId="55" fillId="18" borderId="2" xfId="0" applyNumberFormat="1" applyFont="1" applyFill="1" applyBorder="1" applyAlignment="1">
      <alignment horizontal="center" vertical="center" wrapText="1"/>
    </xf>
    <xf numFmtId="0" fontId="39" fillId="0" borderId="2" xfId="0" applyFont="1" applyBorder="1" applyAlignment="1">
      <alignment vertical="top" wrapText="1"/>
    </xf>
    <xf numFmtId="9" fontId="8" fillId="0" borderId="2" xfId="0" applyNumberFormat="1" applyFont="1" applyBorder="1" applyAlignment="1">
      <alignment horizontal="center" vertical="center"/>
    </xf>
    <xf numFmtId="0" fontId="42" fillId="0" borderId="2" xfId="0" applyFont="1" applyBorder="1" applyAlignment="1">
      <alignment horizontal="left" vertical="top" wrapText="1"/>
    </xf>
    <xf numFmtId="0" fontId="25" fillId="0" borderId="0" xfId="0" applyFont="1" applyAlignment="1">
      <alignment horizontal="center" vertical="center" wrapText="1" shrinkToFit="1"/>
    </xf>
    <xf numFmtId="0" fontId="26" fillId="0" borderId="0" xfId="0" applyFont="1" applyAlignment="1">
      <alignment horizontal="center" vertical="top" shrinkToFit="1"/>
    </xf>
    <xf numFmtId="0" fontId="26" fillId="0" borderId="0" xfId="0" applyFont="1" applyAlignment="1">
      <alignment horizontal="center" vertical="center" shrinkToFit="1"/>
    </xf>
    <xf numFmtId="0" fontId="29" fillId="0" borderId="0" xfId="0" applyFont="1" applyAlignment="1">
      <alignment horizontal="center" vertical="center" shrinkToFit="1"/>
    </xf>
    <xf numFmtId="0" fontId="42" fillId="0" borderId="4" xfId="0" applyFont="1" applyBorder="1" applyAlignment="1">
      <alignment horizontal="left" vertical="top" wrapText="1"/>
    </xf>
    <xf numFmtId="9" fontId="39" fillId="0" borderId="2" xfId="0" applyNumberFormat="1" applyFont="1" applyBorder="1" applyAlignment="1">
      <alignment horizontal="left" vertical="top" wrapText="1"/>
    </xf>
    <xf numFmtId="0" fontId="79" fillId="5" borderId="2" xfId="19" applyFill="1" applyBorder="1" applyAlignment="1">
      <alignment wrapText="1"/>
    </xf>
    <xf numFmtId="0" fontId="39" fillId="0" borderId="0" xfId="0" applyFont="1" applyAlignment="1">
      <alignment horizontal="left" vertical="top" wrapText="1"/>
    </xf>
    <xf numFmtId="9" fontId="39" fillId="0" borderId="2" xfId="0" applyNumberFormat="1" applyFont="1" applyBorder="1" applyAlignment="1">
      <alignment horizontal="center" vertical="center"/>
    </xf>
    <xf numFmtId="0" fontId="38" fillId="0" borderId="13" xfId="0" applyFont="1" applyBorder="1" applyAlignment="1">
      <alignment horizontal="left" vertical="top" wrapText="1"/>
    </xf>
    <xf numFmtId="0" fontId="59" fillId="0" borderId="3" xfId="0" applyFont="1" applyBorder="1" applyAlignment="1">
      <alignment horizontal="left" vertical="top" wrapText="1"/>
    </xf>
    <xf numFmtId="0" fontId="59" fillId="0" borderId="2" xfId="0" applyFont="1" applyBorder="1" applyAlignment="1">
      <alignment horizontal="left" vertical="top" wrapText="1"/>
    </xf>
    <xf numFmtId="49" fontId="60" fillId="0" borderId="2" xfId="0" applyNumberFormat="1" applyFont="1" applyBorder="1" applyAlignment="1" applyProtection="1">
      <alignment horizontal="left" vertical="center" wrapText="1"/>
      <protection hidden="1"/>
    </xf>
    <xf numFmtId="49" fontId="59" fillId="0" borderId="2" xfId="0" applyNumberFormat="1" applyFont="1" applyBorder="1" applyAlignment="1" applyProtection="1">
      <alignment horizontal="left" vertical="center" wrapText="1"/>
      <protection hidden="1"/>
    </xf>
    <xf numFmtId="49" fontId="59" fillId="0" borderId="2" xfId="0" applyNumberFormat="1" applyFont="1" applyBorder="1" applyAlignment="1">
      <alignment horizontal="center" vertical="center" wrapText="1"/>
    </xf>
    <xf numFmtId="49" fontId="61" fillId="0" borderId="2" xfId="0" applyNumberFormat="1" applyFont="1" applyBorder="1" applyAlignment="1" applyProtection="1">
      <alignment horizontal="left" vertical="center" wrapText="1"/>
      <protection hidden="1"/>
    </xf>
    <xf numFmtId="49" fontId="61" fillId="0" borderId="2" xfId="0" applyNumberFormat="1" applyFont="1" applyBorder="1" applyAlignment="1">
      <alignment horizontal="center" vertical="center" wrapText="1"/>
    </xf>
    <xf numFmtId="0" fontId="59" fillId="0" borderId="2" xfId="0" applyFont="1" applyBorder="1" applyAlignment="1" applyProtection="1">
      <alignment horizontal="left" vertical="center" wrapText="1"/>
      <protection hidden="1"/>
    </xf>
    <xf numFmtId="2" fontId="59" fillId="0" borderId="2" xfId="0" applyNumberFormat="1" applyFont="1" applyBorder="1" applyAlignment="1">
      <alignment horizontal="center" vertical="center" wrapText="1"/>
    </xf>
    <xf numFmtId="0" fontId="9" fillId="42" borderId="2" xfId="0" applyFont="1" applyFill="1" applyBorder="1" applyAlignment="1">
      <alignment horizontal="center" vertical="center"/>
    </xf>
    <xf numFmtId="0" fontId="26" fillId="0" borderId="25" xfId="0" applyFont="1" applyBorder="1" applyAlignment="1">
      <alignment horizontal="center" vertical="top" shrinkToFit="1"/>
    </xf>
    <xf numFmtId="0" fontId="31" fillId="0" borderId="2" xfId="0" applyFont="1" applyBorder="1" applyAlignment="1">
      <alignment horizontal="center" vertical="center" wrapText="1" shrinkToFit="1"/>
    </xf>
    <xf numFmtId="0" fontId="25" fillId="0" borderId="15" xfId="0" applyFont="1" applyBorder="1" applyAlignment="1">
      <alignment horizontal="center" vertical="center" wrapText="1" shrinkToFit="1"/>
    </xf>
    <xf numFmtId="0" fontId="72" fillId="9" borderId="0" xfId="0" applyFont="1" applyFill="1"/>
    <xf numFmtId="0" fontId="24" fillId="43" borderId="2" xfId="0" applyFont="1" applyFill="1" applyBorder="1" applyAlignment="1">
      <alignment horizontal="center" vertical="center" shrinkToFit="1"/>
    </xf>
    <xf numFmtId="0" fontId="82" fillId="43" borderId="2" xfId="0" applyFont="1" applyFill="1" applyBorder="1" applyAlignment="1">
      <alignment horizontal="center" vertical="center" wrapText="1" shrinkToFit="1"/>
    </xf>
    <xf numFmtId="0" fontId="82" fillId="43" borderId="2" xfId="0" applyFont="1" applyFill="1" applyBorder="1" applyAlignment="1">
      <alignment horizontal="center" vertical="center" shrinkToFit="1"/>
    </xf>
    <xf numFmtId="0" fontId="26" fillId="43" borderId="2" xfId="0" applyFont="1" applyFill="1" applyBorder="1" applyAlignment="1">
      <alignment horizontal="center" vertical="center" shrinkToFit="1"/>
    </xf>
    <xf numFmtId="0" fontId="81" fillId="43" borderId="2" xfId="0" applyFont="1" applyFill="1" applyBorder="1" applyAlignment="1">
      <alignment horizontal="center" vertical="center" wrapText="1" shrinkToFit="1"/>
    </xf>
    <xf numFmtId="0" fontId="81" fillId="43" borderId="2" xfId="0" applyFont="1" applyFill="1" applyBorder="1" applyAlignment="1">
      <alignment horizontal="center" vertical="center" shrinkToFit="1"/>
    </xf>
    <xf numFmtId="0" fontId="83" fillId="9" borderId="0" xfId="0" applyFont="1" applyFill="1"/>
    <xf numFmtId="0" fontId="83" fillId="0" borderId="0" xfId="0" applyFont="1"/>
    <xf numFmtId="0" fontId="84" fillId="0" borderId="2" xfId="0" applyFont="1" applyBorder="1" applyAlignment="1">
      <alignment horizontal="center" vertical="center" wrapText="1" shrinkToFit="1"/>
    </xf>
    <xf numFmtId="0" fontId="25" fillId="0" borderId="24" xfId="0" applyFont="1" applyBorder="1" applyAlignment="1">
      <alignment horizontal="center" vertical="top" shrinkToFit="1"/>
    </xf>
    <xf numFmtId="0" fontId="9" fillId="0" borderId="48" xfId="0" applyFont="1" applyBorder="1" applyAlignment="1">
      <alignment horizontal="center" vertical="center"/>
    </xf>
    <xf numFmtId="0" fontId="9" fillId="0" borderId="1" xfId="0" applyFont="1" applyBorder="1" applyAlignment="1">
      <alignment horizontal="center" vertical="center"/>
    </xf>
    <xf numFmtId="0" fontId="9" fillId="0" borderId="56" xfId="0" applyFont="1" applyBorder="1"/>
    <xf numFmtId="0" fontId="9" fillId="0" borderId="18" xfId="0" applyFont="1" applyBorder="1" applyAlignment="1">
      <alignment horizontal="center" vertical="center"/>
    </xf>
    <xf numFmtId="0" fontId="9" fillId="42" borderId="3" xfId="0" applyFont="1" applyFill="1" applyBorder="1" applyAlignment="1">
      <alignment horizontal="center"/>
    </xf>
    <xf numFmtId="0" fontId="9" fillId="10" borderId="3" xfId="0" applyFont="1" applyFill="1" applyBorder="1" applyAlignment="1">
      <alignment horizontal="center"/>
    </xf>
    <xf numFmtId="0" fontId="9" fillId="0" borderId="33" xfId="0" applyFont="1" applyBorder="1" applyAlignment="1">
      <alignment horizontal="center" vertical="center"/>
    </xf>
    <xf numFmtId="0" fontId="9" fillId="17" borderId="66" xfId="0" applyFont="1" applyFill="1" applyBorder="1" applyAlignment="1">
      <alignment horizontal="center" vertical="center"/>
    </xf>
    <xf numFmtId="0" fontId="9" fillId="17" borderId="31" xfId="0" applyFont="1" applyFill="1" applyBorder="1" applyAlignment="1">
      <alignment horizontal="center"/>
    </xf>
    <xf numFmtId="0" fontId="0" fillId="34" borderId="2" xfId="0" applyFill="1" applyBorder="1" applyAlignment="1">
      <alignment vertical="top"/>
    </xf>
    <xf numFmtId="0" fontId="0" fillId="34" borderId="15" xfId="0" applyFill="1" applyBorder="1"/>
    <xf numFmtId="0" fontId="0" fillId="44" borderId="2" xfId="0" applyFill="1" applyBorder="1" applyAlignment="1">
      <alignment vertical="top"/>
    </xf>
    <xf numFmtId="0" fontId="0" fillId="44" borderId="15" xfId="0" applyFill="1" applyBorder="1"/>
    <xf numFmtId="0" fontId="68" fillId="44" borderId="2" xfId="0" applyFont="1" applyFill="1" applyBorder="1" applyAlignment="1">
      <alignment vertical="top" wrapText="1"/>
    </xf>
    <xf numFmtId="0" fontId="0" fillId="44" borderId="2" xfId="0" applyFill="1" applyBorder="1"/>
    <xf numFmtId="0" fontId="0" fillId="45" borderId="2" xfId="0" applyFill="1" applyBorder="1" applyAlignment="1">
      <alignment vertical="top"/>
    </xf>
    <xf numFmtId="0" fontId="0" fillId="45" borderId="2" xfId="0" applyFill="1" applyBorder="1"/>
    <xf numFmtId="0" fontId="68" fillId="45" borderId="2" xfId="0" applyFont="1" applyFill="1" applyBorder="1" applyAlignment="1">
      <alignment vertical="top" wrapText="1"/>
    </xf>
    <xf numFmtId="0" fontId="39" fillId="0" borderId="13" xfId="0" applyFont="1" applyBorder="1" applyAlignment="1">
      <alignment horizontal="center" vertical="center" wrapText="1"/>
    </xf>
    <xf numFmtId="0" fontId="41" fillId="0" borderId="13" xfId="0" applyFont="1" applyBorder="1" applyAlignment="1">
      <alignment horizontal="center" vertical="center" wrapText="1"/>
    </xf>
    <xf numFmtId="49" fontId="38" fillId="0" borderId="13" xfId="0" applyNumberFormat="1" applyFont="1" applyBorder="1" applyAlignment="1">
      <alignment horizontal="center" vertical="center" wrapText="1"/>
    </xf>
    <xf numFmtId="0" fontId="62" fillId="0" borderId="2" xfId="0" applyFont="1" applyBorder="1" applyAlignment="1">
      <alignment horizontal="center" vertical="center"/>
    </xf>
    <xf numFmtId="0" fontId="41" fillId="33" borderId="13" xfId="0" applyFont="1" applyFill="1" applyBorder="1" applyAlignment="1">
      <alignment horizontal="center" vertical="center" wrapText="1"/>
    </xf>
    <xf numFmtId="49" fontId="38" fillId="0" borderId="13" xfId="0" applyNumberFormat="1" applyFont="1" applyBorder="1" applyAlignment="1">
      <alignment horizontal="center" vertical="center"/>
    </xf>
    <xf numFmtId="0" fontId="39" fillId="0" borderId="0" xfId="0" applyFont="1" applyAlignment="1">
      <alignment horizontal="center" vertical="center" wrapText="1"/>
    </xf>
    <xf numFmtId="0" fontId="6" fillId="0" borderId="2" xfId="0" applyFont="1" applyBorder="1" applyAlignment="1">
      <alignment horizontal="left" vertical="center" wrapText="1" indent="1"/>
    </xf>
    <xf numFmtId="0" fontId="41" fillId="0" borderId="0" xfId="0" applyFont="1" applyAlignment="1">
      <alignment horizontal="center" vertical="center" wrapText="1"/>
    </xf>
    <xf numFmtId="0" fontId="41" fillId="0" borderId="0" xfId="0" applyFont="1" applyAlignment="1">
      <alignment horizontal="left" vertical="center" wrapText="1"/>
    </xf>
    <xf numFmtId="1" fontId="38" fillId="0" borderId="0" xfId="0" applyNumberFormat="1" applyFont="1" applyAlignment="1">
      <alignment horizontal="left" vertical="center" wrapText="1"/>
    </xf>
    <xf numFmtId="0" fontId="41" fillId="0" borderId="0" xfId="0" applyFont="1" applyAlignment="1">
      <alignment horizontal="left" vertical="top" wrapText="1" indent="1"/>
    </xf>
    <xf numFmtId="0" fontId="38" fillId="0" borderId="13" xfId="11" applyNumberFormat="1" applyFont="1" applyFill="1" applyBorder="1" applyAlignment="1">
      <alignment horizontal="left" vertical="top" wrapText="1"/>
    </xf>
    <xf numFmtId="0" fontId="39" fillId="0" borderId="18" xfId="0" applyFont="1" applyBorder="1" applyAlignment="1">
      <alignment horizontal="left" vertical="top" wrapText="1"/>
    </xf>
    <xf numFmtId="0" fontId="35" fillId="0" borderId="2" xfId="0" applyFont="1" applyBorder="1" applyAlignment="1">
      <alignment horizontal="center" vertical="center" wrapText="1"/>
    </xf>
    <xf numFmtId="0" fontId="41" fillId="0" borderId="13" xfId="0" applyFont="1" applyBorder="1" applyAlignment="1">
      <alignment vertical="center" wrapText="1"/>
    </xf>
    <xf numFmtId="0" fontId="48" fillId="0" borderId="0" xfId="0" applyFont="1" applyAlignment="1">
      <alignment horizontal="center" vertical="center" wrapText="1"/>
    </xf>
    <xf numFmtId="14" fontId="55" fillId="27" borderId="2" xfId="0" applyNumberFormat="1" applyFont="1" applyFill="1" applyBorder="1" applyAlignment="1">
      <alignment horizontal="center" vertical="center" wrapText="1"/>
    </xf>
    <xf numFmtId="14" fontId="38" fillId="0" borderId="0" xfId="0" applyNumberFormat="1" applyFont="1" applyAlignment="1">
      <alignment horizontal="center" vertical="center" wrapText="1"/>
    </xf>
    <xf numFmtId="14" fontId="0" fillId="0" borderId="0" xfId="0" applyNumberFormat="1" applyAlignment="1">
      <alignment horizontal="center" vertical="center"/>
    </xf>
    <xf numFmtId="14" fontId="0" fillId="0" borderId="0" xfId="0" applyNumberFormat="1"/>
    <xf numFmtId="3" fontId="38" fillId="0" borderId="2" xfId="20" applyNumberFormat="1" applyFont="1" applyFill="1" applyBorder="1" applyAlignment="1">
      <alignment horizontal="center" vertical="center" wrapText="1"/>
    </xf>
    <xf numFmtId="9" fontId="39" fillId="0" borderId="2" xfId="21" applyFont="1" applyBorder="1" applyAlignment="1">
      <alignment horizontal="center" vertical="center" wrapText="1"/>
    </xf>
    <xf numFmtId="9" fontId="8" fillId="0" borderId="2" xfId="21" applyFont="1" applyFill="1" applyBorder="1" applyAlignment="1">
      <alignment horizontal="center" vertical="center" wrapText="1"/>
    </xf>
    <xf numFmtId="9" fontId="39" fillId="0" borderId="2" xfId="21" applyFont="1" applyFill="1" applyBorder="1" applyAlignment="1">
      <alignment horizontal="center" vertical="center" wrapText="1"/>
    </xf>
    <xf numFmtId="9" fontId="38" fillId="0" borderId="2" xfId="21" applyFont="1" applyBorder="1" applyAlignment="1">
      <alignment horizontal="center" vertical="center" wrapText="1"/>
    </xf>
    <xf numFmtId="9" fontId="38" fillId="0" borderId="13" xfId="21" applyFont="1" applyBorder="1" applyAlignment="1">
      <alignment horizontal="center" vertical="center" wrapText="1"/>
    </xf>
    <xf numFmtId="9" fontId="38" fillId="9" borderId="2" xfId="21" applyFont="1" applyFill="1" applyBorder="1" applyAlignment="1">
      <alignment horizontal="center" vertical="center" wrapText="1"/>
    </xf>
    <xf numFmtId="9" fontId="38" fillId="0" borderId="2" xfId="21" applyFont="1" applyFill="1" applyBorder="1" applyAlignment="1">
      <alignment horizontal="center" vertical="center" wrapText="1"/>
    </xf>
    <xf numFmtId="9" fontId="38" fillId="0" borderId="2" xfId="21" applyFont="1" applyBorder="1" applyAlignment="1">
      <alignment horizontal="center" vertical="center"/>
    </xf>
    <xf numFmtId="9" fontId="43" fillId="0" borderId="2" xfId="21" applyFont="1" applyBorder="1" applyAlignment="1">
      <alignment horizontal="center" vertical="center" wrapText="1"/>
    </xf>
    <xf numFmtId="4" fontId="38" fillId="0" borderId="2" xfId="20" applyNumberFormat="1" applyFont="1" applyFill="1" applyBorder="1" applyAlignment="1">
      <alignment horizontal="center" vertical="center" wrapText="1"/>
    </xf>
    <xf numFmtId="9" fontId="43" fillId="0" borderId="2" xfId="21" applyFont="1" applyFill="1" applyBorder="1" applyAlignment="1">
      <alignment horizontal="center" vertical="center" wrapText="1"/>
    </xf>
    <xf numFmtId="9" fontId="1" fillId="0" borderId="2" xfId="21" applyFont="1" applyBorder="1" applyAlignment="1">
      <alignment horizontal="center" vertical="center"/>
    </xf>
    <xf numFmtId="9" fontId="1" fillId="0" borderId="2" xfId="21" applyFont="1" applyFill="1" applyBorder="1" applyAlignment="1">
      <alignment horizontal="center" vertical="center"/>
    </xf>
    <xf numFmtId="3" fontId="38" fillId="0" borderId="2" xfId="21" applyNumberFormat="1" applyFont="1" applyFill="1" applyBorder="1" applyAlignment="1">
      <alignment horizontal="center" vertical="center" wrapText="1"/>
    </xf>
    <xf numFmtId="9" fontId="61" fillId="0" borderId="2" xfId="21" applyFont="1" applyFill="1" applyBorder="1" applyAlignment="1">
      <alignment horizontal="center" vertical="center" wrapText="1"/>
    </xf>
    <xf numFmtId="49" fontId="38" fillId="0" borderId="2" xfId="0" applyNumberFormat="1" applyFont="1" applyBorder="1" applyAlignment="1">
      <alignment horizontal="center" vertical="top" wrapText="1"/>
    </xf>
    <xf numFmtId="0" fontId="44" fillId="0" borderId="18" xfId="0" applyFont="1" applyBorder="1" applyAlignment="1">
      <alignment horizontal="center" vertical="center" wrapText="1"/>
    </xf>
    <xf numFmtId="0" fontId="59" fillId="0" borderId="13" xfId="0" applyFont="1" applyBorder="1" applyAlignment="1">
      <alignment horizontal="left" vertical="top" wrapText="1"/>
    </xf>
    <xf numFmtId="0" fontId="59" fillId="0" borderId="13" xfId="0" applyFont="1" applyBorder="1" applyAlignment="1">
      <alignment horizontal="center" vertical="center" wrapText="1"/>
    </xf>
    <xf numFmtId="49" fontId="59" fillId="0" borderId="2" xfId="0" applyNumberFormat="1" applyFont="1" applyBorder="1" applyAlignment="1">
      <alignment horizontal="center" vertical="top" wrapText="1"/>
    </xf>
    <xf numFmtId="49" fontId="38" fillId="0" borderId="13" xfId="0" applyNumberFormat="1" applyFont="1" applyBorder="1" applyAlignment="1">
      <alignment horizontal="center" vertical="top" wrapText="1"/>
    </xf>
    <xf numFmtId="0" fontId="61" fillId="0" borderId="2" xfId="0" applyFont="1" applyBorder="1" applyAlignment="1">
      <alignment horizontal="left" vertical="top" wrapText="1"/>
    </xf>
    <xf numFmtId="0" fontId="38" fillId="9" borderId="2" xfId="0" applyFont="1" applyFill="1" applyBorder="1" applyAlignment="1">
      <alignment vertical="top" wrapText="1"/>
    </xf>
    <xf numFmtId="0" fontId="61" fillId="0" borderId="2" xfId="0" applyFont="1" applyBorder="1" applyAlignment="1">
      <alignment horizontal="left" vertical="center" wrapText="1"/>
    </xf>
    <xf numFmtId="0" fontId="59" fillId="0" borderId="2" xfId="0" applyFont="1" applyBorder="1" applyAlignment="1">
      <alignment horizontal="left" vertical="center" wrapText="1"/>
    </xf>
    <xf numFmtId="49" fontId="38" fillId="46" borderId="2" xfId="0" applyNumberFormat="1" applyFont="1" applyFill="1" applyBorder="1" applyAlignment="1">
      <alignment horizontal="center" vertical="center" wrapText="1"/>
    </xf>
    <xf numFmtId="0" fontId="38" fillId="10" borderId="2" xfId="0" applyFont="1" applyFill="1" applyBorder="1" applyAlignment="1">
      <alignment horizontal="center" vertical="center" wrapText="1"/>
    </xf>
    <xf numFmtId="0" fontId="38" fillId="10" borderId="2" xfId="0" applyFont="1" applyFill="1" applyBorder="1" applyAlignment="1">
      <alignment horizontal="left" vertical="top" wrapText="1"/>
    </xf>
    <xf numFmtId="0" fontId="41" fillId="10" borderId="2" xfId="0" applyFont="1" applyFill="1" applyBorder="1" applyAlignment="1">
      <alignment horizontal="center" vertical="center" wrapText="1"/>
    </xf>
    <xf numFmtId="9" fontId="38" fillId="10" borderId="2" xfId="0" applyNumberFormat="1" applyFont="1" applyFill="1" applyBorder="1" applyAlignment="1">
      <alignment horizontal="center" vertical="center" wrapText="1"/>
    </xf>
    <xf numFmtId="0" fontId="87" fillId="0" borderId="0" xfId="0" applyFont="1" applyAlignment="1">
      <alignment vertical="top" wrapText="1"/>
    </xf>
    <xf numFmtId="0" fontId="87" fillId="0" borderId="0" xfId="0" applyFont="1" applyAlignment="1">
      <alignment vertical="center"/>
    </xf>
    <xf numFmtId="0" fontId="47" fillId="0" borderId="0" xfId="0" applyFont="1" applyAlignment="1">
      <alignment horizontal="center" vertical="center" wrapText="1"/>
    </xf>
    <xf numFmtId="0" fontId="88" fillId="0" borderId="0" xfId="0" applyFont="1" applyAlignment="1">
      <alignment horizontal="center" vertical="center"/>
    </xf>
    <xf numFmtId="0" fontId="38" fillId="20" borderId="2" xfId="0" applyFont="1" applyFill="1" applyBorder="1" applyAlignment="1">
      <alignment horizontal="left" vertical="center" wrapText="1"/>
    </xf>
    <xf numFmtId="166" fontId="38" fillId="20" borderId="2" xfId="0" applyNumberFormat="1" applyFont="1" applyFill="1" applyBorder="1" applyAlignment="1">
      <alignment horizontal="center" vertical="center" wrapText="1"/>
    </xf>
    <xf numFmtId="1" fontId="38" fillId="20" borderId="2" xfId="0" applyNumberFormat="1" applyFont="1" applyFill="1" applyBorder="1" applyAlignment="1">
      <alignment horizontal="center" vertical="center" wrapText="1"/>
    </xf>
    <xf numFmtId="49" fontId="39" fillId="20" borderId="2" xfId="0" applyNumberFormat="1" applyFont="1" applyFill="1" applyBorder="1" applyAlignment="1">
      <alignment horizontal="center" vertical="center"/>
    </xf>
    <xf numFmtId="9" fontId="39" fillId="20" borderId="2" xfId="7" applyNumberFormat="1" applyFont="1" applyFill="1" applyBorder="1" applyAlignment="1">
      <alignment horizontal="center" vertical="center" wrapText="1"/>
    </xf>
    <xf numFmtId="3" fontId="38" fillId="20" borderId="2" xfId="20" applyNumberFormat="1" applyFont="1" applyFill="1" applyBorder="1" applyAlignment="1">
      <alignment horizontal="center" vertical="center" wrapText="1"/>
    </xf>
    <xf numFmtId="14" fontId="38" fillId="20" borderId="2" xfId="0" applyNumberFormat="1" applyFont="1" applyFill="1" applyBorder="1" applyAlignment="1">
      <alignment horizontal="center" vertical="center" wrapText="1"/>
    </xf>
    <xf numFmtId="14" fontId="38" fillId="20" borderId="4" xfId="0" applyNumberFormat="1" applyFont="1" applyFill="1" applyBorder="1" applyAlignment="1">
      <alignment horizontal="center" vertical="center" wrapText="1"/>
    </xf>
    <xf numFmtId="0" fontId="0" fillId="20" borderId="2" xfId="0" applyFill="1" applyBorder="1" applyAlignment="1">
      <alignment horizontal="left" vertical="top"/>
    </xf>
    <xf numFmtId="1" fontId="0" fillId="20" borderId="2" xfId="0" applyNumberFormat="1" applyFill="1" applyBorder="1" applyAlignment="1">
      <alignment horizontal="center" vertical="center" wrapText="1"/>
    </xf>
    <xf numFmtId="0" fontId="0" fillId="20" borderId="2" xfId="0" applyFill="1" applyBorder="1" applyAlignment="1">
      <alignment horizontal="center" vertical="center"/>
    </xf>
    <xf numFmtId="3" fontId="0" fillId="20" borderId="2" xfId="0" applyNumberFormat="1" applyFill="1" applyBorder="1" applyAlignment="1">
      <alignment horizontal="center" vertical="center"/>
    </xf>
    <xf numFmtId="170" fontId="0" fillId="20" borderId="2" xfId="0" applyNumberFormat="1" applyFill="1" applyBorder="1" applyAlignment="1">
      <alignment horizontal="center" vertical="center"/>
    </xf>
    <xf numFmtId="0" fontId="1" fillId="20" borderId="15" xfId="0" applyFont="1" applyFill="1" applyBorder="1" applyAlignment="1">
      <alignment horizontal="center" vertical="center"/>
    </xf>
    <xf numFmtId="0" fontId="0" fillId="20" borderId="0" xfId="0" applyFill="1"/>
    <xf numFmtId="0" fontId="38" fillId="0" borderId="13" xfId="0" applyFont="1" applyBorder="1" applyAlignment="1">
      <alignment horizontal="center" vertical="top" wrapText="1"/>
    </xf>
    <xf numFmtId="14" fontId="43" fillId="0" borderId="0" xfId="0" applyNumberFormat="1" applyFont="1" applyAlignment="1">
      <alignment horizontal="center" vertical="center" wrapText="1"/>
    </xf>
    <xf numFmtId="0" fontId="88" fillId="0" borderId="2" xfId="0" applyFont="1" applyBorder="1" applyAlignment="1">
      <alignment horizontal="center" vertical="center"/>
    </xf>
    <xf numFmtId="49" fontId="40" fillId="0" borderId="2" xfId="0" applyNumberFormat="1" applyFont="1" applyBorder="1" applyAlignment="1">
      <alignment horizontal="center" vertical="center" wrapText="1"/>
    </xf>
    <xf numFmtId="0" fontId="41" fillId="0" borderId="0" xfId="0" applyFont="1" applyAlignment="1">
      <alignment horizontal="left" vertical="top" wrapText="1" readingOrder="1"/>
    </xf>
    <xf numFmtId="14" fontId="50" fillId="0" borderId="2" xfId="0" applyNumberFormat="1" applyFont="1" applyBorder="1" applyAlignment="1">
      <alignment horizontal="center" vertical="center" wrapText="1"/>
    </xf>
    <xf numFmtId="0" fontId="88" fillId="0" borderId="0" xfId="0" applyFont="1" applyAlignment="1">
      <alignment vertical="top" wrapText="1"/>
    </xf>
    <xf numFmtId="0" fontId="0" fillId="0" borderId="0" xfId="0" applyAlignment="1">
      <alignment vertical="center"/>
    </xf>
    <xf numFmtId="14" fontId="40" fillId="0" borderId="2" xfId="0" applyNumberFormat="1" applyFont="1" applyBorder="1" applyAlignment="1">
      <alignment horizontal="center" vertical="center" wrapText="1"/>
    </xf>
    <xf numFmtId="0" fontId="38" fillId="0" borderId="0" xfId="0" applyFont="1" applyAlignment="1">
      <alignment horizontal="center" vertical="center"/>
    </xf>
    <xf numFmtId="1" fontId="29" fillId="0" borderId="13" xfId="0" applyNumberFormat="1" applyFont="1" applyBorder="1" applyAlignment="1">
      <alignment horizontal="center" vertical="center" wrapText="1"/>
    </xf>
    <xf numFmtId="0" fontId="89" fillId="0" borderId="0" xfId="0" applyFont="1" applyAlignment="1">
      <alignment vertical="top" wrapText="1"/>
    </xf>
    <xf numFmtId="49" fontId="38" fillId="0" borderId="0" xfId="0" applyNumberFormat="1" applyFont="1" applyAlignment="1">
      <alignment horizontal="center" vertical="center" wrapText="1"/>
    </xf>
    <xf numFmtId="49" fontId="38" fillId="0" borderId="4" xfId="0" applyNumberFormat="1" applyFont="1" applyBorder="1" applyAlignment="1">
      <alignment horizontal="center" vertical="center" wrapText="1"/>
    </xf>
    <xf numFmtId="0" fontId="38" fillId="0" borderId="23" xfId="0" applyFont="1" applyBorder="1" applyAlignment="1">
      <alignment horizontal="left" vertical="center" wrapText="1"/>
    </xf>
    <xf numFmtId="0" fontId="38" fillId="0" borderId="15" xfId="0" applyFont="1" applyBorder="1" applyAlignment="1">
      <alignment horizontal="left" vertical="top" wrapText="1"/>
    </xf>
    <xf numFmtId="0" fontId="39" fillId="0" borderId="15" xfId="0" applyFont="1" applyBorder="1" applyAlignment="1">
      <alignment horizontal="left" vertical="top" wrapText="1"/>
    </xf>
    <xf numFmtId="0" fontId="39" fillId="47" borderId="2" xfId="0" applyFont="1" applyFill="1" applyBorder="1" applyAlignment="1">
      <alignment horizontal="center" vertical="center" wrapText="1"/>
    </xf>
    <xf numFmtId="2" fontId="61" fillId="0" borderId="2" xfId="0" applyNumberFormat="1" applyFont="1" applyBorder="1" applyAlignment="1">
      <alignment horizontal="center" vertical="center" wrapText="1"/>
    </xf>
    <xf numFmtId="1" fontId="61" fillId="0" borderId="2" xfId="0" applyNumberFormat="1" applyFont="1" applyBorder="1" applyAlignment="1">
      <alignment horizontal="center" vertical="center" wrapText="1"/>
    </xf>
    <xf numFmtId="0" fontId="38" fillId="0" borderId="4" xfId="0" applyFont="1" applyBorder="1" applyAlignment="1">
      <alignment vertical="center" wrapText="1"/>
    </xf>
    <xf numFmtId="0" fontId="38" fillId="0" borderId="18" xfId="0" applyFont="1" applyBorder="1" applyAlignment="1">
      <alignment horizontal="left" vertical="center" wrapText="1"/>
    </xf>
    <xf numFmtId="0" fontId="9" fillId="0" borderId="67" xfId="0" applyFont="1" applyBorder="1" applyAlignment="1">
      <alignment horizontal="center" vertical="center"/>
    </xf>
    <xf numFmtId="0" fontId="9" fillId="0" borderId="15" xfId="0" applyFont="1" applyBorder="1" applyAlignment="1">
      <alignment horizontal="center" vertical="center"/>
    </xf>
    <xf numFmtId="0" fontId="9" fillId="0" borderId="65" xfId="0" applyFont="1" applyBorder="1" applyAlignment="1">
      <alignment horizontal="center" vertical="center"/>
    </xf>
    <xf numFmtId="0" fontId="79" fillId="0" borderId="0" xfId="19" applyAlignment="1">
      <alignment vertical="center"/>
    </xf>
    <xf numFmtId="0" fontId="38" fillId="0" borderId="0" xfId="0" applyFont="1" applyAlignment="1">
      <alignment vertical="top" wrapText="1"/>
    </xf>
    <xf numFmtId="0" fontId="61" fillId="0" borderId="2" xfId="0" applyFont="1" applyBorder="1" applyAlignment="1">
      <alignment vertical="center" wrapText="1"/>
    </xf>
    <xf numFmtId="0" fontId="59" fillId="0" borderId="0" xfId="0" applyFont="1" applyAlignment="1">
      <alignment horizontal="center" vertical="center" wrapText="1"/>
    </xf>
    <xf numFmtId="0" fontId="38" fillId="19" borderId="2" xfId="0" applyFont="1" applyFill="1" applyBorder="1" applyAlignment="1">
      <alignment horizontal="center" vertical="center" wrapText="1"/>
    </xf>
    <xf numFmtId="0" fontId="7" fillId="34" borderId="65" xfId="0" applyFont="1" applyFill="1" applyBorder="1" applyAlignment="1">
      <alignment horizontal="center" vertical="center"/>
    </xf>
    <xf numFmtId="9" fontId="35" fillId="0" borderId="2" xfId="0" applyNumberFormat="1" applyFont="1" applyBorder="1" applyAlignment="1">
      <alignment horizontal="center" vertical="center"/>
    </xf>
    <xf numFmtId="0" fontId="1" fillId="0" borderId="2" xfId="11" applyNumberFormat="1" applyFont="1" applyFill="1" applyBorder="1" applyAlignment="1">
      <alignment horizontal="left" vertical="center" wrapText="1"/>
    </xf>
    <xf numFmtId="0" fontId="1" fillId="0" borderId="13" xfId="0" applyFont="1" applyBorder="1" applyAlignment="1">
      <alignment horizontal="center" vertical="center" wrapText="1"/>
    </xf>
    <xf numFmtId="0" fontId="1" fillId="0" borderId="2" xfId="0" applyFont="1" applyBorder="1" applyAlignment="1">
      <alignment horizontal="left" vertical="center" wrapText="1"/>
    </xf>
    <xf numFmtId="14" fontId="38" fillId="0" borderId="13" xfId="0" applyNumberFormat="1" applyFont="1" applyBorder="1" applyAlignment="1">
      <alignment horizontal="left" vertical="center" wrapText="1"/>
    </xf>
    <xf numFmtId="49" fontId="38" fillId="0" borderId="2" xfId="0" applyNumberFormat="1" applyFont="1" applyBorder="1" applyAlignment="1" applyProtection="1">
      <alignment horizontal="center" vertical="center" wrapText="1"/>
      <protection hidden="1"/>
    </xf>
    <xf numFmtId="49" fontId="38" fillId="0" borderId="2" xfId="0" applyNumberFormat="1" applyFont="1" applyBorder="1" applyAlignment="1" applyProtection="1">
      <alignment horizontal="center" vertical="center"/>
      <protection hidden="1"/>
    </xf>
    <xf numFmtId="0" fontId="38" fillId="0" borderId="2" xfId="0" applyFont="1" applyBorder="1" applyAlignment="1" applyProtection="1">
      <alignment horizontal="center" vertical="center" wrapText="1"/>
      <protection hidden="1"/>
    </xf>
    <xf numFmtId="0" fontId="38" fillId="0" borderId="13" xfId="0" applyFont="1" applyBorder="1" applyAlignment="1">
      <alignment horizontal="left" vertical="center" wrapText="1"/>
    </xf>
    <xf numFmtId="166" fontId="38" fillId="0" borderId="4" xfId="0" applyNumberFormat="1" applyFont="1" applyBorder="1" applyAlignment="1">
      <alignment horizontal="center" vertical="center" wrapText="1"/>
    </xf>
    <xf numFmtId="166" fontId="38" fillId="0" borderId="22" xfId="0" applyNumberFormat="1" applyFont="1" applyBorder="1" applyAlignment="1">
      <alignment horizontal="center" vertical="center" wrapText="1"/>
    </xf>
    <xf numFmtId="166" fontId="38" fillId="0" borderId="13" xfId="0" applyNumberFormat="1" applyFont="1" applyBorder="1" applyAlignment="1">
      <alignment horizontal="center" vertical="center" wrapText="1"/>
    </xf>
    <xf numFmtId="9" fontId="61" fillId="4" borderId="2" xfId="7" applyNumberFormat="1" applyFont="1" applyBorder="1" applyAlignment="1">
      <alignment horizontal="center" vertical="center" wrapText="1"/>
    </xf>
    <xf numFmtId="9" fontId="61" fillId="0" borderId="2" xfId="7" applyNumberFormat="1" applyFont="1" applyFill="1" applyBorder="1" applyAlignment="1">
      <alignment horizontal="center" vertical="center" wrapText="1"/>
    </xf>
    <xf numFmtId="49" fontId="59" fillId="0" borderId="15" xfId="0" applyNumberFormat="1" applyFont="1" applyBorder="1" applyAlignment="1">
      <alignment horizontal="center" vertical="center" wrapText="1"/>
    </xf>
    <xf numFmtId="0" fontId="80" fillId="0" borderId="0" xfId="0" applyFont="1"/>
    <xf numFmtId="0" fontId="74" fillId="9" borderId="0" xfId="0" applyFont="1" applyFill="1"/>
    <xf numFmtId="0" fontId="7" fillId="35" borderId="62" xfId="0" applyFont="1" applyFill="1" applyBorder="1"/>
    <xf numFmtId="0" fontId="7" fillId="38" borderId="58" xfId="0" applyFont="1" applyFill="1" applyBorder="1"/>
    <xf numFmtId="0" fontId="7" fillId="36" borderId="62" xfId="0" applyFont="1" applyFill="1" applyBorder="1"/>
    <xf numFmtId="0" fontId="90" fillId="18" borderId="2" xfId="0" applyFont="1" applyFill="1" applyBorder="1" applyAlignment="1">
      <alignment horizontal="center" vertical="center" wrapText="1"/>
    </xf>
    <xf numFmtId="0" fontId="55" fillId="27" borderId="2" xfId="0" applyFont="1" applyFill="1" applyBorder="1" applyAlignment="1" applyProtection="1">
      <alignment horizontal="center" vertical="center" wrapText="1"/>
      <protection hidden="1"/>
    </xf>
    <xf numFmtId="0" fontId="59" fillId="0" borderId="2" xfId="11" applyFont="1" applyFill="1" applyBorder="1" applyAlignment="1">
      <alignment horizontal="center" vertical="center" wrapText="1"/>
    </xf>
    <xf numFmtId="9" fontId="42" fillId="0" borderId="2" xfId="0" applyNumberFormat="1" applyFont="1" applyBorder="1" applyAlignment="1">
      <alignment horizontal="center" vertical="center"/>
    </xf>
    <xf numFmtId="0" fontId="42" fillId="0" borderId="2" xfId="0" applyFont="1" applyBorder="1" applyAlignment="1">
      <alignment horizontal="center" vertical="center"/>
    </xf>
    <xf numFmtId="0" fontId="51" fillId="0" borderId="0" xfId="0" applyFont="1" applyAlignment="1">
      <alignment horizontal="center" vertical="center"/>
    </xf>
    <xf numFmtId="0" fontId="41" fillId="10" borderId="0" xfId="0" applyFont="1" applyFill="1" applyAlignment="1">
      <alignment horizontal="center" vertical="center" wrapText="1"/>
    </xf>
    <xf numFmtId="0" fontId="42" fillId="0" borderId="0" xfId="0" applyFont="1" applyAlignment="1">
      <alignment horizontal="center" vertical="center" wrapText="1"/>
    </xf>
    <xf numFmtId="14" fontId="38" fillId="0" borderId="13" xfId="0" applyNumberFormat="1" applyFont="1" applyBorder="1" applyAlignment="1">
      <alignment horizontal="center" vertical="center" wrapText="1"/>
    </xf>
    <xf numFmtId="0" fontId="29" fillId="0" borderId="0" xfId="0" applyFont="1" applyAlignment="1">
      <alignment horizontal="center" vertical="center" wrapText="1" shrinkToFit="1"/>
    </xf>
    <xf numFmtId="0" fontId="25" fillId="0" borderId="0" xfId="0" applyFont="1" applyAlignment="1">
      <alignment horizontal="center" vertical="top" shrinkToFit="1"/>
    </xf>
    <xf numFmtId="0" fontId="31" fillId="0" borderId="0" xfId="0" applyFont="1" applyAlignment="1">
      <alignment horizontal="center" vertical="center" wrapText="1" shrinkToFit="1"/>
    </xf>
    <xf numFmtId="0" fontId="81" fillId="0" borderId="0" xfId="0" applyFont="1" applyAlignment="1">
      <alignment horizontal="center" vertical="center" shrinkToFit="1"/>
    </xf>
    <xf numFmtId="0" fontId="81" fillId="0" borderId="0" xfId="0" applyFont="1" applyAlignment="1">
      <alignment horizontal="center" vertical="center" wrapText="1" shrinkToFit="1"/>
    </xf>
    <xf numFmtId="0" fontId="84" fillId="0" borderId="0" xfId="0" applyFont="1" applyAlignment="1">
      <alignment horizontal="center" vertical="center" wrapText="1" shrinkToFit="1"/>
    </xf>
    <xf numFmtId="0" fontId="88" fillId="0" borderId="0" xfId="0" applyFont="1" applyAlignment="1">
      <alignment wrapText="1"/>
    </xf>
    <xf numFmtId="0" fontId="86" fillId="0" borderId="0" xfId="0" applyFont="1" applyAlignment="1">
      <alignment horizontal="left" vertical="center" wrapText="1"/>
    </xf>
    <xf numFmtId="0" fontId="55" fillId="27" borderId="2" xfId="0" applyFont="1" applyFill="1" applyBorder="1" applyAlignment="1">
      <alignment horizontal="center" vertical="center" wrapText="1"/>
    </xf>
    <xf numFmtId="14" fontId="54" fillId="27" borderId="2" xfId="0" applyNumberFormat="1" applyFont="1" applyFill="1" applyBorder="1" applyAlignment="1">
      <alignment horizontal="center" vertical="center" wrapText="1"/>
    </xf>
    <xf numFmtId="0" fontId="80" fillId="0" borderId="0" xfId="0" applyFont="1" applyAlignment="1">
      <alignment horizontal="center" vertical="center" wrapText="1" shrinkToFit="1"/>
    </xf>
    <xf numFmtId="0" fontId="1" fillId="0" borderId="0" xfId="0" applyFont="1" applyAlignment="1">
      <alignment vertical="center" wrapText="1"/>
    </xf>
    <xf numFmtId="3" fontId="6" fillId="0" borderId="4" xfId="15" applyNumberFormat="1" applyFont="1" applyBorder="1" applyAlignment="1">
      <alignment horizontal="center" vertical="center"/>
    </xf>
    <xf numFmtId="0" fontId="7" fillId="34" borderId="26" xfId="0" applyFont="1" applyFill="1" applyBorder="1" applyAlignment="1">
      <alignment horizontal="center" vertical="center"/>
    </xf>
    <xf numFmtId="0" fontId="54" fillId="27" borderId="2" xfId="0" applyFont="1" applyFill="1" applyBorder="1" applyAlignment="1">
      <alignment horizontal="left" vertical="center" wrapText="1"/>
    </xf>
    <xf numFmtId="0" fontId="39" fillId="0" borderId="13" xfId="0" applyFont="1" applyBorder="1" applyAlignment="1">
      <alignment horizontal="left" vertical="center" wrapText="1"/>
    </xf>
    <xf numFmtId="0" fontId="0" fillId="0" borderId="2" xfId="0" applyBorder="1" applyAlignment="1">
      <alignment horizontal="left" vertical="center"/>
    </xf>
    <xf numFmtId="0" fontId="69" fillId="0" borderId="0" xfId="0" applyFont="1" applyAlignment="1">
      <alignment horizontal="left" vertical="center" wrapText="1"/>
    </xf>
    <xf numFmtId="14" fontId="0" fillId="0" borderId="0" xfId="0" applyNumberFormat="1" applyAlignment="1">
      <alignment vertical="center"/>
    </xf>
    <xf numFmtId="0" fontId="0" fillId="0" borderId="0" xfId="0" applyAlignment="1">
      <alignment horizontal="left" vertical="center"/>
    </xf>
    <xf numFmtId="0" fontId="0" fillId="0" borderId="22" xfId="0" applyBorder="1" applyAlignment="1">
      <alignment horizontal="left" vertical="center" wrapText="1"/>
    </xf>
    <xf numFmtId="0" fontId="0" fillId="0" borderId="13" xfId="0" applyBorder="1" applyAlignment="1">
      <alignment horizontal="left" vertical="center" wrapText="1"/>
    </xf>
    <xf numFmtId="0" fontId="7" fillId="34" borderId="2" xfId="0" applyFont="1" applyFill="1" applyBorder="1" applyAlignment="1">
      <alignment horizontal="center" vertical="center"/>
    </xf>
    <xf numFmtId="0" fontId="85" fillId="44" borderId="2" xfId="0" applyFont="1" applyFill="1" applyBorder="1" applyAlignment="1">
      <alignment horizontal="center" vertical="center" wrapText="1"/>
    </xf>
    <xf numFmtId="0" fontId="85" fillId="44" borderId="2" xfId="0" applyFont="1" applyFill="1" applyBorder="1" applyAlignment="1">
      <alignment horizontal="center" vertical="center"/>
    </xf>
    <xf numFmtId="0" fontId="85" fillId="45" borderId="2" xfId="0" applyFont="1" applyFill="1" applyBorder="1" applyAlignment="1">
      <alignment horizontal="center" vertical="center" wrapText="1"/>
    </xf>
    <xf numFmtId="0" fontId="85" fillId="45" borderId="2" xfId="0" applyFont="1" applyFill="1" applyBorder="1" applyAlignment="1">
      <alignment horizontal="center" vertical="center"/>
    </xf>
    <xf numFmtId="0" fontId="55" fillId="27" borderId="2" xfId="0" applyFont="1" applyFill="1" applyBorder="1" applyAlignment="1">
      <alignment horizontal="center" vertical="center" wrapText="1"/>
    </xf>
    <xf numFmtId="0" fontId="78" fillId="27" borderId="2" xfId="0" applyFont="1" applyFill="1" applyBorder="1" applyAlignment="1">
      <alignment horizontal="center" vertical="center" wrapText="1"/>
    </xf>
    <xf numFmtId="0" fontId="55" fillId="0" borderId="2" xfId="0" applyFont="1" applyBorder="1" applyAlignment="1">
      <alignment horizontal="center" vertical="center" wrapText="1"/>
    </xf>
    <xf numFmtId="0" fontId="54" fillId="27" borderId="2" xfId="0" applyFont="1" applyFill="1" applyBorder="1" applyAlignment="1">
      <alignment horizontal="left" vertical="center" wrapText="1"/>
    </xf>
    <xf numFmtId="0" fontId="55" fillId="16" borderId="4" xfId="0" applyFont="1" applyFill="1" applyBorder="1" applyAlignment="1">
      <alignment horizontal="center" vertical="center" wrapText="1"/>
    </xf>
    <xf numFmtId="0" fontId="78" fillId="16" borderId="11" xfId="0" applyFont="1" applyFill="1" applyBorder="1" applyAlignment="1">
      <alignment horizontal="center" vertical="center" wrapText="1"/>
    </xf>
    <xf numFmtId="0" fontId="54" fillId="16" borderId="11" xfId="0" applyFont="1" applyFill="1" applyBorder="1" applyAlignment="1">
      <alignment horizontal="center" vertical="center" wrapText="1"/>
    </xf>
    <xf numFmtId="0" fontId="55" fillId="16" borderId="11" xfId="0" applyFont="1" applyFill="1" applyBorder="1" applyAlignment="1">
      <alignment horizontal="center" vertical="center" wrapText="1"/>
    </xf>
    <xf numFmtId="0" fontId="54" fillId="16" borderId="15" xfId="0" applyFont="1" applyFill="1" applyBorder="1" applyAlignment="1">
      <alignment horizontal="center" vertical="center" wrapText="1"/>
    </xf>
    <xf numFmtId="0" fontId="55" fillId="27" borderId="4" xfId="0" applyFont="1" applyFill="1" applyBorder="1" applyAlignment="1">
      <alignment horizontal="center" vertical="center" wrapText="1"/>
    </xf>
    <xf numFmtId="0" fontId="54" fillId="27" borderId="11" xfId="0" applyFont="1" applyFill="1" applyBorder="1" applyAlignment="1">
      <alignment horizontal="center" vertical="center" wrapText="1"/>
    </xf>
    <xf numFmtId="14" fontId="54" fillId="27" borderId="11" xfId="0" applyNumberFormat="1" applyFont="1" applyFill="1" applyBorder="1" applyAlignment="1">
      <alignment horizontal="center" vertical="center" wrapText="1"/>
    </xf>
    <xf numFmtId="14" fontId="54" fillId="27" borderId="15" xfId="0" applyNumberFormat="1" applyFont="1" applyFill="1" applyBorder="1" applyAlignment="1">
      <alignment horizontal="center" vertical="center" wrapText="1"/>
    </xf>
    <xf numFmtId="49" fontId="91" fillId="11" borderId="2" xfId="0" applyNumberFormat="1" applyFont="1" applyFill="1" applyBorder="1" applyAlignment="1">
      <alignment horizontal="center" vertical="center" wrapText="1"/>
    </xf>
    <xf numFmtId="0" fontId="77" fillId="11" borderId="2" xfId="0" applyFont="1" applyFill="1" applyBorder="1" applyAlignment="1">
      <alignment horizontal="left" vertical="center" wrapText="1"/>
    </xf>
    <xf numFmtId="0" fontId="77" fillId="0" borderId="2" xfId="0" applyFont="1" applyBorder="1" applyAlignment="1">
      <alignment horizontal="left" vertical="center" wrapText="1"/>
    </xf>
    <xf numFmtId="0" fontId="77" fillId="0" borderId="2" xfId="0" applyFont="1" applyBorder="1" applyAlignment="1">
      <alignment horizontal="center" vertical="center" wrapText="1"/>
    </xf>
    <xf numFmtId="0" fontId="54" fillId="11" borderId="2" xfId="0" applyFont="1" applyFill="1" applyBorder="1" applyAlignment="1">
      <alignment horizontal="left" vertical="center" wrapText="1"/>
    </xf>
    <xf numFmtId="0" fontId="55" fillId="11" borderId="2" xfId="0" applyFont="1" applyFill="1" applyBorder="1" applyAlignment="1">
      <alignment horizontal="left" vertical="center" wrapText="1"/>
    </xf>
    <xf numFmtId="0" fontId="55" fillId="11" borderId="2" xfId="0" applyFont="1" applyFill="1" applyBorder="1" applyAlignment="1">
      <alignment horizontal="center" vertical="center" wrapText="1"/>
    </xf>
    <xf numFmtId="0" fontId="77" fillId="11" borderId="2" xfId="0" applyFont="1" applyFill="1" applyBorder="1" applyAlignment="1">
      <alignment horizontal="center" vertical="center" wrapText="1"/>
    </xf>
    <xf numFmtId="0" fontId="77" fillId="11" borderId="2" xfId="0" applyFont="1" applyFill="1" applyBorder="1" applyAlignment="1">
      <alignment horizontal="right" vertical="top" wrapText="1"/>
    </xf>
    <xf numFmtId="0" fontId="83" fillId="0" borderId="0" xfId="0" applyFont="1" applyAlignment="1">
      <alignment horizontal="center" vertical="center" textRotation="90" wrapText="1" shrinkToFit="1"/>
    </xf>
    <xf numFmtId="0" fontId="83" fillId="0" borderId="0" xfId="0" applyFont="1" applyAlignment="1">
      <alignment textRotation="90"/>
    </xf>
    <xf numFmtId="0" fontId="80" fillId="0" borderId="0" xfId="0" applyFont="1" applyAlignment="1">
      <alignment horizontal="center" vertical="center" wrapText="1" shrinkToFit="1"/>
    </xf>
    <xf numFmtId="0" fontId="80" fillId="0" borderId="0" xfId="0" applyFont="1"/>
    <xf numFmtId="0" fontId="74" fillId="9" borderId="0" xfId="0" applyFont="1" applyFill="1" applyAlignment="1">
      <alignment vertical="center" wrapText="1"/>
    </xf>
    <xf numFmtId="0" fontId="0" fillId="0" borderId="0" xfId="0" applyAlignment="1">
      <alignment wrapText="1"/>
    </xf>
    <xf numFmtId="0" fontId="74" fillId="9" borderId="0" xfId="0" applyFont="1" applyFill="1"/>
    <xf numFmtId="0" fontId="0" fillId="0" borderId="0" xfId="0"/>
    <xf numFmtId="0" fontId="74" fillId="0" borderId="0" xfId="0" applyFont="1"/>
    <xf numFmtId="0" fontId="29" fillId="0" borderId="0" xfId="0" applyFont="1" applyAlignment="1">
      <alignment horizontal="center" vertical="center" wrapText="1" shrinkToFit="1"/>
    </xf>
    <xf numFmtId="0" fontId="29" fillId="0" borderId="0" xfId="0" applyFont="1" applyAlignment="1">
      <alignment horizontal="center" vertical="center" textRotation="90" wrapText="1" shrinkToFit="1"/>
    </xf>
    <xf numFmtId="0" fontId="0" fillId="0" borderId="0" xfId="0" applyAlignment="1">
      <alignment textRotation="90"/>
    </xf>
    <xf numFmtId="0" fontId="17" fillId="13" borderId="2" xfId="0" applyFont="1" applyFill="1" applyBorder="1" applyAlignment="1">
      <alignment horizontal="center" vertical="center" wrapText="1"/>
    </xf>
    <xf numFmtId="0" fontId="12" fillId="17" borderId="15" xfId="0" applyFont="1" applyFill="1" applyBorder="1" applyAlignment="1">
      <alignment horizontal="center" vertical="center" wrapText="1"/>
    </xf>
    <xf numFmtId="0" fontId="12" fillId="10" borderId="2" xfId="0" applyFont="1" applyFill="1" applyBorder="1" applyAlignment="1">
      <alignment horizontal="center" vertical="center" wrapText="1"/>
    </xf>
    <xf numFmtId="0" fontId="1" fillId="0" borderId="0" xfId="0" applyFont="1" applyAlignment="1">
      <alignment vertical="center" wrapText="1"/>
    </xf>
    <xf numFmtId="0" fontId="12" fillId="17" borderId="2" xfId="0" applyFont="1" applyFill="1" applyBorder="1" applyAlignment="1">
      <alignment horizontal="center" vertical="center" wrapText="1"/>
    </xf>
    <xf numFmtId="0" fontId="22" fillId="0" borderId="4" xfId="0" applyFont="1" applyBorder="1" applyAlignment="1">
      <alignment horizontal="center" vertical="center" wrapText="1"/>
    </xf>
    <xf numFmtId="0" fontId="22" fillId="0" borderId="15" xfId="0" applyFont="1" applyBorder="1" applyAlignment="1">
      <alignment horizontal="center" vertical="center" wrapText="1"/>
    </xf>
    <xf numFmtId="0" fontId="22" fillId="20" borderId="13" xfId="0" applyFont="1" applyFill="1" applyBorder="1" applyAlignment="1">
      <alignment horizontal="center" vertical="center" wrapText="1"/>
    </xf>
    <xf numFmtId="0" fontId="12" fillId="17" borderId="22" xfId="0" applyFont="1" applyFill="1" applyBorder="1" applyAlignment="1">
      <alignment horizontal="center" vertical="center" wrapText="1"/>
    </xf>
    <xf numFmtId="0" fontId="12" fillId="17" borderId="13" xfId="0" applyFont="1" applyFill="1" applyBorder="1" applyAlignment="1">
      <alignment horizontal="center" vertical="center" wrapText="1"/>
    </xf>
    <xf numFmtId="0" fontId="13" fillId="0" borderId="0" xfId="0" applyFont="1" applyAlignment="1">
      <alignment horizontal="center" vertical="center"/>
    </xf>
    <xf numFmtId="0" fontId="18" fillId="0" borderId="26" xfId="0" applyFont="1" applyBorder="1" applyAlignment="1">
      <alignment horizontal="center" shrinkToFit="1"/>
    </xf>
    <xf numFmtId="0" fontId="72" fillId="0" borderId="0" xfId="0" applyFont="1" applyAlignment="1">
      <alignment horizontal="center" vertical="center" wrapText="1" shrinkToFit="1"/>
    </xf>
    <xf numFmtId="0" fontId="72" fillId="0" borderId="16" xfId="0" applyFont="1" applyBorder="1" applyAlignment="1">
      <alignment horizontal="center" vertical="center" textRotation="90" shrinkToFit="1"/>
    </xf>
    <xf numFmtId="0" fontId="23" fillId="15" borderId="4" xfId="0" applyFont="1" applyFill="1" applyBorder="1" applyAlignment="1">
      <alignment horizontal="center" vertical="center" wrapText="1"/>
    </xf>
    <xf numFmtId="0" fontId="23" fillId="15" borderId="11" xfId="0" applyFont="1" applyFill="1" applyBorder="1" applyAlignment="1">
      <alignment horizontal="center" vertical="center" wrapText="1"/>
    </xf>
    <xf numFmtId="0" fontId="23" fillId="15" borderId="15" xfId="0" applyFont="1" applyFill="1" applyBorder="1" applyAlignment="1">
      <alignment horizontal="center" vertical="center" wrapText="1"/>
    </xf>
    <xf numFmtId="0" fontId="23" fillId="15" borderId="22" xfId="0" applyFont="1" applyFill="1" applyBorder="1" applyAlignment="1">
      <alignment horizontal="center" textRotation="90" wrapText="1"/>
    </xf>
    <xf numFmtId="0" fontId="23" fillId="15" borderId="6" xfId="0" applyFont="1" applyFill="1" applyBorder="1" applyAlignment="1">
      <alignment horizontal="center" textRotation="90" wrapText="1"/>
    </xf>
    <xf numFmtId="0" fontId="23" fillId="15" borderId="13" xfId="0" applyFont="1" applyFill="1" applyBorder="1" applyAlignment="1">
      <alignment horizontal="center" textRotation="90" wrapText="1"/>
    </xf>
    <xf numFmtId="0" fontId="18" fillId="0" borderId="0" xfId="0" applyFont="1" applyAlignment="1">
      <alignment horizontal="center" shrinkToFit="1"/>
    </xf>
    <xf numFmtId="0" fontId="26" fillId="20" borderId="24" xfId="0" applyFont="1" applyFill="1" applyBorder="1" applyAlignment="1">
      <alignment horizontal="center" vertical="top" shrinkToFit="1"/>
    </xf>
    <xf numFmtId="0" fontId="26" fillId="20" borderId="13" xfId="0" applyFont="1" applyFill="1" applyBorder="1" applyAlignment="1">
      <alignment horizontal="center" vertical="top" shrinkToFit="1"/>
    </xf>
    <xf numFmtId="0" fontId="29" fillId="20" borderId="24" xfId="0" applyFont="1" applyFill="1" applyBorder="1" applyAlignment="1">
      <alignment horizontal="left" vertical="center" wrapText="1"/>
    </xf>
    <xf numFmtId="0" fontId="29" fillId="20" borderId="23" xfId="0" applyFont="1" applyFill="1" applyBorder="1" applyAlignment="1">
      <alignment horizontal="left" vertical="center" wrapText="1"/>
    </xf>
    <xf numFmtId="0" fontId="12" fillId="20" borderId="24" xfId="0" applyFont="1" applyFill="1" applyBorder="1" applyAlignment="1">
      <alignment horizontal="left" vertical="center" wrapText="1"/>
    </xf>
    <xf numFmtId="0" fontId="12" fillId="20" borderId="23" xfId="0" applyFont="1" applyFill="1" applyBorder="1" applyAlignment="1">
      <alignment horizontal="left"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17" xfId="0" applyFont="1" applyBorder="1" applyAlignment="1">
      <alignment horizontal="center" vertical="center" wrapText="1"/>
    </xf>
    <xf numFmtId="0" fontId="7" fillId="34" borderId="45" xfId="0" applyFont="1" applyFill="1" applyBorder="1" applyAlignment="1">
      <alignment horizontal="center" vertical="center"/>
    </xf>
    <xf numFmtId="0" fontId="7" fillId="34" borderId="46" xfId="0" applyFont="1" applyFill="1" applyBorder="1" applyAlignment="1">
      <alignment horizontal="center" vertical="center"/>
    </xf>
    <xf numFmtId="9" fontId="6" fillId="0" borderId="34" xfId="0" applyNumberFormat="1" applyFont="1" applyBorder="1" applyAlignment="1">
      <alignment horizontal="center" vertical="center"/>
    </xf>
    <xf numFmtId="9" fontId="6" fillId="0" borderId="32" xfId="0" applyNumberFormat="1" applyFont="1" applyBorder="1" applyAlignment="1">
      <alignment horizontal="center" vertical="center"/>
    </xf>
    <xf numFmtId="9" fontId="6" fillId="0" borderId="50" xfId="0" applyNumberFormat="1" applyFont="1" applyBorder="1" applyAlignment="1">
      <alignment horizontal="center" vertical="center"/>
    </xf>
    <xf numFmtId="9" fontId="6" fillId="0" borderId="25" xfId="0" applyNumberFormat="1" applyFont="1" applyBorder="1" applyAlignment="1">
      <alignment horizontal="center" vertical="center"/>
    </xf>
    <xf numFmtId="9" fontId="6" fillId="0" borderId="26" xfId="0" applyNumberFormat="1" applyFont="1" applyBorder="1" applyAlignment="1">
      <alignment horizontal="center" vertical="center"/>
    </xf>
    <xf numFmtId="3" fontId="6" fillId="0" borderId="4" xfId="15" applyNumberFormat="1" applyFont="1" applyBorder="1" applyAlignment="1">
      <alignment horizontal="center" vertical="center"/>
    </xf>
    <xf numFmtId="3" fontId="6" fillId="0" borderId="11" xfId="15" applyNumberFormat="1" applyFont="1" applyBorder="1" applyAlignment="1">
      <alignment horizontal="center" vertical="center"/>
    </xf>
    <xf numFmtId="1" fontId="6" fillId="0" borderId="4" xfId="0" applyNumberFormat="1" applyFont="1" applyBorder="1" applyAlignment="1">
      <alignment horizontal="center" vertical="center"/>
    </xf>
    <xf numFmtId="1" fontId="6" fillId="0" borderId="11" xfId="0" applyNumberFormat="1" applyFont="1" applyBorder="1" applyAlignment="1">
      <alignment horizontal="center" vertical="center"/>
    </xf>
    <xf numFmtId="0" fontId="0" fillId="0" borderId="12" xfId="0" applyBorder="1" applyAlignment="1">
      <alignment horizontal="left" vertical="top" wrapText="1" indent="1"/>
    </xf>
    <xf numFmtId="0" fontId="0" fillId="0" borderId="16" xfId="0" applyBorder="1" applyAlignment="1">
      <alignment horizontal="left" vertical="top" wrapText="1" indent="1"/>
    </xf>
    <xf numFmtId="0" fontId="0" fillId="0" borderId="40" xfId="0" applyBorder="1" applyAlignment="1">
      <alignment horizontal="left" vertical="top" wrapText="1" indent="1"/>
    </xf>
    <xf numFmtId="0" fontId="0" fillId="0" borderId="17" xfId="0" applyBorder="1" applyAlignment="1">
      <alignment horizontal="left" vertical="top" wrapText="1" indent="1"/>
    </xf>
    <xf numFmtId="1" fontId="0" fillId="0" borderId="34" xfId="0" applyNumberFormat="1" applyBorder="1" applyAlignment="1">
      <alignment horizontal="left" vertical="top" wrapText="1"/>
    </xf>
    <xf numFmtId="1" fontId="0" fillId="0" borderId="32" xfId="0" applyNumberFormat="1" applyBorder="1" applyAlignment="1">
      <alignment horizontal="left" vertical="top" wrapText="1"/>
    </xf>
    <xf numFmtId="1" fontId="0" fillId="0" borderId="50" xfId="0" applyNumberFormat="1" applyBorder="1" applyAlignment="1">
      <alignment horizontal="left" vertical="top" wrapText="1"/>
    </xf>
    <xf numFmtId="0" fontId="0" fillId="0" borderId="47" xfId="0" applyBorder="1" applyAlignment="1">
      <alignment horizontal="left" vertical="top" wrapText="1" indent="1"/>
    </xf>
    <xf numFmtId="0" fontId="0" fillId="0" borderId="43" xfId="0" applyBorder="1" applyAlignment="1">
      <alignment horizontal="left" vertical="top" wrapText="1" indent="1"/>
    </xf>
    <xf numFmtId="0" fontId="0" fillId="0" borderId="44" xfId="0" applyBorder="1" applyAlignment="1">
      <alignment horizontal="left" vertical="top" wrapText="1" indent="1"/>
    </xf>
    <xf numFmtId="0" fontId="0" fillId="0" borderId="45" xfId="0" applyBorder="1" applyAlignment="1">
      <alignment horizontal="left" vertical="top" wrapText="1" indent="1"/>
    </xf>
    <xf numFmtId="0" fontId="0" fillId="0" borderId="46" xfId="0" applyBorder="1" applyAlignment="1">
      <alignment horizontal="left" vertical="top" wrapText="1" indent="1"/>
    </xf>
    <xf numFmtId="0" fontId="0" fillId="0" borderId="0" xfId="0" applyAlignment="1">
      <alignment horizontal="left" vertical="top" wrapText="1" indent="1"/>
    </xf>
    <xf numFmtId="0" fontId="7" fillId="34" borderId="12" xfId="0" applyFont="1" applyFill="1" applyBorder="1" applyAlignment="1">
      <alignment horizontal="center" vertical="center" wrapText="1"/>
    </xf>
    <xf numFmtId="0" fontId="7" fillId="34" borderId="0" xfId="0" applyFont="1" applyFill="1" applyAlignment="1">
      <alignment horizontal="center" vertical="center" wrapText="1"/>
    </xf>
    <xf numFmtId="0" fontId="7" fillId="34" borderId="34" xfId="0" applyFont="1" applyFill="1" applyBorder="1" applyAlignment="1">
      <alignment horizontal="center" vertical="center" wrapText="1"/>
    </xf>
    <xf numFmtId="0" fontId="7" fillId="34" borderId="32" xfId="0" applyFont="1" applyFill="1" applyBorder="1" applyAlignment="1">
      <alignment horizontal="center" vertical="center" wrapText="1"/>
    </xf>
    <xf numFmtId="0" fontId="7" fillId="34" borderId="12" xfId="0" applyFont="1" applyFill="1" applyBorder="1" applyAlignment="1">
      <alignment horizontal="left" vertical="top" wrapText="1" indent="1"/>
    </xf>
    <xf numFmtId="0" fontId="7" fillId="34" borderId="0" xfId="0" applyFont="1" applyFill="1" applyAlignment="1">
      <alignment horizontal="left" vertical="top" wrapText="1" indent="1"/>
    </xf>
    <xf numFmtId="0" fontId="7" fillId="34" borderId="9" xfId="0" applyFont="1" applyFill="1" applyBorder="1" applyAlignment="1">
      <alignment horizontal="left" vertical="top" wrapText="1" indent="1"/>
    </xf>
    <xf numFmtId="0" fontId="7" fillId="34" borderId="51" xfId="0" applyFont="1" applyFill="1" applyBorder="1" applyAlignment="1">
      <alignment horizontal="left" vertical="top" wrapText="1" indent="1"/>
    </xf>
    <xf numFmtId="0" fontId="7" fillId="34" borderId="7" xfId="0" applyFont="1" applyFill="1" applyBorder="1" applyAlignment="1">
      <alignment horizontal="left" vertical="top" wrapText="1" indent="1"/>
    </xf>
    <xf numFmtId="0" fontId="7" fillId="34" borderId="8" xfId="0" applyFont="1" applyFill="1" applyBorder="1" applyAlignment="1">
      <alignment horizontal="left" vertical="top" wrapText="1" indent="1"/>
    </xf>
    <xf numFmtId="0" fontId="7" fillId="34" borderId="40" xfId="0" applyFont="1" applyFill="1" applyBorder="1" applyAlignment="1">
      <alignment horizontal="center" vertical="center"/>
    </xf>
    <xf numFmtId="0" fontId="7" fillId="34" borderId="26" xfId="0" applyFont="1" applyFill="1" applyBorder="1" applyAlignment="1">
      <alignment horizontal="center" vertical="center"/>
    </xf>
    <xf numFmtId="0" fontId="0" fillId="0" borderId="9" xfId="0" applyBorder="1" applyAlignment="1">
      <alignment horizontal="left" vertical="top" wrapText="1" indent="1"/>
    </xf>
    <xf numFmtId="2" fontId="6" fillId="0" borderId="41" xfId="0" applyNumberFormat="1" applyFont="1" applyBorder="1" applyAlignment="1">
      <alignment horizontal="center" vertical="center"/>
    </xf>
    <xf numFmtId="2" fontId="6" fillId="0" borderId="42" xfId="0" applyNumberFormat="1" applyFont="1" applyBorder="1" applyAlignment="1">
      <alignment horizontal="center" vertical="center"/>
    </xf>
    <xf numFmtId="0" fontId="7" fillId="34" borderId="37" xfId="0" applyFont="1" applyFill="1" applyBorder="1" applyAlignment="1">
      <alignment horizontal="center" vertical="center"/>
    </xf>
    <xf numFmtId="0" fontId="7" fillId="34" borderId="38" xfId="0" applyFont="1" applyFill="1" applyBorder="1" applyAlignment="1">
      <alignment horizontal="center" vertical="center"/>
    </xf>
    <xf numFmtId="0" fontId="0" fillId="0" borderId="13" xfId="0" applyBorder="1" applyAlignment="1">
      <alignment horizontal="left" vertical="top" wrapText="1" indent="1"/>
    </xf>
    <xf numFmtId="0" fontId="0" fillId="0" borderId="2" xfId="0" applyBorder="1" applyAlignment="1">
      <alignment horizontal="left" vertical="top" wrapText="1" indent="1"/>
    </xf>
    <xf numFmtId="0" fontId="7" fillId="4" borderId="58" xfId="0" applyFont="1" applyFill="1" applyBorder="1"/>
    <xf numFmtId="0" fontId="7" fillId="4" borderId="62" xfId="0" applyFont="1" applyFill="1" applyBorder="1"/>
    <xf numFmtId="0" fontId="7" fillId="4" borderId="57" xfId="0" applyFont="1" applyFill="1" applyBorder="1"/>
    <xf numFmtId="0" fontId="16" fillId="5" borderId="58" xfId="0" applyFont="1" applyFill="1" applyBorder="1"/>
    <xf numFmtId="0" fontId="16" fillId="5" borderId="62" xfId="0" applyFont="1" applyFill="1" applyBorder="1"/>
    <xf numFmtId="0" fontId="16" fillId="5" borderId="57" xfId="0" applyFont="1" applyFill="1" applyBorder="1"/>
    <xf numFmtId="0" fontId="7" fillId="23" borderId="58" xfId="0" applyFont="1" applyFill="1" applyBorder="1"/>
    <xf numFmtId="0" fontId="7" fillId="23" borderId="62" xfId="0" applyFont="1" applyFill="1" applyBorder="1"/>
    <xf numFmtId="0" fontId="7" fillId="23" borderId="57" xfId="0" applyFont="1" applyFill="1" applyBorder="1"/>
    <xf numFmtId="0" fontId="7" fillId="41" borderId="58" xfId="0" applyFont="1" applyFill="1" applyBorder="1"/>
    <xf numFmtId="0" fontId="7" fillId="41" borderId="62" xfId="0" applyFont="1" applyFill="1" applyBorder="1"/>
    <xf numFmtId="0" fontId="7" fillId="41" borderId="57" xfId="0" applyFont="1" applyFill="1" applyBorder="1"/>
    <xf numFmtId="0" fontId="8" fillId="5" borderId="62" xfId="0" applyFont="1" applyFill="1" applyBorder="1" applyAlignment="1">
      <alignment horizontal="center"/>
    </xf>
    <xf numFmtId="0" fontId="8" fillId="5" borderId="58" xfId="0" applyFont="1" applyFill="1" applyBorder="1" applyAlignment="1">
      <alignment horizontal="center"/>
    </xf>
    <xf numFmtId="0" fontId="8" fillId="5" borderId="57" xfId="0" applyFont="1" applyFill="1" applyBorder="1" applyAlignment="1">
      <alignment horizontal="center"/>
    </xf>
    <xf numFmtId="0" fontId="16" fillId="5" borderId="58" xfId="0" applyFont="1" applyFill="1" applyBorder="1" applyAlignment="1">
      <alignment horizontal="center"/>
    </xf>
    <xf numFmtId="0" fontId="16" fillId="5" borderId="62" xfId="0" applyFont="1" applyFill="1" applyBorder="1" applyAlignment="1">
      <alignment horizontal="center"/>
    </xf>
    <xf numFmtId="0" fontId="16" fillId="5" borderId="57" xfId="0" applyFont="1" applyFill="1" applyBorder="1" applyAlignment="1">
      <alignment horizontal="center"/>
    </xf>
    <xf numFmtId="0" fontId="8" fillId="5" borderId="45" xfId="0" applyFont="1" applyFill="1" applyBorder="1" applyAlignment="1">
      <alignment horizontal="center"/>
    </xf>
    <xf numFmtId="0" fontId="8" fillId="5" borderId="12" xfId="0" applyFont="1" applyFill="1" applyBorder="1" applyAlignment="1">
      <alignment horizontal="center"/>
    </xf>
    <xf numFmtId="0" fontId="7" fillId="35" borderId="62" xfId="0" applyFont="1" applyFill="1" applyBorder="1"/>
    <xf numFmtId="0" fontId="7" fillId="35" borderId="58" xfId="0" applyFont="1" applyFill="1" applyBorder="1"/>
    <xf numFmtId="0" fontId="7" fillId="35" borderId="57" xfId="0" applyFont="1" applyFill="1" applyBorder="1"/>
    <xf numFmtId="0" fontId="7" fillId="39" borderId="58" xfId="0" applyFont="1" applyFill="1" applyBorder="1" applyAlignment="1">
      <alignment horizontal="center"/>
    </xf>
    <xf numFmtId="0" fontId="7" fillId="39" borderId="62" xfId="0" applyFont="1" applyFill="1" applyBorder="1" applyAlignment="1">
      <alignment horizontal="center"/>
    </xf>
    <xf numFmtId="0" fontId="7" fillId="39" borderId="57" xfId="0" applyFont="1" applyFill="1" applyBorder="1" applyAlignment="1">
      <alignment horizontal="center"/>
    </xf>
    <xf numFmtId="0" fontId="7" fillId="0" borderId="58" xfId="0" applyFont="1" applyBorder="1" applyAlignment="1">
      <alignment horizontal="center"/>
    </xf>
    <xf numFmtId="0" fontId="7" fillId="0" borderId="62" xfId="0" applyFont="1" applyBorder="1" applyAlignment="1">
      <alignment horizontal="center"/>
    </xf>
    <xf numFmtId="0" fontId="7" fillId="0" borderId="57" xfId="0" applyFont="1" applyBorder="1" applyAlignment="1">
      <alignment horizontal="center"/>
    </xf>
    <xf numFmtId="0" fontId="16" fillId="27" borderId="58" xfId="0" applyFont="1" applyFill="1" applyBorder="1" applyAlignment="1">
      <alignment horizontal="left"/>
    </xf>
    <xf numFmtId="0" fontId="16" fillId="27" borderId="62" xfId="0" applyFont="1" applyFill="1" applyBorder="1" applyAlignment="1">
      <alignment horizontal="left"/>
    </xf>
    <xf numFmtId="0" fontId="16" fillId="27" borderId="57" xfId="0" applyFont="1" applyFill="1" applyBorder="1" applyAlignment="1">
      <alignment horizontal="left"/>
    </xf>
    <xf numFmtId="0" fontId="7" fillId="38" borderId="58" xfId="0" applyFont="1" applyFill="1" applyBorder="1"/>
    <xf numFmtId="0" fontId="7" fillId="38" borderId="57" xfId="0" applyFont="1" applyFill="1" applyBorder="1"/>
    <xf numFmtId="0" fontId="7" fillId="36" borderId="58" xfId="0" applyFont="1" applyFill="1" applyBorder="1"/>
    <xf numFmtId="0" fontId="7" fillId="36" borderId="62" xfId="0" applyFont="1" applyFill="1" applyBorder="1"/>
    <xf numFmtId="0" fontId="7" fillId="36" borderId="57" xfId="0" applyFont="1" applyFill="1" applyBorder="1"/>
    <xf numFmtId="0" fontId="63" fillId="10" borderId="2" xfId="0" applyFont="1" applyFill="1" applyBorder="1" applyAlignment="1">
      <alignment horizontal="center" wrapText="1"/>
    </xf>
  </cellXfs>
  <cellStyles count="22">
    <cellStyle name="Calculation" xfId="17" builtinId="22"/>
    <cellStyle name="Comma" xfId="18" builtinId="3"/>
    <cellStyle name="Comma 2" xfId="1" xr:uid="{00000000-0005-0000-0000-000000000000}"/>
    <cellStyle name="Currency" xfId="15" builtinId="4"/>
    <cellStyle name="Currency 2" xfId="20" xr:uid="{153136FE-2A15-44CA-BFAE-EFD4B523B1E1}"/>
    <cellStyle name="High" xfId="2" xr:uid="{00000000-0005-0000-0000-000001000000}"/>
    <cellStyle name="High 2" xfId="3" xr:uid="{00000000-0005-0000-0000-000002000000}"/>
    <cellStyle name="High 3" xfId="4" xr:uid="{00000000-0005-0000-0000-000003000000}"/>
    <cellStyle name="Hyperlink" xfId="19" builtinId="8"/>
    <cellStyle name="Input" xfId="16" builtinId="20"/>
    <cellStyle name="Low" xfId="5" xr:uid="{00000000-0005-0000-0000-000004000000}"/>
    <cellStyle name="Low 2" xfId="6" xr:uid="{00000000-0005-0000-0000-000005000000}"/>
    <cellStyle name="Low 3" xfId="7" xr:uid="{00000000-0005-0000-0000-000006000000}"/>
    <cellStyle name="Moderate" xfId="8" xr:uid="{00000000-0005-0000-0000-000007000000}"/>
    <cellStyle name="Moderate 2" xfId="9" xr:uid="{00000000-0005-0000-0000-000008000000}"/>
    <cellStyle name="Moderate 3" xfId="10" xr:uid="{00000000-0005-0000-0000-000009000000}"/>
    <cellStyle name="Negligible" xfId="11" xr:uid="{00000000-0005-0000-0000-00000A000000}"/>
    <cellStyle name="Negligible 2" xfId="12" xr:uid="{00000000-0005-0000-0000-00000B000000}"/>
    <cellStyle name="Negligible 3" xfId="13" xr:uid="{00000000-0005-0000-0000-00000C000000}"/>
    <cellStyle name="Normal" xfId="0" builtinId="0"/>
    <cellStyle name="Percent 2" xfId="14" xr:uid="{00000000-0005-0000-0000-00000E000000}"/>
    <cellStyle name="Percent 2 2" xfId="21" xr:uid="{FE8138D6-A0E0-4806-85C8-DB3784628638}"/>
  </cellStyles>
  <dxfs count="562">
    <dxf>
      <font>
        <color rgb="FF9C0006"/>
      </font>
      <fill>
        <patternFill>
          <bgColor rgb="FFFFC7CE"/>
        </patternFill>
      </fill>
    </dxf>
    <dxf>
      <font>
        <color auto="1"/>
      </font>
      <fill>
        <patternFill>
          <bgColor rgb="FFFFFF00"/>
        </patternFill>
      </fill>
    </dxf>
    <dxf>
      <font>
        <color auto="1"/>
      </font>
      <fill>
        <patternFill>
          <bgColor rgb="FFC6EFCE"/>
        </patternFill>
      </fill>
    </dxf>
    <dxf>
      <fill>
        <patternFill>
          <bgColor theme="0" tint="-0.14996795556505021"/>
        </patternFill>
      </fill>
    </dxf>
    <dxf>
      <fill>
        <patternFill>
          <bgColor rgb="FF00B050"/>
        </patternFill>
      </fill>
      <border>
        <right style="thin">
          <color auto="1"/>
        </right>
      </border>
    </dxf>
    <dxf>
      <fill>
        <patternFill>
          <bgColor rgb="FFFFFF00"/>
        </patternFill>
      </fill>
      <border>
        <right style="thin">
          <color auto="1"/>
        </right>
      </border>
    </dxf>
    <dxf>
      <fill>
        <patternFill>
          <bgColor rgb="FFFFC000"/>
        </patternFill>
      </fill>
      <border>
        <right style="thin">
          <color auto="1"/>
        </right>
      </border>
    </dxf>
    <dxf>
      <fill>
        <patternFill>
          <bgColor rgb="FFFF0000"/>
        </patternFill>
      </fill>
      <border>
        <right style="thin">
          <color auto="1"/>
        </right>
      </border>
    </dxf>
    <dxf>
      <fill>
        <patternFill>
          <bgColor rgb="FF00B050"/>
        </patternFill>
      </fill>
      <border>
        <right style="thin">
          <color auto="1"/>
        </right>
      </border>
    </dxf>
    <dxf>
      <fill>
        <patternFill>
          <bgColor rgb="FFFFFF00"/>
        </patternFill>
      </fill>
      <border>
        <right style="thin">
          <color auto="1"/>
        </right>
      </border>
    </dxf>
    <dxf>
      <fill>
        <patternFill>
          <bgColor rgb="FFFFC000"/>
        </patternFill>
      </fill>
      <border>
        <right style="thin">
          <color auto="1"/>
        </right>
      </border>
    </dxf>
    <dxf>
      <fill>
        <patternFill>
          <bgColor rgb="FFFF0000"/>
        </patternFill>
      </fill>
      <border>
        <right style="thin">
          <color auto="1"/>
        </right>
      </border>
    </dxf>
    <dxf>
      <fill>
        <patternFill>
          <bgColor theme="4" tint="0.59996337778862885"/>
        </patternFill>
      </fill>
    </dxf>
    <dxf>
      <font>
        <color auto="1"/>
      </font>
      <fill>
        <patternFill>
          <bgColor rgb="FF00B050"/>
        </patternFill>
      </fill>
    </dxf>
    <dxf>
      <font>
        <color theme="1"/>
      </font>
      <fill>
        <patternFill>
          <bgColor rgb="FF92D05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theme="1"/>
      </font>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ont>
        <color theme="1"/>
      </font>
      <fill>
        <patternFill>
          <bgColor rgb="FF92D050"/>
        </patternFill>
      </fill>
    </dxf>
    <dxf>
      <font>
        <color auto="1"/>
      </font>
      <fill>
        <patternFill>
          <bgColor rgb="FF00B050"/>
        </patternFill>
      </fill>
    </dxf>
    <dxf>
      <font>
        <color auto="1"/>
      </font>
      <fill>
        <patternFill>
          <bgColor rgb="FF00B050"/>
        </patternFill>
      </fill>
    </dxf>
    <dxf>
      <font>
        <color theme="1"/>
      </font>
      <fill>
        <patternFill>
          <bgColor rgb="FF92D050"/>
        </patternFill>
      </fill>
    </dxf>
    <dxf>
      <fill>
        <patternFill>
          <bgColor rgb="FFFFFF00"/>
        </patternFill>
      </fill>
    </dxf>
    <dxf>
      <fill>
        <patternFill>
          <bgColor rgb="FFFFC00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auto="1"/>
      </font>
      <fill>
        <patternFill>
          <bgColor rgb="FF00B050"/>
        </patternFill>
      </fill>
    </dxf>
    <dxf>
      <font>
        <color auto="1"/>
      </font>
      <fill>
        <patternFill>
          <bgColor rgb="FF00B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auto="1"/>
      </font>
      <fill>
        <patternFill>
          <bgColor rgb="FF00B050"/>
        </patternFill>
      </fill>
    </dxf>
    <dxf>
      <font>
        <color theme="1"/>
      </font>
      <fill>
        <patternFill>
          <bgColor rgb="FF92D050"/>
        </patternFill>
      </fill>
    </dxf>
    <dxf>
      <fill>
        <patternFill>
          <bgColor rgb="FFFF0000"/>
        </patternFill>
      </fill>
    </dxf>
    <dxf>
      <font>
        <color auto="1"/>
      </font>
      <fill>
        <patternFill>
          <bgColor rgb="FF00B050"/>
        </patternFill>
      </fill>
    </dxf>
    <dxf>
      <font>
        <color theme="1"/>
      </font>
      <fill>
        <patternFill>
          <bgColor rgb="FF92D050"/>
        </patternFill>
      </fill>
    </dxf>
    <dxf>
      <fill>
        <patternFill>
          <bgColor rgb="FFFF0000"/>
        </patternFill>
      </fill>
    </dxf>
    <dxf>
      <font>
        <color auto="1"/>
      </font>
      <fill>
        <patternFill>
          <bgColor rgb="FF00B050"/>
        </patternFill>
      </fill>
    </dxf>
    <dxf>
      <fill>
        <patternFill>
          <bgColor rgb="FFFF0000"/>
        </patternFill>
      </fill>
    </dxf>
    <dxf>
      <font>
        <color theme="1"/>
      </font>
      <fill>
        <patternFill>
          <bgColor rgb="FF92D050"/>
        </patternFill>
      </fill>
    </dxf>
    <dxf>
      <fill>
        <patternFill>
          <bgColor rgb="FFFF0000"/>
        </patternFill>
      </fill>
    </dxf>
    <dxf>
      <font>
        <color auto="1"/>
      </font>
      <fill>
        <patternFill>
          <bgColor rgb="FF00B050"/>
        </patternFill>
      </fill>
    </dxf>
    <dxf>
      <font>
        <color rgb="FF9C0006"/>
      </font>
      <fill>
        <patternFill>
          <bgColor rgb="FFFFC7CE"/>
        </patternFill>
      </fill>
    </dxf>
    <dxf>
      <font>
        <color rgb="FFF6E87E"/>
      </font>
      <fill>
        <patternFill>
          <bgColor rgb="FFFFEB9C"/>
        </patternFill>
      </fill>
    </dxf>
    <dxf>
      <font>
        <color rgb="FF006100"/>
      </font>
      <fill>
        <patternFill>
          <bgColor rgb="FFC6EFCE"/>
        </patternFill>
      </fill>
    </dxf>
    <dxf>
      <fill>
        <patternFill>
          <bgColor rgb="FFFF0000"/>
        </patternFill>
      </fill>
    </dxf>
    <dxf>
      <font>
        <color auto="1"/>
      </font>
      <fill>
        <patternFill>
          <bgColor rgb="FF92D050"/>
        </patternFill>
      </fill>
    </dxf>
    <dxf>
      <fill>
        <patternFill>
          <bgColor rgb="FFFF0000"/>
        </patternFill>
      </fill>
    </dxf>
    <dxf>
      <font>
        <color theme="1"/>
      </font>
      <fill>
        <patternFill>
          <bgColor rgb="FF92D050"/>
        </patternFill>
      </fill>
    </dxf>
    <dxf>
      <fill>
        <patternFill>
          <bgColor rgb="FFFF0000"/>
        </patternFill>
      </fill>
    </dxf>
    <dxf>
      <font>
        <color auto="1"/>
      </font>
      <fill>
        <patternFill>
          <bgColor rgb="FF00B050"/>
        </patternFill>
      </fill>
    </dxf>
    <dxf>
      <font>
        <color auto="1"/>
      </font>
      <fill>
        <patternFill>
          <bgColor rgb="FF92D050"/>
        </patternFill>
      </fill>
    </dxf>
    <dxf>
      <font>
        <color theme="1"/>
      </font>
      <fill>
        <patternFill>
          <bgColor rgb="FF92D050"/>
        </patternFill>
      </fill>
    </dxf>
    <dxf>
      <fill>
        <patternFill>
          <bgColor rgb="FFFF0000"/>
        </patternFill>
      </fill>
    </dxf>
    <dxf>
      <font>
        <color auto="1"/>
      </font>
      <fill>
        <patternFill>
          <bgColor rgb="FF00B050"/>
        </patternFill>
      </fill>
    </dxf>
    <dxf>
      <fill>
        <patternFill>
          <bgColor rgb="FFFF0000"/>
        </patternFill>
      </fill>
    </dxf>
    <dxf>
      <font>
        <color theme="1"/>
      </font>
      <fill>
        <patternFill>
          <bgColor rgb="FF92D050"/>
        </patternFill>
      </fill>
    </dxf>
    <dxf>
      <font>
        <color theme="1"/>
      </font>
      <fill>
        <patternFill>
          <bgColor rgb="FF92D050"/>
        </patternFill>
      </fill>
    </dxf>
    <dxf>
      <font>
        <color auto="1"/>
      </font>
      <fill>
        <patternFill>
          <bgColor rgb="FF00B050"/>
        </patternFill>
      </fill>
    </dxf>
    <dxf>
      <fill>
        <patternFill>
          <bgColor rgb="FFFF0000"/>
        </patternFill>
      </fill>
    </dxf>
    <dxf>
      <font>
        <color auto="1"/>
      </font>
      <fill>
        <patternFill>
          <bgColor rgb="FF92D050"/>
        </patternFill>
      </fill>
    </dxf>
    <dxf>
      <font>
        <color rgb="FF006100"/>
      </font>
      <fill>
        <patternFill>
          <bgColor rgb="FFC6EFCE"/>
        </patternFill>
      </fill>
    </dxf>
    <dxf>
      <fill>
        <patternFill>
          <bgColor rgb="FFFF0000"/>
        </patternFill>
      </fill>
    </dxf>
    <dxf>
      <font>
        <color theme="1"/>
      </font>
      <fill>
        <patternFill>
          <bgColor rgb="FF92D050"/>
        </patternFill>
      </fill>
    </dxf>
    <dxf>
      <font>
        <color auto="1"/>
      </font>
      <fill>
        <patternFill>
          <bgColor rgb="FF00B050"/>
        </patternFill>
      </fill>
    </dxf>
    <dxf>
      <font>
        <color auto="1"/>
      </font>
      <fill>
        <patternFill>
          <bgColor rgb="FF00B050"/>
        </patternFill>
      </fill>
    </dxf>
    <dxf>
      <font>
        <color theme="1"/>
      </font>
      <fill>
        <patternFill>
          <bgColor rgb="FF92D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0000"/>
        </patternFill>
      </fill>
    </dxf>
    <dxf>
      <font>
        <color rgb="FFF6E87E"/>
      </font>
      <fill>
        <patternFill>
          <bgColor rgb="FFFFEB9C"/>
        </patternFill>
      </fill>
    </dxf>
    <dxf>
      <font>
        <color rgb="FF9C0006"/>
      </font>
      <fill>
        <patternFill>
          <bgColor rgb="FFFFC7CE"/>
        </patternFill>
      </fill>
    </dxf>
    <dxf>
      <fill>
        <patternFill>
          <bgColor rgb="FFFF000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auto="1"/>
      </font>
      <fill>
        <patternFill>
          <bgColor rgb="FF00B050"/>
        </patternFill>
      </fill>
    </dxf>
    <dxf>
      <font>
        <color theme="1"/>
      </font>
      <fill>
        <patternFill>
          <bgColor rgb="FF92D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auto="1"/>
      </font>
      <fill>
        <patternFill>
          <bgColor rgb="FF00B050"/>
        </patternFill>
      </fill>
    </dxf>
    <dxf>
      <font>
        <color theme="1"/>
      </font>
      <fill>
        <patternFill>
          <bgColor rgb="FF92D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theme="1"/>
      </font>
      <fill>
        <patternFill>
          <bgColor rgb="FF92D050"/>
        </patternFill>
      </fill>
    </dxf>
    <dxf>
      <font>
        <color auto="1"/>
      </font>
      <fill>
        <patternFill>
          <bgColor rgb="FF00B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auto="1"/>
      </font>
      <fill>
        <patternFill>
          <bgColor rgb="FF00B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ont>
        <color auto="1"/>
      </font>
      <fill>
        <patternFill>
          <bgColor rgb="FF00B050"/>
        </patternFill>
      </fill>
    </dxf>
    <dxf>
      <font>
        <color theme="1"/>
      </font>
      <fill>
        <patternFill>
          <bgColor rgb="FF92D05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C000"/>
        </patternFill>
      </fill>
    </dxf>
    <dxf>
      <fill>
        <patternFill>
          <bgColor rgb="FFFFC000"/>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9" formatCode="_(* #,##0_);_(* \(#,##0\);_(* &quot;-&quot;??_);_(@_)"/>
    </dxf>
    <dxf>
      <numFmt numFmtId="35" formatCode="_(* #,##0.00_);_(* \(#,##0.00\);_(* &quot;-&quot;??_);_(@_)"/>
    </dxf>
  </dxfs>
  <tableStyles count="0" defaultTableStyle="TableStyleMedium9" defaultPivotStyle="PivotStyleLight16"/>
  <colors>
    <mruColors>
      <color rgb="FFB2F886"/>
      <color rgb="FFFFFF00"/>
      <color rgb="FFF6E87E"/>
      <color rgb="FFFF66FF"/>
      <color rgb="FF74E700"/>
      <color rgb="FFD2FF00"/>
      <color rgb="FFFF7D7D"/>
      <color rgb="FFE7EEF5"/>
      <color rgb="FFFF5B5B"/>
      <color rgb="FFC75F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eetMetadata" Target="metadata.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Structure" Target="richData/rdrichvaluestructur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 Target="richData/rdrichvalue.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r>
              <a:rPr lang="en-US" sz="2000">
                <a:solidFill>
                  <a:sysClr val="windowText" lastClr="000000"/>
                </a:solidFill>
              </a:rPr>
              <a:t>CD-3A Risk</a:t>
            </a:r>
            <a:r>
              <a:rPr lang="en-US" sz="2000" baseline="0">
                <a:solidFill>
                  <a:sysClr val="windowText" lastClr="000000"/>
                </a:solidFill>
              </a:rPr>
              <a:t> Profile by Category</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'Risk Count'!$H$57</c:f>
              <c:strCache>
                <c:ptCount val="1"/>
                <c:pt idx="0">
                  <c:v>High</c:v>
                </c:pt>
              </c:strCache>
            </c:strRef>
          </c:tx>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'Risk Count'!$J$56:$K$56</c:f>
              <c:strCache>
                <c:ptCount val="2"/>
                <c:pt idx="0">
                  <c:v>Pre-mitigated</c:v>
                </c:pt>
                <c:pt idx="1">
                  <c:v>Post-mitigated</c:v>
                </c:pt>
              </c:strCache>
            </c:strRef>
          </c:cat>
          <c:val>
            <c:numRef>
              <c:f>'Risk Count'!$J$57:$K$57</c:f>
              <c:numCache>
                <c:formatCode>General</c:formatCode>
                <c:ptCount val="2"/>
                <c:pt idx="0">
                  <c:v>7</c:v>
                </c:pt>
                <c:pt idx="1">
                  <c:v>1</c:v>
                </c:pt>
              </c:numCache>
            </c:numRef>
          </c:val>
          <c:extLst>
            <c:ext xmlns:c16="http://schemas.microsoft.com/office/drawing/2014/chart" uri="{C3380CC4-5D6E-409C-BE32-E72D297353CC}">
              <c16:uniqueId val="{00000000-838D-42EA-91E2-01175F54DD67}"/>
            </c:ext>
          </c:extLst>
        </c:ser>
        <c:ser>
          <c:idx val="1"/>
          <c:order val="1"/>
          <c:tx>
            <c:strRef>
              <c:f>'Risk Count'!$H$58</c:f>
              <c:strCache>
                <c:ptCount val="1"/>
                <c:pt idx="0">
                  <c:v>Moderate</c:v>
                </c:pt>
              </c:strCache>
            </c:strRef>
          </c:tx>
          <c:spPr>
            <a:solidFill>
              <a:srgbClr val="FFFF00"/>
            </a:solidFill>
            <a:ln>
              <a:solidFill>
                <a:srgbClr val="FFFF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'Risk Count'!$J$56:$K$56</c:f>
              <c:strCache>
                <c:ptCount val="2"/>
                <c:pt idx="0">
                  <c:v>Pre-mitigated</c:v>
                </c:pt>
                <c:pt idx="1">
                  <c:v>Post-mitigated</c:v>
                </c:pt>
              </c:strCache>
            </c:strRef>
          </c:cat>
          <c:val>
            <c:numRef>
              <c:f>'Risk Count'!$J$58:$K$58</c:f>
              <c:numCache>
                <c:formatCode>General</c:formatCode>
                <c:ptCount val="2"/>
                <c:pt idx="0">
                  <c:v>9</c:v>
                </c:pt>
                <c:pt idx="1">
                  <c:v>7</c:v>
                </c:pt>
              </c:numCache>
            </c:numRef>
          </c:val>
          <c:extLst>
            <c:ext xmlns:c16="http://schemas.microsoft.com/office/drawing/2014/chart" uri="{C3380CC4-5D6E-409C-BE32-E72D297353CC}">
              <c16:uniqueId val="{00000001-838D-42EA-91E2-01175F54DD67}"/>
            </c:ext>
          </c:extLst>
        </c:ser>
        <c:ser>
          <c:idx val="2"/>
          <c:order val="2"/>
          <c:tx>
            <c:strRef>
              <c:f>'Risk Count'!$H$59</c:f>
              <c:strCache>
                <c:ptCount val="1"/>
                <c:pt idx="0">
                  <c:v>Low</c:v>
                </c:pt>
              </c:strCache>
            </c:strRef>
          </c:tx>
          <c:spPr>
            <a:solidFill>
              <a:srgbClr val="74E7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'Risk Count'!$J$56:$K$56</c:f>
              <c:strCache>
                <c:ptCount val="2"/>
                <c:pt idx="0">
                  <c:v>Pre-mitigated</c:v>
                </c:pt>
                <c:pt idx="1">
                  <c:v>Post-mitigated</c:v>
                </c:pt>
              </c:strCache>
            </c:strRef>
          </c:cat>
          <c:val>
            <c:numRef>
              <c:f>'Risk Count'!$J$59:$K$59</c:f>
              <c:numCache>
                <c:formatCode>General</c:formatCode>
                <c:ptCount val="2"/>
                <c:pt idx="0">
                  <c:v>4</c:v>
                </c:pt>
                <c:pt idx="1">
                  <c:v>12</c:v>
                </c:pt>
              </c:numCache>
            </c:numRef>
          </c:val>
          <c:extLst>
            <c:ext xmlns:c16="http://schemas.microsoft.com/office/drawing/2014/chart" uri="{C3380CC4-5D6E-409C-BE32-E72D297353CC}">
              <c16:uniqueId val="{00000002-838D-42EA-91E2-01175F54DD67}"/>
            </c:ext>
          </c:extLst>
        </c:ser>
        <c:dLbls>
          <c:dLblPos val="inEnd"/>
          <c:showLegendKey val="0"/>
          <c:showVal val="1"/>
          <c:showCatName val="0"/>
          <c:showSerName val="0"/>
          <c:showPercent val="0"/>
          <c:showBubbleSize val="0"/>
        </c:dLbls>
        <c:gapWidth val="219"/>
        <c:overlap val="-27"/>
        <c:axId val="852407488"/>
        <c:axId val="852408568"/>
      </c:barChart>
      <c:catAx>
        <c:axId val="85240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852408568"/>
        <c:crosses val="autoZero"/>
        <c:auto val="1"/>
        <c:lblAlgn val="ctr"/>
        <c:lblOffset val="100"/>
        <c:noMultiLvlLbl val="0"/>
      </c:catAx>
      <c:valAx>
        <c:axId val="852408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40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000" b="0" i="0" u="none" strike="noStrike" kern="1200" spc="0" baseline="0">
                <a:solidFill>
                  <a:sysClr val="windowText" lastClr="000000"/>
                </a:solidFill>
              </a:rPr>
              <a:t>EIC CD-3B Risk Profile by Category</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strRef>
              <c:f>'Risk Count'!$I$63</c:f>
              <c:strCache>
                <c:ptCount val="1"/>
                <c:pt idx="0">
                  <c:v>High</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'Risk Count'!$J$62:$K$62</c:f>
              <c:strCache>
                <c:ptCount val="2"/>
                <c:pt idx="0">
                  <c:v>Pre-mitigated</c:v>
                </c:pt>
                <c:pt idx="1">
                  <c:v>Post-mitigated</c:v>
                </c:pt>
              </c:strCache>
            </c:strRef>
          </c:cat>
          <c:val>
            <c:numRef>
              <c:f>'Risk Count'!$J$63:$K$63</c:f>
              <c:numCache>
                <c:formatCode>General</c:formatCode>
                <c:ptCount val="2"/>
                <c:pt idx="0">
                  <c:v>4</c:v>
                </c:pt>
                <c:pt idx="1">
                  <c:v>0</c:v>
                </c:pt>
              </c:numCache>
            </c:numRef>
          </c:val>
          <c:extLst>
            <c:ext xmlns:c16="http://schemas.microsoft.com/office/drawing/2014/chart" uri="{C3380CC4-5D6E-409C-BE32-E72D297353CC}">
              <c16:uniqueId val="{00000000-1A65-48FE-9B56-57984F4A2B76}"/>
            </c:ext>
          </c:extLst>
        </c:ser>
        <c:ser>
          <c:idx val="1"/>
          <c:order val="1"/>
          <c:tx>
            <c:strRef>
              <c:f>'Risk Count'!$I$64</c:f>
              <c:strCache>
                <c:ptCount val="1"/>
                <c:pt idx="0">
                  <c:v>Moderate</c:v>
                </c:pt>
              </c:strCache>
            </c:strRef>
          </c:tx>
          <c:spPr>
            <a:solidFill>
              <a:srgbClr val="FFFF00"/>
            </a:solidFill>
            <a:ln>
              <a:solidFill>
                <a:srgbClr val="F6E87E"/>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'Risk Count'!$J$62:$K$62</c:f>
              <c:strCache>
                <c:ptCount val="2"/>
                <c:pt idx="0">
                  <c:v>Pre-mitigated</c:v>
                </c:pt>
                <c:pt idx="1">
                  <c:v>Post-mitigated</c:v>
                </c:pt>
              </c:strCache>
            </c:strRef>
          </c:cat>
          <c:val>
            <c:numRef>
              <c:f>'Risk Count'!$J$64:$K$64</c:f>
              <c:numCache>
                <c:formatCode>General</c:formatCode>
                <c:ptCount val="2"/>
                <c:pt idx="0">
                  <c:v>12</c:v>
                </c:pt>
                <c:pt idx="1">
                  <c:v>2</c:v>
                </c:pt>
              </c:numCache>
            </c:numRef>
          </c:val>
          <c:extLst>
            <c:ext xmlns:c16="http://schemas.microsoft.com/office/drawing/2014/chart" uri="{C3380CC4-5D6E-409C-BE32-E72D297353CC}">
              <c16:uniqueId val="{00000001-1A65-48FE-9B56-57984F4A2B76}"/>
            </c:ext>
          </c:extLst>
        </c:ser>
        <c:ser>
          <c:idx val="2"/>
          <c:order val="2"/>
          <c:tx>
            <c:strRef>
              <c:f>'Risk Count'!$I$65</c:f>
              <c:strCache>
                <c:ptCount val="1"/>
                <c:pt idx="0">
                  <c:v>Low</c:v>
                </c:pt>
              </c:strCache>
            </c:strRef>
          </c:tx>
          <c:spPr>
            <a:solidFill>
              <a:srgbClr val="74E7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'Risk Count'!$J$62:$K$62</c:f>
              <c:strCache>
                <c:ptCount val="2"/>
                <c:pt idx="0">
                  <c:v>Pre-mitigated</c:v>
                </c:pt>
                <c:pt idx="1">
                  <c:v>Post-mitigated</c:v>
                </c:pt>
              </c:strCache>
            </c:strRef>
          </c:cat>
          <c:val>
            <c:numRef>
              <c:f>'Risk Count'!$J$65:$K$65</c:f>
              <c:numCache>
                <c:formatCode>General</c:formatCode>
                <c:ptCount val="2"/>
                <c:pt idx="0">
                  <c:v>1</c:v>
                </c:pt>
                <c:pt idx="1">
                  <c:v>15</c:v>
                </c:pt>
              </c:numCache>
            </c:numRef>
          </c:val>
          <c:extLst>
            <c:ext xmlns:c16="http://schemas.microsoft.com/office/drawing/2014/chart" uri="{C3380CC4-5D6E-409C-BE32-E72D297353CC}">
              <c16:uniqueId val="{00000002-1A65-48FE-9B56-57984F4A2B76}"/>
            </c:ext>
          </c:extLst>
        </c:ser>
        <c:dLbls>
          <c:dLblPos val="inEnd"/>
          <c:showLegendKey val="0"/>
          <c:showVal val="1"/>
          <c:showCatName val="0"/>
          <c:showSerName val="0"/>
          <c:showPercent val="0"/>
          <c:showBubbleSize val="0"/>
        </c:dLbls>
        <c:gapWidth val="219"/>
        <c:overlap val="-27"/>
        <c:axId val="815213672"/>
        <c:axId val="815211512"/>
      </c:barChart>
      <c:catAx>
        <c:axId val="81521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815211512"/>
        <c:crosses val="autoZero"/>
        <c:auto val="1"/>
        <c:lblAlgn val="ctr"/>
        <c:lblOffset val="100"/>
        <c:noMultiLvlLbl val="0"/>
      </c:catAx>
      <c:valAx>
        <c:axId val="815211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213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cid:image001.png@01DA7614.DC60B600" TargetMode="External"/><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53</xdr:col>
      <xdr:colOff>0</xdr:colOff>
      <xdr:row>88</xdr:row>
      <xdr:rowOff>0</xdr:rowOff>
    </xdr:from>
    <xdr:to>
      <xdr:col>53</xdr:col>
      <xdr:colOff>152400</xdr:colOff>
      <xdr:row>88</xdr:row>
      <xdr:rowOff>152400</xdr:rowOff>
    </xdr:to>
    <xdr:pic>
      <xdr:nvPicPr>
        <xdr:cNvPr id="2" name="Picture 1" descr="​pdf icon">
          <a:extLst>
            <a:ext uri="{FF2B5EF4-FFF2-40B4-BE49-F238E27FC236}">
              <a16:creationId xmlns:a16="http://schemas.microsoft.com/office/drawing/2014/main" id="{B9ADA163-3459-1E8A-BB46-F771AAC027E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664660" y="914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398439</xdr:colOff>
      <xdr:row>53</xdr:row>
      <xdr:rowOff>144664</xdr:rowOff>
    </xdr:from>
    <xdr:to>
      <xdr:col>6</xdr:col>
      <xdr:colOff>804899</xdr:colOff>
      <xdr:row>75</xdr:row>
      <xdr:rowOff>138400</xdr:rowOff>
    </xdr:to>
    <xdr:graphicFrame macro="">
      <xdr:nvGraphicFramePr>
        <xdr:cNvPr id="2" name="Chart 1">
          <a:extLst>
            <a:ext uri="{FF2B5EF4-FFF2-40B4-BE49-F238E27FC236}">
              <a16:creationId xmlns:a16="http://schemas.microsoft.com/office/drawing/2014/main" id="{5BE367D9-97E4-915B-FC1B-82052F4593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137583</xdr:colOff>
      <xdr:row>55</xdr:row>
      <xdr:rowOff>52918</xdr:rowOff>
    </xdr:from>
    <xdr:to>
      <xdr:col>22</xdr:col>
      <xdr:colOff>550333</xdr:colOff>
      <xdr:row>77</xdr:row>
      <xdr:rowOff>222250</xdr:rowOff>
    </xdr:to>
    <xdr:graphicFrame macro="">
      <xdr:nvGraphicFramePr>
        <xdr:cNvPr id="4" name="Chart 3">
          <a:extLst>
            <a:ext uri="{FF2B5EF4-FFF2-40B4-BE49-F238E27FC236}">
              <a16:creationId xmlns:a16="http://schemas.microsoft.com/office/drawing/2014/main" id="{9C0F52A2-6B79-2AF3-E7A4-24D08B9D7A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48229</xdr:colOff>
      <xdr:row>1</xdr:row>
      <xdr:rowOff>207948</xdr:rowOff>
    </xdr:from>
    <xdr:to>
      <xdr:col>23</xdr:col>
      <xdr:colOff>381000</xdr:colOff>
      <xdr:row>8</xdr:row>
      <xdr:rowOff>848048</xdr:rowOff>
    </xdr:to>
    <xdr:pic>
      <xdr:nvPicPr>
        <xdr:cNvPr id="5" name="Picture 4">
          <a:extLst>
            <a:ext uri="{FF2B5EF4-FFF2-40B4-BE49-F238E27FC236}">
              <a16:creationId xmlns:a16="http://schemas.microsoft.com/office/drawing/2014/main" id="{BBA3C945-AE53-47AE-93C2-D694E25CB6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06629" y="393005"/>
          <a:ext cx="8257571" cy="4308586"/>
        </a:xfrm>
        <a:prstGeom prst="rect">
          <a:avLst/>
        </a:prstGeom>
      </xdr:spPr>
    </xdr:pic>
    <xdr:clientData/>
  </xdr:twoCellAnchor>
  <xdr:twoCellAnchor editAs="oneCell">
    <xdr:from>
      <xdr:col>10</xdr:col>
      <xdr:colOff>89244</xdr:colOff>
      <xdr:row>8</xdr:row>
      <xdr:rowOff>751039</xdr:rowOff>
    </xdr:from>
    <xdr:to>
      <xdr:col>22</xdr:col>
      <xdr:colOff>381000</xdr:colOff>
      <xdr:row>32</xdr:row>
      <xdr:rowOff>152489</xdr:rowOff>
    </xdr:to>
    <xdr:pic>
      <xdr:nvPicPr>
        <xdr:cNvPr id="7" name="Picture 6">
          <a:extLst>
            <a:ext uri="{FF2B5EF4-FFF2-40B4-BE49-F238E27FC236}">
              <a16:creationId xmlns:a16="http://schemas.microsoft.com/office/drawing/2014/main" id="{F2D07B9D-799D-40BF-98E1-E27D0ACFC4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47644" y="4604582"/>
          <a:ext cx="7606956" cy="60417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1606550</xdr:colOff>
      <xdr:row>24</xdr:row>
      <xdr:rowOff>73432</xdr:rowOff>
    </xdr:from>
    <xdr:to>
      <xdr:col>3</xdr:col>
      <xdr:colOff>155850</xdr:colOff>
      <xdr:row>35</xdr:row>
      <xdr:rowOff>156837</xdr:rowOff>
    </xdr:to>
    <xdr:pic>
      <xdr:nvPicPr>
        <xdr:cNvPr id="2" name="Picture 1">
          <a:extLst>
            <a:ext uri="{FF2B5EF4-FFF2-40B4-BE49-F238E27FC236}">
              <a16:creationId xmlns:a16="http://schemas.microsoft.com/office/drawing/2014/main" id="{5E80AA93-A41F-4707-8594-DB3704C39D81}"/>
            </a:ext>
          </a:extLst>
        </xdr:cNvPr>
        <xdr:cNvPicPr>
          <a:picLocks noChangeAspect="1"/>
        </xdr:cNvPicPr>
      </xdr:nvPicPr>
      <xdr:blipFill>
        <a:blip xmlns:r="http://schemas.openxmlformats.org/officeDocument/2006/relationships" r:embed="rId1"/>
        <a:stretch>
          <a:fillRect/>
        </a:stretch>
      </xdr:blipFill>
      <xdr:spPr>
        <a:xfrm>
          <a:off x="2216150" y="7131457"/>
          <a:ext cx="3302275" cy="217890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rinivasan, Ram" id="{699E7F08-CA67-4B82-900B-1678E708905A}" userId="S::rsrinivas@bnl.gov::eb9fb5e5-f129-4d9a-96aa-00ee73247059"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brookhavenlab-my.sharepoint.com/M:/M:/Projects/EIC/RISK/EIC%20Procurements%20over%20250K%20with%20Hatton%20Markupsv2-fw.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nluser" refreshedDate="44560.532198842593" createdVersion="6" refreshedVersion="6" minRefreshableVersion="3" recordCount="581" xr:uid="{47A9ADF8-336C-4408-8423-387808EF7BED}">
  <cacheSource type="worksheet">
    <worksheetSource ref="A1:J582" sheet="over $250K P6 Data" r:id="rId2"/>
  </cacheSource>
  <cacheFields count="10">
    <cacheField name="Activity ID" numFmtId="0">
      <sharedItems count="581">
        <s v="  RD_0303_1160"/>
        <s v="  RD_0303_1360"/>
        <s v="  RD_0303_2060"/>
        <s v="  RD_0309_1360"/>
        <s v="  RD_0309_1185"/>
        <s v="  RD_0309_1260"/>
        <s v="  RD_0309_5180"/>
        <s v="  RD_0310_1680"/>
        <s v="  RD_0310_1193"/>
        <s v="  RD_0310_1187"/>
        <s v="  RD_0310_1186"/>
        <s v="  RD_0310_1194"/>
        <s v="  RD_0310_1185"/>
        <s v="  RD_0310_1195"/>
        <s v="  RD_0310_1108"/>
        <s v="  RD_0310_1107"/>
        <s v="  RD_0310_1106"/>
        <s v="  RD_0310_1240"/>
        <s v="  RD_0310_1290"/>
        <s v="  RD_0310_1488"/>
        <s v="  RD_0310_1700"/>
        <s v="  RD_0310_1940"/>
        <s v="  EJ_0201_1820"/>
        <s v="  EJ_0201_1920"/>
        <s v="  EJ_0201_1700"/>
        <s v="  EJ_0201_2280"/>
        <s v="  EJ_0201_2380"/>
        <s v="  EJ_0201_2160"/>
        <s v="  EJ_0201_2620"/>
        <s v="  EJ_0201_2840"/>
        <s v="  EJ_0201_2845"/>
        <s v="  EJ_0201_2980"/>
        <s v="  EJ_0201_1360"/>
        <s v="  EJ_0201_1460"/>
        <s v="  EJ_0201_1240"/>
        <s v="  EJ_0202_1300"/>
        <s v="  EJ_0202_1460"/>
        <s v="  EJ_0202_1620"/>
        <s v="  EJ_0202_1120"/>
        <s v="  EJ_0203_1220"/>
        <s v="  EJ_0203_1560"/>
        <s v="  EJ_0203_1660"/>
        <s v="  EJ_0203_1440"/>
        <s v="  EJ_0205_1440"/>
        <s v="  EJ_0205_1600"/>
        <s v="  EJ_0205_1720"/>
        <s v="  EJ_0205_8360"/>
        <s v="  EJ_0301_1120"/>
        <s v="  EJ_0301_1340"/>
        <s v="  IR_0302_3580"/>
        <s v="  IR_0302_4220"/>
        <s v="  IR_0302_3780"/>
        <s v="  IR_0302_3980"/>
        <s v="  IR_0302_3120"/>
        <s v="  IR_0302_3400"/>
        <s v="  IR_0302_4020"/>
        <s v="  IR_0302_3280"/>
        <s v="  IR_0302_3660"/>
        <s v="  IR_0302_4000"/>
        <s v="  IR_0302_3800"/>
        <s v="  IR_0302_4040"/>
        <s v="  IR_0302_4400"/>
        <s v="  EJ_0303_2300"/>
        <s v="  EJ_0304_7280"/>
        <s v="  EJ_0305_1080"/>
        <s v="  EJ_0305_4100"/>
        <s v="  EJ_0305_5080"/>
        <s v="  EJ_0305_5220"/>
        <s v="  EJ_0305_6100"/>
        <s v="  EJ_0305_6260"/>
        <s v="  EJ_0305_8100"/>
        <s v="  EJ_0305_8260"/>
        <s v="  EJ_040102_1280"/>
        <s v="  EJ_040102_1500"/>
        <s v="  EJ_040102_1080"/>
        <s v="  EJ_040102_1180"/>
        <s v="  EJ_040102_1315"/>
        <s v="  EJ_040102_1680"/>
        <s v="  EJ_0401_1150"/>
        <s v="  EJ_0401_1680"/>
        <s v="  EJ_0401_1500"/>
        <s v="  EJ_0401_1040"/>
        <s v="  EJ_0401_1380"/>
        <s v="  EJ_0401_2270"/>
        <s v="  EJ_0401_2280"/>
        <s v="  EJ_0401_2580"/>
        <s v="  EJ_0401_5400"/>
        <s v="  EJ_0401_6960"/>
        <s v="  EJ_0402_4060"/>
        <s v="  SR_0200_1320"/>
        <s v="  SR_0200_1220"/>
        <s v="  SR_0200_2120"/>
        <s v="  SR_0200_2220"/>
        <s v="  SR_0200_2700"/>
        <s v="  SR_0200_1680"/>
        <s v="  SR_0200_1780"/>
        <s v="  SR_0200_2460"/>
        <s v="  SR_0300_1260"/>
        <s v="  SR_0300_1880"/>
        <s v="  SR_0300_1080"/>
        <s v="  SR_0300_1085"/>
        <s v="  SR_0300_1086"/>
        <s v="  SR_0300_1660"/>
        <s v="  SR_0300_1460"/>
        <s v="  SR_0300_1760"/>
        <s v="  SR_0300_1360"/>
        <s v="  SR_0300_1560"/>
        <s v="  SR_0300_2040"/>
        <s v="  SR_0300_2200"/>
        <s v="  SR_0401_1180"/>
        <s v="  SR_0402_1160"/>
        <s v="  SR_0403_1160"/>
        <s v="  SR_0404_1160"/>
        <s v="  SR_0405_1160"/>
        <s v="  SR_0407_1160"/>
        <s v="  SR_0601_1620"/>
        <s v="  SR_0601_1760"/>
        <s v="  SR_0601_1440"/>
        <s v="  SR_0603_1200"/>
        <s v="  SR_0604_1360"/>
        <s v="  HR_0202_1100"/>
        <s v="  HR_0202_1080"/>
        <s v="  HR_0202_1420"/>
        <s v="  HR_0202_1720"/>
        <s v="  HR_0202_1960"/>
        <s v="  HR_0202_1480"/>
        <s v="  HR_0202_1200"/>
        <s v="  HR_0202_1620"/>
        <s v="  HR_0202_1725"/>
        <s v="  HR_0202_1730"/>
        <s v="  HR_0203_1540"/>
        <s v="  HR_0203_1420"/>
        <s v="  HR_0203_1200"/>
        <s v="  HR_0401_1080"/>
        <s v="  HR_0402_2620"/>
        <s v="  HR_0402_2800"/>
        <s v="  HR_0402_2360"/>
        <s v="  HR_0402_2600"/>
        <s v="  HR_0402_1940"/>
        <s v="  HR_0402_2140"/>
        <s v="  HR_0402_3040"/>
        <s v="  HR_0402_1080"/>
        <s v="  HR_0402_1420"/>
        <s v="  HR_0402_2700"/>
        <s v="  HR_0402_1960"/>
        <s v="  HR_0402_1200"/>
        <s v="  HR_0402_1480"/>
        <s v="  HR_0402_1620"/>
        <s v="  HR_0402_2160"/>
        <s v="  HR_0402_1980"/>
        <s v="  HR_0402_2180"/>
        <s v="  HR_0402_2920"/>
        <s v="  HR_0403_1200"/>
        <s v="  HR_0404_2000"/>
        <s v="  HR_0404_1820"/>
        <s v="  HR_0500_2080"/>
        <s v="  HR_0500_1100"/>
        <s v="  HR_0500_1460"/>
        <s v="  HR_0500_1810"/>
        <s v="  HR_0500_1980"/>
        <s v="  HR_0500_1750"/>
        <s v="  HR_0601_1210"/>
        <s v="  HR_0601_1240"/>
        <s v="  HR_0601_1360"/>
        <s v="  HR_0601_1300"/>
        <s v="  HR_0602_1120"/>
        <s v="  HR_0700_1040"/>
        <s v="  HR_0802_1260"/>
        <s v="  HR_0801_1510"/>
        <s v="  HR_0804_1080"/>
        <s v="  HR_0804_1200"/>
        <s v="  HR_0804_4800"/>
        <s v="  HR_0804_5400"/>
        <s v="  HR_0804_6000"/>
        <s v="  HR_0804_5740"/>
        <s v="  HR_0807_0080"/>
        <s v="  HR_0807_2080"/>
        <s v="  HR_0807_4080"/>
        <s v="  HR_0807_8080"/>
        <s v="  HR_0809_1460"/>
        <s v="  HR_0809_1660"/>
        <s v="  HR_0809_1260"/>
        <s v="  HR_0809_1360"/>
        <s v="  HR_0809_1560"/>
        <s v="  HR_0809_1685"/>
        <s v="  HR_0810_1020"/>
        <s v="  IR_0211_2800"/>
        <s v="  IR_0211_2620"/>
        <s v="  IR_0211_2940"/>
        <s v="  IR_0211_6120"/>
        <s v="  IR_0211_6300"/>
        <s v="  IR_0211_6440"/>
        <s v="  IR_0211_4300"/>
        <s v="  IR_0211_1300"/>
        <s v="  IR_0211_3800"/>
        <s v="  IR_0211_4120"/>
        <s v="  IR_0211_1800"/>
        <s v="  IR_0211_1120"/>
        <s v="  IR_0211_3620"/>
        <s v="  IR_0211_1620"/>
        <s v="  IR_0211_2300"/>
        <s v="  IR_0211_5620"/>
        <s v="  IR_0211_4440"/>
        <s v="  IR_0211_2120"/>
        <s v="  IR_0211_1440"/>
        <s v="  IR_0211_5800"/>
        <s v="  IR_0211_3940"/>
        <s v="  IR_0211_1940"/>
        <s v="  IR_0211_3300"/>
        <s v="  IR_0211_4800"/>
        <s v="  IR_0211_2440"/>
        <s v="  IR_0211_3120"/>
        <s v="  IR_0211_5940"/>
        <s v="  IR_0211_4620"/>
        <s v="  IR_0211_5120"/>
        <s v="  IR_0211_5300"/>
        <s v="  IR_0211_3440"/>
        <s v="  IR_0211_4940"/>
        <s v="  IR_0211_5440"/>
        <s v="  IR_0212_1080"/>
        <s v="  IR_0212_1260"/>
        <s v="  IR_0212_1440"/>
        <s v="  IR_0212_1620"/>
        <s v="  IR_0212_1800"/>
        <s v="  IR_0213_1080"/>
        <s v="  IR_0215_1040"/>
        <s v="  IR_0215_1220"/>
        <s v="  IR_0215_1280"/>
        <s v="  IR_0202_1140"/>
        <s v="  IR_0202_1380"/>
        <s v="  IR_0203_1440"/>
        <s v="  IR_0203_1100"/>
        <s v="  IR_0203_1300"/>
        <s v="  IR_0203_1080"/>
        <s v="  IR_0203_1200"/>
        <s v="  IR_0203_1645"/>
        <s v="  IR_0204_1160"/>
        <s v="  IR_0206_1320"/>
        <s v="  IR_0207_1120"/>
        <s v="  IR_0207_1100"/>
        <s v="  IR_0207_1160"/>
        <s v="  IR_0207_1140"/>
        <s v="  IR_0208_1720"/>
        <s v="  IR_0208_1080"/>
        <s v="  EJ_0305_9100"/>
        <s v="  EJ_0305_9260"/>
        <s v="  IR_0204_1380"/>
        <s v="  HR_0603_2960"/>
        <s v="  AS_0302_1480"/>
        <s v="  AS_0302_2440"/>
        <s v="  AS_0305_2220"/>
        <s v="  AS_0307_1920"/>
        <s v="  AS_0307_1640"/>
        <s v="  AS_0307_1540"/>
        <s v="  AS_0302_1180"/>
        <s v="  AS_0302_3290"/>
        <s v="  AS_0302_3350"/>
        <s v="  RD_0305_1680"/>
        <s v="  RD_0305_1220"/>
        <s v="  RD_0308_1160"/>
        <s v="  RD_0304_2020"/>
        <s v="  HR_0305_1530"/>
        <s v="  HR_0305_1610"/>
        <s v="  RD_0304_2200"/>
        <s v="  IR_0205_2050"/>
        <s v="  SR_0501_1120"/>
        <s v="  SR_0501_1180"/>
        <s v="  EJ_0204_1120"/>
        <s v="  EJ_0204_1180"/>
        <s v="  HR_0805_1000"/>
        <s v="  HR_0305_1000"/>
        <s v="  HR_0805_5100"/>
        <s v="  HR_0805_5160"/>
        <s v="  IR_0205_2080"/>
        <s v="  IR_0205_5050"/>
        <s v="  IR_0205_5080"/>
        <s v="  HR_0805_6410"/>
        <s v="  EJ_0204_2050"/>
        <s v="  EJ_0204_2410"/>
        <s v="  HR_0301_1100"/>
        <s v="  HR_0301_1160"/>
        <s v="  HR_0302_1100"/>
        <s v="  HR_0302_1160"/>
        <s v="  HR_0303_1100"/>
        <s v="  HR_0303_1160"/>
        <s v="  HR_0304_1100"/>
        <s v="  HR_0304_1160"/>
        <s v="  HR_0805_6080"/>
        <s v="  SR_0501_1360"/>
        <s v="  SR_0501_1420"/>
        <s v="  SR_0501_1482"/>
        <s v="  HR_0805_6170"/>
        <s v="  HR_0805_6200"/>
        <s v="  HR_0805_1180"/>
        <s v="  HR_0805_1150"/>
        <s v="  EJ_0204_1360"/>
        <s v="  EJ_0204_1420"/>
        <s v="  HR_0305_1162"/>
        <s v="  IR_0205_2170"/>
        <s v="  IR_0205_2200"/>
        <s v="  IR_0205_5170"/>
        <s v="  IR_0205_5200"/>
        <s v="  EJ_0204_2170"/>
        <s v="  EJ_0204_2200"/>
        <s v="  EJ_0204_2530"/>
        <s v="  HR_0302_1340"/>
        <s v="  HR_0302_1400"/>
        <s v="  HR_0303_1340"/>
        <s v="  HR_0303_1400"/>
        <s v="  HR_0805_5340"/>
        <s v="  HR_0805_5400"/>
        <s v="  HR_0805_6530"/>
        <s v="  EJ_0204_1600"/>
        <s v="  EJ_0204_1660"/>
        <s v="  SR_0501_1600"/>
        <s v="  SR_0501_1660"/>
        <s v="  HR_0301_1580"/>
        <s v="  HR_0301_1640"/>
        <s v="  HR_0304_1580"/>
        <s v="  HR_0304_1640"/>
        <s v="  HR_0805_6290"/>
        <s v="  HR_0805_6320"/>
        <s v="  HR_0805_1360"/>
        <s v="  HR_0805_1420"/>
        <s v="  IR_0205_2290"/>
        <s v="  IR_0205_2320"/>
        <s v="  IR_0205_5290"/>
        <s v="  IR_0205_5320"/>
        <s v="  HR_0808_1220"/>
        <s v="  AS_0205_1220"/>
        <s v="  AS_0204_1260"/>
        <s v="  HR_0808_1240"/>
        <s v="  AS_0204_1240"/>
        <s v="  AS_0205_1240"/>
        <s v="  HR_0808_1260"/>
        <s v="  AS_0204_1320"/>
        <s v="  AS_0205_1260"/>
        <s v="  AS_0207_1080"/>
        <s v="  AS_0201_1160"/>
        <s v="  AS_0203_1260"/>
        <s v="  AS_0203_1280"/>
        <s v="  AS_0207_1100"/>
        <s v="  AS_0201_1180"/>
        <s v="  HR_0808_1200"/>
        <s v="  AS_0204_1200"/>
        <s v="  AS_0205_1200"/>
        <s v="  AS_0204_1160"/>
        <s v="  HR_0808_1160"/>
        <s v="  AS_0205_1160"/>
        <s v="  AS_0203_1160"/>
        <s v="  AS_0205_1100"/>
        <s v="  HR_0808_1100"/>
        <s v="  AS_0204_1100"/>
        <s v="  AS_0203_1100"/>
        <s v="  DE_0200_2120"/>
        <s v="  DE_0200_2130"/>
        <s v="  DE_0200_2110"/>
        <s v="  DE_0200_2260"/>
        <s v="  DE_0300_3150"/>
        <s v="  DE_0300_3171"/>
        <s v="  DE_0300_3172"/>
        <s v="  DE_0300_3220"/>
        <s v="  DE_0300_3180"/>
        <s v="  DE_0300_3230"/>
        <s v="  DE_0400_4244"/>
        <s v="  DE_0400_4261"/>
        <s v="  DE_0400_4161"/>
        <s v="  DE_0400_4150"/>
        <s v="  DE_0400_4263"/>
        <s v="  DE_0500_3082"/>
        <s v="  DE_0500_3375"/>
        <s v="  DE_0500_3380"/>
        <s v="  DE_0500_3080"/>
        <s v="  DE_0500_3240"/>
        <s v="  DE_0600_3074"/>
        <s v="  DE_0600_3073"/>
        <s v="  DE_0600_3072"/>
        <s v="  DE_0700_3560"/>
        <s v="  DE_0800_3080"/>
        <s v="  DE_0800_3031"/>
        <s v="  DE_0900_3101"/>
        <s v="  DE_1000_3150"/>
        <s v="  DE_1100_3080"/>
        <s v="  IR_0301_1160"/>
        <s v="  IR_0301_1140"/>
        <s v="  IR_0301_1120"/>
        <s v="  IR_0301_3160"/>
        <s v="  IR_0301_3140"/>
        <s v="  IR_0301_3120"/>
        <s v="  IR_0302_1143"/>
        <s v="  IF_2102_1140"/>
        <s v="  IF_2102_1160"/>
        <s v="  IF_2102_1240"/>
        <s v="  IF_2102_1220"/>
        <s v="  IF_2102_1200"/>
        <s v="  IF_2102_1320"/>
        <s v="  IF_2102_1300"/>
        <s v="  IF_2102_1280"/>
        <s v="  IF_2102_1180"/>
        <s v="  IF_2102_1260"/>
        <s v="  IF_2102_1340"/>
        <s v="  IF_0103_1340"/>
        <s v="  IF_0103_1320"/>
        <s v="  IF_0103_1300"/>
        <s v="  IF_0103_1360"/>
        <s v="  IF_0103_1620"/>
        <s v="  IF_0103_1600"/>
        <s v="  IF_0103_1580"/>
        <s v="  IF_0103_1540"/>
        <s v="  IF_0103_1643"/>
        <s v="  IF_0103_1642"/>
        <s v="  IF_0103_1641"/>
        <s v="  IF_0103_1640"/>
        <s v="  IF_0103_1644"/>
        <s v="  IF_0103_1560"/>
        <s v="  IF_0103_1443"/>
        <s v="  IF_0103_1442"/>
        <s v="  IF_0103_1441"/>
        <s v="  IF_0103_1440"/>
        <s v="  IF_0103_1420"/>
        <s v="  IF_0103_1400"/>
        <s v="  IF_0103_1380"/>
        <s v="  IF_0103_1444"/>
        <s v="  IF_0103_1500"/>
        <s v="  IF_0103_1480"/>
        <s v="  IF_0103_1523"/>
        <s v="  IF_0103_1522"/>
        <s v="  IF_0103_1521"/>
        <s v="  IF_0103_1520"/>
        <s v="  IF_0103_1524"/>
        <s v="  IF_0103_1460"/>
        <s v="  IF_0202_1060"/>
        <s v="  IF_0202_1020"/>
        <s v="  IF_0202_1040"/>
        <s v="  IF_0202_1000"/>
        <s v="  IF_0202_1100"/>
        <s v="  IF_0202_1120"/>
        <s v="  IF_0202_1080"/>
        <s v="  IF_0203_1060"/>
        <s v="  IF_0203_1040"/>
        <s v="  IF_0203_1020"/>
        <s v="  IF_0203_1000"/>
        <s v="  IF_0203_1140"/>
        <s v="  IF_0203_1120"/>
        <s v="  IF_0203_1100"/>
        <s v="  IF_0203_1080"/>
        <s v="  IF_0203_1220"/>
        <s v="  IF_0203_1200"/>
        <s v="  IF_0203_1180"/>
        <s v="  IF_0203_1160"/>
        <s v="  IF_0204_1060"/>
        <s v="  IF_0204_1020"/>
        <s v="  IF_0204_1040"/>
        <s v="  IF_0204_1000"/>
        <s v="  IF_0204_1140"/>
        <s v="  IF_0204_1120"/>
        <s v="  IF_0204_1100"/>
        <s v="  IF_0204_1080"/>
        <s v="  IF_0204_1220"/>
        <s v="  IF_0204_1180"/>
        <s v="  IF_0204_1200"/>
        <s v="  IF_0204_1160"/>
        <s v="  IF_0204_1300"/>
        <s v="  IF_0204_1260"/>
        <s v="  IF_0204_1280"/>
        <s v="  IF_0204_1240"/>
        <s v="  IF_0204_1340"/>
        <s v="  IF_0204_1320"/>
        <s v="  IF_0204_1360"/>
        <s v="  IF_0205_1060"/>
        <s v="  IF_0205_1040"/>
        <s v="  IF_0205_1020"/>
        <s v="  IF_0205_1000"/>
        <s v="  IF_0205_1140"/>
        <s v="  IF_0205_1120"/>
        <s v="  IF_0205_1100"/>
        <s v="  IF_0205_1080"/>
        <s v="  IF_0205_1220"/>
        <s v="  IF_0205_1200"/>
        <s v="  IF_0205_1180"/>
        <s v="  IF_0205_1160"/>
        <s v="  IF_0205_1300"/>
        <s v="  IF_0205_1280"/>
        <s v="  IF_0205_1260"/>
        <s v="  IF_0205_1240"/>
        <s v="  IF_0205_1380"/>
        <s v="  IF_0205_1360"/>
        <s v="  IF_0205_1340"/>
        <s v="  IF_0205_1320"/>
        <s v="  IF_0205_1460"/>
        <s v="  IF_0205_1440"/>
        <s v="  IF_0205_1420"/>
        <s v="  IF_0205_1400"/>
        <s v="  IF_0206_1060"/>
        <s v="  IF_0206_1040"/>
        <s v="  IF_0206_1020"/>
        <s v="  IF_0206_1000"/>
        <s v="  IF_0206_1140"/>
        <s v="  IF_0206_1120"/>
        <s v="  IF_0206_1100"/>
        <s v="  IF_0206_1080"/>
        <s v="  IF_0207_1040"/>
        <s v="  IF_0207_1080"/>
        <s v="  IF_0207_1000"/>
        <s v="  IF_0207_1020"/>
        <s v="  IF_0207_1060"/>
        <s v="  IF_0208_1000"/>
        <s v="  IF_0208_1240"/>
        <s v="  IF_0208_1160"/>
        <s v="  IF_0208_1280"/>
        <s v="  IF_0208_1180"/>
        <s v="  IF_0208_1260"/>
        <s v="  IF_0208_1200"/>
        <s v="  IF_0301_2005"/>
        <s v="  IF_0301_1620"/>
        <s v="  IF_0301_2015"/>
        <s v="  IF_0301_1520"/>
        <s v="  IF_0301_1780"/>
        <s v="  IF_0302_1100"/>
        <s v="  IF_0303_1240"/>
        <s v="  IF_0303_1245"/>
        <s v="  IF_0303_1120"/>
        <s v="  IF_0304_1460"/>
        <s v="  IF_0304_1360"/>
        <s v="  IF_0304_1580"/>
        <s v="  IF_0304_1780"/>
        <s v="  IF_0304_1740"/>
        <s v="  IF_0304_1620"/>
        <s v="  IF_0304_1120"/>
        <s v="  IF_0304_1220"/>
        <s v="  IF_0305_1060"/>
        <s v="  IF_0305_1380"/>
        <s v="  IF_0305_1420"/>
        <s v="  IF_0306_1440"/>
        <s v="  IF_0306_1370"/>
        <s v="  IF_0306_1080"/>
        <s v="  IF_0307_1320"/>
        <s v="  IF_0307_1080"/>
        <s v="  IF_0307_1240"/>
        <s v="  IF_0307_1200"/>
        <s v="  IF_0307_1340"/>
        <s v="  IF_0307_1120"/>
        <s v="  IF_0401_1240"/>
        <s v="  IF_0401_1320"/>
        <s v="  IF_0401_1140"/>
        <s v="  IF_0401_1200"/>
        <s v="  IF_0401_1100"/>
        <s v="  IF_0401_1280"/>
        <s v="  IF_5000_5120"/>
        <s v="  IF_0402_1100"/>
        <s v="  IF_0402_1140"/>
        <s v="  IF_0402_1081"/>
        <s v="  IF_0402_1620"/>
        <s v="  IF_0402_1420"/>
        <s v="  IF_5000_5660"/>
        <s v="  IF_5000_5710"/>
        <s v="  IF_5000_5730"/>
        <s v="  IF_5000_5640"/>
        <s v="  IF_5000_5600"/>
        <s v="  IF_5000_5606"/>
        <s v="  IF_0402_1083"/>
        <s v="  IF_0402_1740"/>
        <s v="  IF_0402_1460"/>
        <s v="  IF_0402_1880"/>
        <s v="  IF_0402_1085"/>
        <s v="  IF_0402_1762"/>
        <s v="  IF_0402_1162"/>
        <s v="  IF_0402_1088"/>
        <s v="  IF_0402_2000"/>
        <s v="  IF_0402_1766"/>
        <s v="  IF_0402_1166"/>
        <s v="  IF_0403_1100"/>
        <s v="  IF_0403_1260"/>
        <s v="  IF_0403_1520"/>
        <s v="  IF_0403_1420"/>
        <s v="  IF_0403_1140"/>
        <s v="  IF_0403_1300"/>
        <s v="  IF_0403_1460"/>
        <s v="  IF_0403_1560"/>
        <s v="  IF_0403_1660"/>
        <s v="  IF_0403_1620"/>
      </sharedItems>
    </cacheField>
    <cacheField name="Procurement Code" numFmtId="0">
      <sharedItems count="270">
        <s v="S.P074"/>
        <s v="S.P079"/>
        <s v="S.P162"/>
        <s v="S.P073"/>
        <s v="S.P160"/>
        <s v="S.P161"/>
        <s v="S.P163"/>
        <s v="A.PP003"/>
        <s v="A.PP021"/>
        <s v="S.P164"/>
        <s v="S.P165"/>
        <s v="S.P166"/>
        <s v="S.P167"/>
        <s v="S.P168"/>
        <s v="S.P169"/>
        <s v="A.PP088"/>
        <s v="A.PP107"/>
        <s v="S.P003"/>
        <s v="A.PP028"/>
        <s v="A.PP029"/>
        <s v="S.P085"/>
        <s v="S.P010"/>
        <s v="D.APP36"/>
        <s v="S.P025"/>
        <s v="D.APP15"/>
        <s v="D.APP33"/>
        <s v="S.P002"/>
        <s v="D.APP01"/>
        <s v="D.APP02"/>
        <s v="D.APP03"/>
        <s v="D.APP23"/>
        <s v="A.PP048"/>
        <s v="S.P078"/>
        <s v="A.PP004"/>
        <s v="S.P067"/>
        <s v="S.P001"/>
        <s v="S.P136"/>
        <s v="S.P138"/>
        <s v="S.P046"/>
        <s v="S.P005"/>
        <s v="S.P026"/>
        <s v="A.PP022"/>
        <s v="A.PP023"/>
        <s v="D.APP30"/>
        <s v="D.APP42"/>
        <s v="S.P043"/>
        <s v="S.P057"/>
        <s v="S.P091"/>
        <s v="S.P095"/>
        <s v="S.P062"/>
        <s v="S.P126"/>
        <s v="S.P022"/>
        <s v="S.P023"/>
        <s v="S.P024"/>
        <s v="S.P029"/>
        <s v="S.P032"/>
        <s v="S.P038"/>
        <s v="S.P048"/>
        <s v="S.P080"/>
        <s v="S.P004"/>
        <s v="S.P031"/>
        <s v="S.P047"/>
        <s v="S.P090"/>
        <s v="S.P096"/>
        <s v="D.APP09.A"/>
        <s v="D.APP09.B"/>
        <s v="S.P105"/>
        <s v="S.P127"/>
        <s v="S.P044"/>
        <s v="S.P112"/>
        <s v="D.APP16"/>
        <s v="D.APP18"/>
        <s v="A.PP009"/>
        <s v="D.APP35"/>
        <s v="A.PP112"/>
        <s v="A.PP113"/>
        <s v="S.P049"/>
        <s v="D.APP29"/>
        <s v="D25.APP05"/>
        <s v="S.P111"/>
        <s v="D.APP27"/>
        <s v="S.P107"/>
        <s v="S.P075"/>
        <s v="A.PP026"/>
        <s v="S.P133"/>
        <s v="S.P134"/>
        <s v="S.P140"/>
        <s v="S.P137"/>
        <s v="S.P132"/>
        <s v="S.P018"/>
        <s v="A.PP027"/>
        <s v="S.P028"/>
        <s v="S.P114"/>
        <s v="S.P013"/>
        <s v="S.P115"/>
        <s v="A.PP057"/>
        <s v="S.P008"/>
        <s v="A.PP064"/>
        <s v="S.P027"/>
        <s v="S.P050"/>
        <s v="S.P059"/>
        <s v="S.P093"/>
        <s v="S.P123"/>
        <s v="S.P053"/>
        <s v="S.P125"/>
        <s v="S.P130"/>
        <s v="S.P142"/>
        <s v="S.P045"/>
        <s v="S.P051"/>
        <s v="S.P124"/>
        <s v="S.P006"/>
        <s v="A.PP042"/>
        <s v="S.P009"/>
        <s v="S.P116"/>
        <s v="S.P117"/>
        <s v="S.P118"/>
        <s v="S.P120"/>
        <s v="S.P129"/>
        <s v="S.P131"/>
        <s v="S.P141"/>
        <s v="S.P139"/>
        <s v="S.P019"/>
        <s v="D.APP05"/>
        <s v="A.PP013"/>
        <s v="A.PP016"/>
        <s v="A.PP017"/>
        <s v="A.PP018"/>
        <s v="A.PP019"/>
        <s v="S.P007"/>
        <s v="S.P092"/>
        <s v="S.P184"/>
        <s v="D25.APP03"/>
        <s v="S.P012"/>
        <s v="A.PP012"/>
        <s v="A.PP001.B"/>
        <s v="S.P135"/>
        <s v="A.PP071"/>
        <s v="S.P015"/>
        <s v="S.P086"/>
        <s v="A.PP025"/>
        <s v="S.P089"/>
        <s v="S.P055"/>
        <s v="S.P128"/>
        <s v="S.P052"/>
        <s v="S.P094"/>
        <s v="S.P021"/>
        <s v="S.P066"/>
        <s v="S.P069"/>
        <s v="S.P108"/>
        <s v="A.PP069"/>
        <s v="S.P071"/>
        <s v="S.P072"/>
        <s v="S.P099"/>
        <s v="S.P110"/>
        <s v="S.P183"/>
        <s v="S.P106"/>
        <s v="D.APP12.A"/>
        <s v="D25.APP04.A"/>
        <s v="D25.APP04.B"/>
        <s v="A.PP007.A"/>
        <s v="A.PP007.B"/>
        <s v="D.APP04"/>
        <s v="S.P159"/>
        <s v="A.PP080.A"/>
        <s v="A.PP080.B"/>
        <s v="D.APP12.B"/>
        <s v="D.APP10.A"/>
        <s v="D.APP10.B"/>
        <s v="S.P103.A"/>
        <s v="S.P097.A"/>
        <s v="S.P098.A"/>
        <s v="S.P065.A"/>
        <s v="S.P065.B"/>
        <s v="S.P154.A"/>
        <s v="S.P154.B"/>
        <s v="S.P155.A"/>
        <s v="S.P155.B"/>
        <s v="S.P156.A"/>
        <s v="S.P156.B"/>
        <s v="S.P102.B"/>
        <s v="D50.APP01.A"/>
        <s v="D50.APP01.B"/>
        <s v="D50.APP01.C"/>
        <s v="D.APP41.A"/>
        <s v="D.APP41.B"/>
        <s v="A.PP093"/>
        <s v="S.P158.A"/>
        <s v="S.P146.A"/>
        <s v="S.P146.B"/>
        <s v="S.P121"/>
        <s v="A.PP054.A"/>
        <s v="A.PP054.B"/>
        <s v="A.PP024.A"/>
        <s v="A.PP024.B"/>
        <s v="S.P100.A"/>
        <s v="S.P100.B"/>
        <s v="S.P101.A"/>
        <s v="S.P157.A"/>
        <s v="S.P157.B"/>
        <s v="S.P149.A"/>
        <s v="S.P149.B"/>
        <s v="S.P150.A"/>
        <s v="S.P150.B"/>
        <s v="S.P104.A"/>
        <s v="S.P060.A"/>
        <s v="S.P060.B"/>
        <s v="S.P148.A"/>
        <s v="S.P148.B"/>
        <s v="S.P070.A"/>
        <s v="S.P070.B"/>
        <s v="S.P151.A"/>
        <s v="S.P151.B"/>
        <s v="S.P068.A"/>
        <s v="S.P068.B"/>
        <s v="S.P158.B"/>
        <s v="A.PP001.A"/>
        <s v="S.P016.A"/>
        <s v="S.P016.B"/>
        <s v="D25.APP06"/>
        <s v="S.P058"/>
        <s v="D.APP25"/>
        <s v="D.APP24"/>
        <s v="S.P076"/>
        <s v="S.P077"/>
        <s v="A.PP008"/>
        <s v="A.PP006"/>
        <s v="A.PP129"/>
        <s v="S.P056"/>
        <s v="S.P143"/>
        <s v="S.P144"/>
        <s v="A.PP030"/>
        <s v="D.APP37"/>
        <s v="S.P054"/>
        <s v="S.P063"/>
        <s v="D.APP11"/>
        <s v="D.APP38"/>
        <s v="A.PP142"/>
        <s v="D.APP07"/>
        <s v="S.P122"/>
        <s v="A.PP002"/>
        <s v="D.APP08"/>
        <s v="A.PP005"/>
        <s v="S.P113"/>
        <s v="S.P061"/>
        <s v="D.APP34"/>
        <s v="A.PP011"/>
        <s v="S.P082"/>
        <s v="S.P083"/>
        <s v="S.P084"/>
        <s v="D25.APP01.A"/>
        <s v="D25.APP02.A"/>
        <s v="A.PP097"/>
        <s v="D25.APP01.B"/>
        <s v="D25.APP02.B"/>
        <s v="D.APP14"/>
        <s v="A.PP014"/>
        <s v="A.PP020"/>
        <s v="S.P040"/>
        <s v="D.APP19"/>
        <s v="S.P041"/>
        <s v="A.PP082"/>
        <s v="S.P030"/>
        <s v="S.P081"/>
        <s v="A.PP068"/>
        <s v="S.P147"/>
        <s v="S.P042"/>
        <s v="D.APP20"/>
        <s v="S.P017"/>
        <s v="D25.APP07"/>
        <s v="D.APP06"/>
      </sharedItems>
    </cacheField>
    <cacheField name="BNL_Estimator" numFmtId="0">
      <sharedItems/>
    </cacheField>
    <cacheField name="BNL_WBS_Hierarchical" numFmtId="0">
      <sharedItems count="184">
        <s v="6.02.03.03.02"/>
        <s v="6.02.03.06.01"/>
        <s v="6.02.03.06.02"/>
        <s v="6.02.03.07"/>
        <s v="6.03.02.01.01"/>
        <s v="6.03.02.01.02"/>
        <s v="6.03.02.01.03"/>
        <s v="6.03.02.01.04"/>
        <s v="6.03.02.01.05"/>
        <s v="6.03.02.02.01"/>
        <s v="6.03.02.03"/>
        <s v="6.03.02.04.01"/>
        <s v="6.03.02.04.02"/>
        <s v="6.03.02.04.03"/>
        <s v="6.03.02.04.04"/>
        <s v="6.03.02.05.01"/>
        <s v="6.03.02.05.04"/>
        <s v="6.03.03.01"/>
        <s v="6.03.03.02"/>
        <s v="6.03.03.03"/>
        <s v="6.03.03.04.03"/>
        <s v="6.03.03.05.01"/>
        <s v="6.03.03.05.04"/>
        <s v="6.03.03.05.05"/>
        <s v="6.03.03.05.06"/>
        <s v="6.03.03.05.08"/>
        <s v="6.03.04.01.01"/>
        <s v="6.03.04.01.02"/>
        <s v="6.03.04.01.03"/>
        <s v="6.03.04.01.04.02"/>
        <s v="6.03.04.01.04.03"/>
        <s v="6.03.04.02.03"/>
        <s v="6.04.02.01"/>
        <s v="6.04.02.02"/>
        <s v="6.04.02.03"/>
        <s v="6.04.03.02.01"/>
        <s v="6.04.03.02.02"/>
        <s v="6.04.03.03.01"/>
        <s v="6.04.04"/>
        <s v="6.04.05.01"/>
        <s v="6.04.05.02"/>
        <s v="6.04.05.03"/>
        <s v="6.04.05.04"/>
        <s v="6.04.05.05"/>
        <s v="6.04.05.07"/>
        <s v="6.04.06.01"/>
        <s v="6.04.06.03"/>
        <s v="6.04.06.04"/>
        <s v="6.05.02.02"/>
        <s v="6.05.02.03"/>
        <s v="6.05.03.01"/>
        <s v="6.05.03.02"/>
        <s v="6.05.03.03"/>
        <s v="6.05.03.04"/>
        <s v="6.05.04"/>
        <s v="6.05.05.01"/>
        <s v="6.05.05.02"/>
        <s v="6.05.06"/>
        <s v="6.05.07.02"/>
        <s v="6.05.07.03"/>
        <s v="6.05.07.04"/>
        <s v="6.05.07.05"/>
        <s v="6.05.07.06.01"/>
        <s v="6.05.07.06.02"/>
        <s v="6.05.07.06.03"/>
        <s v="6.05.07.06.05"/>
        <s v="6.05.07.07"/>
        <s v="6.05.07.08"/>
        <s v="6.06.02.01.01"/>
        <s v="6.06.02.01.02"/>
        <s v="6.06.02.01.03"/>
        <s v="6.06.02.01.05"/>
        <s v="6.06.02.02"/>
        <s v="6.06.02.03"/>
        <s v="6.06.02.04"/>
        <s v="6.06.02.05.01"/>
        <s v="6.06.02.06"/>
        <s v="6.06.02.07"/>
        <s v="6.06.03.01.01"/>
        <s v="6.06.03.02"/>
        <s v="6.07.02.12.01"/>
        <s v="6.07.02.12.03"/>
        <s v="6.07.02.12.05"/>
        <s v="6.07.02.12.07"/>
        <s v="6.07.02.12.10"/>
        <s v="6.08.02.01"/>
        <s v="6.08.02.02"/>
        <s v="6.08.02.03.01"/>
        <s v="6.08.02.03.02"/>
        <s v="6.08.03.01.01.02"/>
        <s v="6.08.03.02.01.02"/>
        <s v="6.08.04.01.02.02"/>
        <s v="6.08.04.02.01.02"/>
        <s v="6.08.04.02.02.02"/>
        <s v="6.08.04.03.01.02"/>
        <s v="6.08.04.03.02.02"/>
        <s v="6.08.04.04.02.02"/>
        <s v="6.08.04.05.02.02"/>
        <s v="6.08.04.06.01.02"/>
        <s v="6.08.05.01.01"/>
        <s v="6.08.05.02.01"/>
        <s v="6.08.05.04.01"/>
        <s v="6.08.05.04.02"/>
        <s v="6.08.05.05.01"/>
        <s v="6.08.05.05.02"/>
        <s v="6.08.05.06.01"/>
        <s v="6.08.05.06.02"/>
        <s v="6.08.05.07.01"/>
        <s v="6.08.05.07.02"/>
        <s v="6.08.05.08.02"/>
        <s v="6.08.06.01"/>
        <s v="6.08.06.02.01"/>
        <s v="6.08.06.02.02"/>
        <s v="6.08.06.02.03"/>
        <s v="6.08.06.02.04"/>
        <s v="6.08.06.03.01"/>
        <s v="6.08.06.03.02"/>
        <s v="6.08.06.03.03"/>
        <s v="6.08.06.03.04"/>
        <s v="6.08.06.03.05"/>
        <s v="6.08.06.03.06"/>
        <s v="6.08.06.04.01"/>
        <s v="6.08.06.04.02"/>
        <s v="6.08.07.03.03"/>
        <s v="6.08.07.04.03"/>
        <s v="6.08.07.05.03"/>
        <s v="6.08.07.06.03"/>
        <s v="6.08.07.07.03"/>
        <s v="6.09.02.03.01"/>
        <s v="6.09.02.03.02"/>
        <s v="6.09.02.04.01"/>
        <s v="6.09.02.04.02"/>
        <s v="6.09.02.04.03"/>
        <s v="6.09.03.03.01"/>
        <s v="6.09.03.04"/>
        <s v="6.09.04.03.01"/>
        <s v="6.09.04.03.02"/>
        <s v="6.09.04.03.03"/>
        <s v="6.09.05.03"/>
        <s v="6.10.02"/>
        <s v="6.10.03"/>
        <s v="6.10.04"/>
        <s v="6.10.05"/>
        <s v="6.10.06"/>
        <s v="6.10.07"/>
        <s v="6.10.08"/>
        <s v="6.10.09"/>
        <s v="6.10.10"/>
        <s v="6.10.11"/>
        <s v="6.10.14.01.01"/>
        <s v="6.10.14.01.02"/>
        <s v="6.10.14.02.01"/>
        <s v="6.11.01.02"/>
        <s v="6.11.01.03"/>
        <s v="6.11.02.02.01"/>
        <s v="6.11.02.02.02"/>
        <s v="6.11.02.03.01"/>
        <s v="6.11.02.03.02"/>
        <s v="6.11.02.03.03"/>
        <s v="6.11.02.04.01"/>
        <s v="6.11.02.04.02"/>
        <s v="6.11.02.04.03"/>
        <s v="6.11.02.04.04"/>
        <s v="6.11.02.04.05"/>
        <s v="6.11.02.05.01"/>
        <s v="6.11.02.05.02"/>
        <s v="6.11.02.05.03"/>
        <s v="6.11.02.05.04"/>
        <s v="6.11.02.05.05"/>
        <s v="6.11.02.05.06"/>
        <s v="6.11.02.06.01"/>
        <s v="6.11.02.06.02"/>
        <s v="6.11.02.07"/>
        <s v="6.11.02.08"/>
        <s v="6.11.03.01"/>
        <s v="6.11.03.02"/>
        <s v="6.11.03.03"/>
        <s v="6.11.03.04"/>
        <s v="6.11.03.05"/>
        <s v="6.11.03.06"/>
        <s v="6.11.03.07"/>
        <s v="6.11.04.01"/>
        <s v="6.11.04.02"/>
        <s v="6.11.04.03"/>
      </sharedItems>
    </cacheField>
    <cacheField name="WBS Name" numFmtId="0">
      <sharedItems count="184">
        <s v="IR Magnet Prototyping"/>
        <s v="Electron Storage Ring Vacuum Development"/>
        <s v="Detector Interface Vacuum Development"/>
        <s v="Cooling R&amp;D"/>
        <s v="RCS Quad Magnets"/>
        <s v="RCS Sextupole Magnets"/>
        <s v="RCS Corrector Magnets"/>
        <s v="RCS Girders, Assembly and Integration"/>
        <s v="RCS Magnet Measuring Stations"/>
        <s v="RCS Dipole Magnets"/>
        <s v="RCS Power Supplies"/>
        <s v="RCS Vacuum Chamber and Bellows"/>
        <s v="RCS Vacuum Valves"/>
        <s v="RCS Vacuum Pumps"/>
        <s v="RCS Vacuum Monitoring and Control"/>
        <s v="RCS Beam Position Monitors"/>
        <s v="RCS Synchrotron Radiation Monitor"/>
        <s v="Transfer Lines Magnets"/>
        <s v="Transfer Lines Power Supplies"/>
        <s v="Transfer Lines Vacuum"/>
        <s v="TL Profile and Emittance Monitors"/>
        <s v="RCS Injection - Pulsed Bump"/>
        <s v="RCS Extraction - Kicker"/>
        <s v="RCS Extraction - Pulsed Septum"/>
        <s v="ESR Injection &amp; Extraction - Strip-line Kickers"/>
        <s v="ESR Injection - Slow Pulsed Septum"/>
        <s v="400 MeV Injector Power Supplies"/>
        <s v="400 MeV Injector Vacuum"/>
        <s v="400 MeV Injector RF Systems"/>
        <s v="400 MeV Current and Charge Monitors"/>
        <s v="400 MeV Profile and Emittance Monitors"/>
        <s v="Polarized Electron Source Laser"/>
        <s v="ESR Dipole Magnets"/>
        <s v="ESR Sextupole Magnets"/>
        <s v="ESR Girders and Integrated Assembly"/>
        <s v="ESR Magnet Quad #1"/>
        <s v="ESR Magnet Quad #2"/>
        <s v="ESR Magnet Correctors Design"/>
        <s v="Electron Storage Ring Power Supplies"/>
        <s v="ESR Vacuum Chamber and Bellows"/>
        <s v="ESR Vacuum Valves"/>
        <s v="ESR Vacuum Pumps"/>
        <s v="ESR Vacuum Monitoring and Control"/>
        <s v="ESR Vacuum Utilities (racks, cooling water)"/>
        <s v="Construction of Vacuum Fabrication Facility"/>
        <s v="ESR Beam Position Monitors"/>
        <s v="ESR Tune Meter and Bunch-by-Bunch Longitudinal Feedback Systems"/>
        <s v="ESR Synchrotron and X-ray Radiation Monitors"/>
        <s v="Hadron Ring Straight Sections Modifications Power Supplies"/>
        <s v="Hadron Ring Straight Sections Modifications Vacuum System"/>
        <s v="HR Injection System Upgrade Magnets"/>
        <s v="HR Injection System Upgrade Power Supplies"/>
        <s v="HR Injection System Upgrade Vacuum System"/>
        <s v="HR Injection System Upgrade Pulsed Devices"/>
        <s v="HR SC Magnet Beam Pipe Upgrade"/>
        <s v="Hadron Ring BPM Upgrade"/>
        <s v="Hadron Ring Injection Transfer Line Instrumentation"/>
        <s v="Hadron Ring Additional Snakes"/>
        <s v="SHC Electron Source"/>
        <s v="SHC Design"/>
        <s v="SHC Beam Transport Magnets"/>
        <s v="SHC Beam Transport Vacuum Systems"/>
        <s v="SHC Beam Position Monitors"/>
        <s v="SHC Charge and Current Monitors"/>
        <s v="SHC Profile and Emittance Monitors"/>
        <s v="SHC Synchrotron Radiation Monitors"/>
        <s v="SHC Power Supplies and Cables"/>
        <s v="SHC Chicanes"/>
        <s v="Direct Wind Magnets"/>
        <s v="Collared Magnets"/>
        <s v="IR Warm Magnets"/>
        <s v="IR Magnet Cryostats"/>
        <s v="IR Spin Rotator Magnets"/>
        <s v="IR Power Supplies"/>
        <s v="IR Vacuum"/>
        <s v="IR Beam Position Monitors"/>
        <s v="Matching Magnets"/>
        <s v="Cables"/>
        <s v="ESR Machine Protection - Single Turn Extraction Kicker"/>
        <s v="Collimation System Design and Integration"/>
        <s v="Controls - Hardware Procurements - Global Controls - Timing, Common Platform FECs MCHINE Protection"/>
        <s v="Controls - Hardware Procurements - Diagnostics"/>
        <s v="Controls - Hardware Procurements - Power Supply"/>
        <s v="Controls - Hardware Procurements - Water and Cryo"/>
        <s v="Controls - Hardware Procurements - Network"/>
        <s v="197 MHz Crab Cavity R&amp;D"/>
        <s v="ESR 1-Cell Cavity R&amp;D"/>
        <s v="HP FPC Prototype"/>
        <s v="HP HOM Absorber Prototype"/>
        <s v="CS: 197 MHz Crab FA Procurement"/>
        <s v="CS: 591 MHz FA Procurement"/>
        <s v="CM: 591 MHz 1-Cell Procurement"/>
        <s v="CS: 591 MHz 5-Cell Procurement"/>
        <s v="CM: 591 MHz 5-Cell Procurement"/>
        <s v="CS: 1773 MHz 5-Cell Procurement"/>
        <s v="CM: 1773 MHz 5-Cell Procurement"/>
        <s v="CM: 197 MHz Crab Procurement"/>
        <s v="CM: 394 MHz Crab Procurement"/>
        <s v="CS: ERL Inj Procurement"/>
        <s v="295 MHz Cavity Components"/>
        <s v="148 MHz Cavity Components"/>
        <s v="24.6 MHz Cavity Components"/>
        <s v="24.6 MHz Cavity Assembly and Test"/>
        <s v="49.2 MHz Cavity Components"/>
        <s v="49.2 MHz Cavity Assembly and Test"/>
        <s v="98.4 MHz Cavity Components"/>
        <s v="98.4 MHz Cavity Assembly and Test"/>
        <s v="197 MHz Cavity (HSR Store 1) Components"/>
        <s v="197 MHz Cavity (HSR Store 1) Assembly and Test"/>
        <s v="197 MHz Cavity (ERL Inj) Assembly and Test"/>
        <s v="SSA: 591 MHz, 400 kW with 200 kW Variant"/>
        <s v="SSA: ERL Injector: Fundamental"/>
        <s v="SSA: ERL Main Linac Fundamental"/>
        <s v="SSA: RCS: Fundamental"/>
        <s v="SSA: HSR: Store 2"/>
        <s v="SSA: Crab: 197 MHz"/>
        <s v="SSA: Crab: 394 MHz"/>
        <s v="SSA: RCS Bunch Merge 1: 296 MHz"/>
        <s v="SSA: RCS Bunch Merge 2: 148 MHz"/>
        <s v="SSA: HSR Bunch Split 1: 49 MHz"/>
        <s v="SSA: HSR Bunch Split 2: 98 MHz"/>
        <s v="SSA: ERL Main Linac Third Harmonic: 1773 MHz"/>
        <s v="SSA: ERL Injector Third Harmonic: 1773 MHz"/>
        <s v="RCS: Production Procurement, Assembly, Test"/>
        <s v="ESR: Production Procurement, Assembly, Test"/>
        <s v="HSR: Production Procurement, Assembly, Test"/>
        <s v="ERL: Production Procurement, Assembly, Test"/>
        <s v="Crab: Production Procurement, Assembly, Test"/>
        <s v="Procurement - Satellite Refrigerators"/>
        <s v="Procurement - 2K Satellite Plant Auxiliary Systems"/>
        <s v="Installation - IR02"/>
        <s v="Installation - IR06"/>
        <s v="Installation - IR10"/>
        <s v="Procurement - Distribution Lines"/>
        <s v="Reconfiguration Existing and New 4k Distribution - Installation"/>
        <s v="Procurement - IR02"/>
        <s v="Procurement - IR06"/>
        <s v="Procurement - IR10"/>
        <s v="Cryogenics Controls - Controls &amp; Instrumentation Hardware Procurement"/>
        <s v="Detector R&amp;D and Physics Design"/>
        <s v="Tracking"/>
        <s v="Particle Identification"/>
        <s v="Electromagnetic Calorimetry"/>
        <s v="Hadronic Calorimetry"/>
        <s v="Detector Magnets"/>
        <s v="Electronics"/>
        <s v="DAQ / Computing"/>
        <s v="Detector Infrastructure"/>
        <s v="IR Integration &amp; Auxiliary Detectors"/>
        <s v="Lepton Polarimetry in the Storage Ring"/>
        <s v="Lepton Polarimetry in the RCS"/>
        <s v="Hadron Polarimetry at IP12"/>
        <s v="Infrastructure Engineering"/>
        <s v="Infrastructure Construction Management &amp; Inspection"/>
        <s v="CRYO1002 - Cryogenic Plant (A-106, S-105)"/>
        <s v="New LINAC Tunnel 1002"/>
        <s v="1002I - EIC Cryogenics Building"/>
        <s v="1006G - EIC 6 O’Clock Cryo Facility"/>
        <s v="1010E - EIC 10 O'Clock Cryo Facility"/>
        <s v="1002H - EIC Injection LINAC Building"/>
        <s v="1002 Pre-injector &amp; SHC Bldg"/>
        <s v="1010D - EIC 10 O'Clock DI Pumphouse"/>
        <s v="1010C - EIC RF Power Amplifier Building"/>
        <s v="Concrete Foundations for Externally Mounted Equipment"/>
        <s v="1001A - EIC 1 O-Clock Power Supply Building"/>
        <s v="1003A - EIC 3 O-Clock Power Supply Building"/>
        <s v="1005T - EIC 5 O-Clock Power Supply Building"/>
        <s v="1007A - EIC 7 O-Clock Power Supply Building"/>
        <s v="1009A - EIC 9 O-Clock Power Supply Building"/>
        <s v="Alcove Building"/>
        <s v="B1004 - Kicker Power (A-103, S-103)"/>
        <s v="1012C - EIC Kicker Power Supply Building"/>
        <s v="Tunnel Modifications"/>
        <s v="Access Roads, Paving and Sitework"/>
        <s v="Main Substation #9"/>
        <s v="Overhead 13.8kV &amp; Switching"/>
        <s v="Unit Substations"/>
        <s v="Motor Control &amp; Load Centers"/>
        <s v="Standby Power"/>
        <s v="Cable Plant"/>
        <s v="138kV Substation"/>
        <s v="Chilled Water Systems"/>
        <s v="Low Conductivity Water Systems"/>
        <s v="Tower Water Systems"/>
      </sharedItems>
    </cacheField>
    <cacheField name="Activity Name" numFmtId="0">
      <sharedItems/>
    </cacheField>
    <cacheField name="Direct Material Cost" numFmtId="169">
      <sharedItems containsSemiMixedTypes="0" containsString="0" containsNumber="1" minValue="3000" maxValue="41312603"/>
    </cacheField>
    <cacheField name="Budgeted Material Cost" numFmtId="169">
      <sharedItems containsSemiMixedTypes="0" containsString="0" containsNumber="1" minValue="3318.73" maxValue="48362472.119999997"/>
    </cacheField>
    <cacheField name="Start" numFmtId="0">
      <sharedItems containsDate="1" containsMixedTypes="1" minDate="1930-02-05T00:00:00" maxDate="2029-12-27T00:00:00"/>
    </cacheField>
    <cacheField name="Finish" numFmtId="15">
      <sharedItems containsSemiMixedTypes="0" containsNonDate="0" containsDate="1" containsString="0" minDate="1930-02-04T00:00:00" maxDate="2029-12-25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1">
  <r>
    <x v="0"/>
    <x v="0"/>
    <s v="Witte"/>
    <x v="0"/>
    <x v="0"/>
    <s v="Tooling Materials - Vendor Manufacturing/ Fabrication"/>
    <n v="1623044"/>
    <n v="1698562.61"/>
    <d v="2023-02-16T00:00:00"/>
    <d v="2023-07-10T00:00:00"/>
  </r>
  <r>
    <x v="1"/>
    <x v="1"/>
    <s v="Witte"/>
    <x v="0"/>
    <x v="0"/>
    <s v="Prototype Material - Vendor Manufacturing/ Fabrication"/>
    <n v="1068015"/>
    <n v="1143415.79"/>
    <d v="2023-12-13T00:00:00"/>
    <d v="2024-05-06T00:00:00"/>
  </r>
  <r>
    <x v="2"/>
    <x v="2"/>
    <s v="Witte"/>
    <x v="0"/>
    <x v="0"/>
    <s v="Coil Assembly + Yoke Material - Vendor Fabrication"/>
    <n v="773330"/>
    <n v="833591.74"/>
    <d v="2023-04-21T00:00:00"/>
    <d v="2023-07-17T00:00:00"/>
  </r>
  <r>
    <x v="3"/>
    <x v="3"/>
    <s v="Hetzel"/>
    <x v="1"/>
    <x v="1"/>
    <s v="PROC: RF shielded bellows - Non Labor"/>
    <n v="300000"/>
    <n v="308939.18"/>
    <d v="2022-04-01T00:00:00"/>
    <d v="2022-12-19T00:00:00"/>
  </r>
  <r>
    <x v="4"/>
    <x v="4"/>
    <s v="Hetzel"/>
    <x v="1"/>
    <x v="1"/>
    <s v="PROC: Vacuum chamber cross sections - Non Labor"/>
    <n v="312094"/>
    <n v="320918.83"/>
    <d v="2022-04-01T00:00:00"/>
    <d v="2022-11-28T00:00:00"/>
  </r>
  <r>
    <x v="5"/>
    <x v="5"/>
    <s v="Hetzel"/>
    <x v="1"/>
    <x v="1"/>
    <s v="PROC: Vacuum chamber welding and tooling development - Non Labor"/>
    <n v="487500"/>
    <n v="503683"/>
    <d v="2022-06-27T00:00:00"/>
    <d v="2022-12-19T00:00:00"/>
  </r>
  <r>
    <x v="6"/>
    <x v="6"/>
    <s v="Hetzel"/>
    <x v="2"/>
    <x v="2"/>
    <s v="PROC: Prototype Detector Chamber - Non Labor"/>
    <n v="433000"/>
    <n v="456273.75"/>
    <d v="2023-03-15T00:00:00"/>
    <d v="2023-12-29T00:00:00"/>
  </r>
  <r>
    <x v="7"/>
    <x v="7"/>
    <s v="Wang"/>
    <x v="3"/>
    <x v="3"/>
    <s v="PROC: Procurement, beamline"/>
    <n v="400000"/>
    <n v="423040.48"/>
    <d v="2023-03-22T00:00:00"/>
    <d v="2024-03-20T00:00:00"/>
  </r>
  <r>
    <x v="8"/>
    <x v="8"/>
    <s v="Wang"/>
    <x v="3"/>
    <x v="3"/>
    <s v="HV DC Gun PS 600 kV - Vendor Manufacturing - Factory Acceptance"/>
    <n v="831000"/>
    <n v="880750.13"/>
    <d v="2023-05-01T00:00:00"/>
    <d v="2024-04-15T00:00:00"/>
  </r>
  <r>
    <x v="9"/>
    <x v="8"/>
    <s v="Wang"/>
    <x v="3"/>
    <x v="3"/>
    <s v="HV DC Gun PS 600 kV - Vendor Manufacturing - Confirm 95% of PS Drawings and 80% Long Lead Items"/>
    <n v="600000"/>
    <n v="624937.06000000006"/>
    <d v="2022-08-09T00:00:00"/>
    <d v="2023-04-28T00:00:00"/>
  </r>
  <r>
    <x v="10"/>
    <x v="8"/>
    <s v="Wang"/>
    <x v="3"/>
    <x v="3"/>
    <s v="HV DC Gun PS 600 kV - Vendor Manufacturing - Final Design Review"/>
    <n v="300000"/>
    <n v="306900"/>
    <d v="2022-07-12T00:00:00"/>
    <d v="2022-08-08T00:00:00"/>
  </r>
  <r>
    <x v="11"/>
    <x v="8"/>
    <s v="Wang"/>
    <x v="3"/>
    <x v="3"/>
    <s v="HV DC Gun PS 600 kV - Vendor Manufacturing - Final Acceptance"/>
    <n v="219000"/>
    <n v="234461.18"/>
    <d v="2024-04-16T00:00:00"/>
    <d v="2024-05-13T00:00:00"/>
  </r>
  <r>
    <x v="12"/>
    <x v="8"/>
    <s v="Wang"/>
    <x v="3"/>
    <x v="3"/>
    <s v="HV DC Gun PS 600 kV - Vendor Manufacturing - Preliminary Design review"/>
    <n v="200000"/>
    <n v="204600"/>
    <d v="2022-06-13T00:00:00"/>
    <d v="2022-07-11T00:00:00"/>
  </r>
  <r>
    <x v="13"/>
    <x v="8"/>
    <s v="Wang"/>
    <x v="3"/>
    <x v="3"/>
    <s v="HV DC Gun PS 600 kV - Vendor Manufacturing - Operating Manual and Parts List"/>
    <n v="50000"/>
    <n v="53529.95"/>
    <d v="2024-04-16T00:00:00"/>
    <d v="2024-05-13T00:00:00"/>
  </r>
  <r>
    <x v="14"/>
    <x v="9"/>
    <s v="Wang"/>
    <x v="3"/>
    <x v="3"/>
    <s v="PROC: Cooler R&amp;D Miscellaneous Materials - FY24"/>
    <n v="114025.09"/>
    <n v="125737.4"/>
    <d v="2023-10-02T00:00:00"/>
    <d v="2024-09-30T00:00:00"/>
  </r>
  <r>
    <x v="15"/>
    <x v="9"/>
    <s v="Wang"/>
    <x v="3"/>
    <x v="3"/>
    <s v="PROC: Cooler R&amp;D Miscellaneous Materials - FY23"/>
    <n v="113568.99"/>
    <n v="122418.85"/>
    <d v="2022-10-03T00:00:00"/>
    <d v="2023-09-29T00:00:00"/>
  </r>
  <r>
    <x v="16"/>
    <x v="9"/>
    <s v="Wang"/>
    <x v="3"/>
    <x v="3"/>
    <s v="PROC: Cooler R&amp;D Miscellaneous Materials - FY22"/>
    <n v="114025.09"/>
    <n v="120147.09"/>
    <d v="2021-10-01T00:00:00"/>
    <d v="2022-09-30T00:00:00"/>
  </r>
  <r>
    <x v="17"/>
    <x v="10"/>
    <s v="Wang"/>
    <x v="3"/>
    <x v="3"/>
    <s v="Gun Electrodes and Feedthru - Vendor Fabrication"/>
    <n v="500000"/>
    <n v="518652.82"/>
    <d v="2022-05-13T00:00:00"/>
    <d v="2023-05-12T00:00:00"/>
  </r>
  <r>
    <x v="18"/>
    <x v="11"/>
    <s v="Wang"/>
    <x v="3"/>
    <x v="3"/>
    <s v="PROC: Procurement, diagnostic"/>
    <n v="440000"/>
    <n v="462718.01"/>
    <d v="2022-12-20T00:00:00"/>
    <d v="2023-12-19T00:00:00"/>
  </r>
  <r>
    <x v="19"/>
    <x v="12"/>
    <s v="Wang"/>
    <x v="3"/>
    <x v="3"/>
    <s v="PROC: Procurement, photocathode material"/>
    <n v="300000"/>
    <n v="318724.56"/>
    <s v="01-Jun-23*"/>
    <d v="2024-05-30T00:00:00"/>
  </r>
  <r>
    <x v="20"/>
    <x v="13"/>
    <s v="Wang"/>
    <x v="3"/>
    <x v="3"/>
    <s v="PROC: Procurement, vacuum"/>
    <n v="340000"/>
    <n v="355819.86"/>
    <d v="2023-03-22T00:00:00"/>
    <d v="2023-08-10T00:00:00"/>
  </r>
  <r>
    <x v="21"/>
    <x v="14"/>
    <s v="Wang"/>
    <x v="3"/>
    <x v="3"/>
    <s v="Laser procurement - Vendor Fabrication"/>
    <n v="400000"/>
    <n v="422125.82"/>
    <d v="2023-04-03T00:00:00"/>
    <d v="2024-01-19T00:00:00"/>
  </r>
  <r>
    <x v="22"/>
    <x v="15"/>
    <s v="Witte"/>
    <x v="4"/>
    <x v="4"/>
    <s v="RCS Quad - Magnet I - Fabrication"/>
    <n v="3962206"/>
    <n v="4511558.47"/>
    <d v="2025-06-16T00:00:00"/>
    <d v="2028-06-14T00:00:00"/>
  </r>
  <r>
    <x v="23"/>
    <x v="16"/>
    <s v="Witte"/>
    <x v="4"/>
    <x v="4"/>
    <s v="RCS Quad - Magnet II - Fabrication"/>
    <n v="3962206"/>
    <n v="4511558.47"/>
    <d v="2025-06-16T00:00:00"/>
    <d v="2028-06-14T00:00:00"/>
  </r>
  <r>
    <x v="24"/>
    <x v="17"/>
    <s v="Witte"/>
    <x v="4"/>
    <x v="4"/>
    <s v="RCS Quad Prototype - Fabrication"/>
    <n v="250000"/>
    <n v="264941.88"/>
    <d v="2023-07-28T00:00:00"/>
    <d v="2023-12-21T00:00:00"/>
  </r>
  <r>
    <x v="25"/>
    <x v="18"/>
    <s v="Witte"/>
    <x v="5"/>
    <x v="5"/>
    <s v="RCS Sextupole - Magnet I - Fabrication"/>
    <n v="3306650"/>
    <n v="3744656.71"/>
    <d v="2025-03-21T00:00:00"/>
    <d v="2028-03-21T00:00:00"/>
  </r>
  <r>
    <x v="26"/>
    <x v="19"/>
    <s v="Witte"/>
    <x v="5"/>
    <x v="5"/>
    <s v="RCS Sextupole - Magnet II - Fabrication"/>
    <n v="3306650"/>
    <n v="3744656.71"/>
    <d v="2025-03-21T00:00:00"/>
    <d v="2028-03-21T00:00:00"/>
  </r>
  <r>
    <x v="27"/>
    <x v="20"/>
    <s v="Witte"/>
    <x v="5"/>
    <x v="5"/>
    <s v="RCS Sextupole Prototype - Fabrcation"/>
    <n v="250000"/>
    <n v="266205.55"/>
    <d v="2023-08-28T00:00:00"/>
    <d v="2024-01-24T00:00:00"/>
  </r>
  <r>
    <x v="28"/>
    <x v="21"/>
    <s v="Witte"/>
    <x v="6"/>
    <x v="6"/>
    <s v="RCS Corrector - Fabrication"/>
    <n v="1552500"/>
    <n v="1739674.95"/>
    <d v="2025-03-21T00:00:00"/>
    <d v="2027-04-19T00:00:00"/>
  </r>
  <r>
    <x v="29"/>
    <x v="22"/>
    <s v="Witte"/>
    <x v="7"/>
    <x v="7"/>
    <s v="RCS Girder: 5 types - Vendor Fabrication - Long Dipole [$20K per Girder, #334]"/>
    <n v="7680000"/>
    <n v="8714138.3599999994"/>
    <d v="2025-10-21T00:00:00"/>
    <d v="2027-10-20T00:00:00"/>
  </r>
  <r>
    <x v="30"/>
    <x v="22"/>
    <s v="Witte"/>
    <x v="7"/>
    <x v="7"/>
    <s v="RCS Girder: 5 types - Vendor Fabrication - Short Dipole [$5K per Girder, #132]"/>
    <n v="660000"/>
    <n v="748871.27"/>
    <d v="2025-10-21T00:00:00"/>
    <d v="2027-10-20T00:00:00"/>
  </r>
  <r>
    <x v="31"/>
    <x v="23"/>
    <s v="Witte"/>
    <x v="8"/>
    <x v="8"/>
    <s v="Magnet Measuring Station - Vendor Fabrication"/>
    <n v="867900"/>
    <n v="973569.46"/>
    <d v="2025-10-21T00:00:00"/>
    <d v="2026-10-20T00:00:00"/>
  </r>
  <r>
    <x v="32"/>
    <x v="24"/>
    <s v="TBD"/>
    <x v="9"/>
    <x v="9"/>
    <s v="RCS Dipole - Magnet I - Manufacturing/Fabrication"/>
    <n v="7672201"/>
    <n v="8969230.0500000007"/>
    <d v="2026-08-12T00:00:00"/>
    <d v="2029-08-10T00:00:00"/>
  </r>
  <r>
    <x v="33"/>
    <x v="25"/>
    <s v="TBD"/>
    <x v="9"/>
    <x v="9"/>
    <s v="RCS Dipole - Magnet II - Manufacturing/Fabrication"/>
    <n v="7672201"/>
    <n v="8969230.0500000007"/>
    <d v="2026-08-12T00:00:00"/>
    <d v="2029-08-10T00:00:00"/>
  </r>
  <r>
    <x v="34"/>
    <x v="26"/>
    <s v="TBD"/>
    <x v="9"/>
    <x v="9"/>
    <s v="RCS Dipole Prototype - Fabrication"/>
    <n v="250000"/>
    <n v="273805.75"/>
    <d v="2024-10-04T00:00:00"/>
    <d v="2025-09-19T00:00:00"/>
  </r>
  <r>
    <x v="35"/>
    <x v="27"/>
    <s v="Bruno"/>
    <x v="10"/>
    <x v="10"/>
    <s v="Corrector Supplies - Vendor Fabrication"/>
    <n v="5859000"/>
    <n v="6687017.3200000003"/>
    <d v="2026-01-08T00:00:00"/>
    <d v="2028-02-07T00:00:00"/>
  </r>
  <r>
    <x v="36"/>
    <x v="28"/>
    <s v="Bruno"/>
    <x v="10"/>
    <x v="10"/>
    <s v="Rest of RCS Supplies - Vendor Fabrication"/>
    <n v="5990000"/>
    <n v="6872561.9900000002"/>
    <d v="2026-04-06T00:00:00"/>
    <d v="2028-05-02T00:00:00"/>
  </r>
  <r>
    <x v="37"/>
    <x v="29"/>
    <s v="Bruno"/>
    <x v="10"/>
    <x v="10"/>
    <s v="DC, AC power cables control and magnet interlock cables and cable trays - Materials Vendor Fabrication"/>
    <n v="7801220"/>
    <n v="8758372.3900000006"/>
    <d v="2025-10-21T00:00:00"/>
    <d v="2026-11-03T00:00:00"/>
  </r>
  <r>
    <x v="38"/>
    <x v="30"/>
    <s v="Bruno"/>
    <x v="10"/>
    <x v="10"/>
    <s v="Main Dipole supply and the 2 Arc Quad supplies - Vendor Fabrication and ship"/>
    <n v="10300000"/>
    <n v="11879550.949999999"/>
    <d v="2026-06-30T00:00:00"/>
    <d v="2028-07-27T00:00:00"/>
  </r>
  <r>
    <x v="39"/>
    <x v="31"/>
    <s v="Hetzel"/>
    <x v="11"/>
    <x v="11"/>
    <s v="RCS Vacuum Chambers and Bellows - Procurement"/>
    <n v="3960560"/>
    <n v="4463935.67"/>
    <d v="2025-10-21T00:00:00"/>
    <d v="2027-02-03T00:00:00"/>
  </r>
  <r>
    <x v="40"/>
    <x v="32"/>
    <s v="Hetzel"/>
    <x v="12"/>
    <x v="12"/>
    <s v="RCS Vacuum Valves - Procurement"/>
    <n v="867720"/>
    <n v="972204.77"/>
    <d v="2025-10-21T00:00:00"/>
    <d v="2026-08-07T00:00:00"/>
  </r>
  <r>
    <x v="41"/>
    <x v="33"/>
    <s v="Hetzel"/>
    <x v="13"/>
    <x v="13"/>
    <s v="RCS Vacuum Pumps - Procurement"/>
    <n v="3105120"/>
    <n v="3480017.05"/>
    <d v="2025-10-21T00:00:00"/>
    <d v="2026-10-05T00:00:00"/>
  </r>
  <r>
    <x v="42"/>
    <x v="34"/>
    <s v="Hetzel"/>
    <x v="14"/>
    <x v="14"/>
    <s v="RCS Vacuum Monitoring and Controls - Procurement"/>
    <n v="643710"/>
    <n v="723768.56"/>
    <d v="2025-10-21T00:00:00"/>
    <d v="2026-12-04T00:00:00"/>
  </r>
  <r>
    <x v="43"/>
    <x v="35"/>
    <s v="Gassner"/>
    <x v="15"/>
    <x v="15"/>
    <s v="BPM Electronics - V301 module - Vendor Fabrication"/>
    <n v="1654808"/>
    <n v="1885625.25"/>
    <d v="2026-06-30T00:00:00"/>
    <d v="2027-06-29T00:00:00"/>
  </r>
  <r>
    <x v="44"/>
    <x v="36"/>
    <s v="Gassner"/>
    <x v="15"/>
    <x v="15"/>
    <s v="BPM Pick-up -Button Procurement - materials"/>
    <n v="889344"/>
    <n v="997710.9"/>
    <d v="2025-10-21T00:00:00"/>
    <d v="2026-10-21T00:00:00"/>
  </r>
  <r>
    <x v="45"/>
    <x v="37"/>
    <s v="Gassner"/>
    <x v="15"/>
    <x v="15"/>
    <s v="BPM System - Miscellaneous materials"/>
    <n v="1017140"/>
    <n v="1139931.42"/>
    <d v="2025-10-06T00:00:00"/>
    <d v="2026-10-05T00:00:00"/>
  </r>
  <r>
    <x v="46"/>
    <x v="38"/>
    <s v="Gassner"/>
    <x v="16"/>
    <x v="16"/>
    <s v="RCS SLM Material - s-RAD"/>
    <n v="347300"/>
    <n v="394091.4"/>
    <d v="2025-10-21T00:00:00"/>
    <d v="2027-10-21T00:00:00"/>
  </r>
  <r>
    <x v="47"/>
    <x v="39"/>
    <s v="Tsoupas"/>
    <x v="17"/>
    <x v="17"/>
    <s v="Linac to RCS Transfer line magnets - Material and Construction"/>
    <n v="500000"/>
    <n v="560206.5"/>
    <d v="2025-11-19T00:00:00"/>
    <d v="2026-05-13T00:00:00"/>
  </r>
  <r>
    <x v="48"/>
    <x v="40"/>
    <s v="Tsoupas"/>
    <x v="17"/>
    <x v="17"/>
    <s v="RCS to SR Transfer line magnets - Material and Construction"/>
    <n v="400000"/>
    <n v="448165.2"/>
    <d v="2025-10-21T00:00:00"/>
    <d v="2026-06-11T00:00:00"/>
  </r>
  <r>
    <x v="49"/>
    <x v="41"/>
    <s v="Bruno"/>
    <x v="18"/>
    <x v="18"/>
    <s v="RCS-SR H,V Corrector  - Vendor Manufacturing - CAEN-FAST PS"/>
    <n v="135440"/>
    <n v="151748.74"/>
    <d v="2025-10-21T00:00:00"/>
    <d v="2026-07-10T00:00:00"/>
  </r>
  <r>
    <x v="50"/>
    <x v="41"/>
    <s v="Bruno"/>
    <x v="18"/>
    <x v="18"/>
    <s v="400MeV-RCS Correctors CAEN - Vendor Maunufacturing"/>
    <n v="34860"/>
    <n v="39057.599999999999"/>
    <d v="2025-10-21T00:00:00"/>
    <d v="2026-07-10T00:00:00"/>
  </r>
  <r>
    <x v="51"/>
    <x v="42"/>
    <s v="Bruno"/>
    <x v="18"/>
    <x v="18"/>
    <s v="RCS-SR Cables - Vendor Manufacturing - DC Cable Order"/>
    <n v="257758"/>
    <n v="288795.40999999997"/>
    <d v="2025-10-21T00:00:00"/>
    <d v="2026-02-18T00:00:00"/>
  </r>
  <r>
    <x v="52"/>
    <x v="43"/>
    <s v="Bruno"/>
    <x v="18"/>
    <x v="18"/>
    <s v="400MeV-RCS Quad/Dipole Lambda - Vendor Maunufacturing"/>
    <n v="232098"/>
    <n v="260045.62"/>
    <d v="2025-10-21T00:00:00"/>
    <d v="2026-07-10T00:00:00"/>
  </r>
  <r>
    <x v="53"/>
    <x v="43"/>
    <s v="Bruno"/>
    <x v="18"/>
    <x v="18"/>
    <s v="RCS-SR Quad, Small Dipole - Vendor Manufacturing"/>
    <n v="115160"/>
    <n v="129026.76"/>
    <d v="2025-10-21T00:00:00"/>
    <d v="2026-07-10T00:00:00"/>
  </r>
  <r>
    <x v="54"/>
    <x v="44"/>
    <s v="Bruno"/>
    <x v="18"/>
    <x v="18"/>
    <s v="RCS-SR Large Dipole - Vendor Manufacturing"/>
    <n v="75000"/>
    <n v="84030.98"/>
    <d v="2025-10-21T00:00:00"/>
    <d v="2026-07-10T00:00:00"/>
  </r>
  <r>
    <x v="55"/>
    <x v="45"/>
    <s v="Bruno"/>
    <x v="18"/>
    <x v="18"/>
    <s v="400MeV-RCS Quad/Dipole/Corr - Purchase Racks"/>
    <n v="50000"/>
    <n v="56020.65"/>
    <d v="2025-10-21T00:00:00"/>
    <d v="2026-07-10T00:00:00"/>
  </r>
  <r>
    <x v="56"/>
    <x v="45"/>
    <s v="Bruno"/>
    <x v="18"/>
    <x v="18"/>
    <s v="RCS-SR Quad, Small Dipole, Large Dipole - Purchase-Racks"/>
    <n v="27000"/>
    <n v="30550.34"/>
    <d v="2026-07-13T00:00:00"/>
    <d v="2026-12-04T00:00:00"/>
  </r>
  <r>
    <x v="57"/>
    <x v="45"/>
    <s v="Bruno"/>
    <x v="18"/>
    <x v="18"/>
    <s v="RCS-SR H,V Corrector  - Purchase-Racks"/>
    <n v="12000"/>
    <n v="13577.93"/>
    <d v="2026-07-13T00:00:00"/>
    <d v="2026-12-04T00:00:00"/>
  </r>
  <r>
    <x v="58"/>
    <x v="46"/>
    <s v="Bruno"/>
    <x v="18"/>
    <x v="18"/>
    <s v="400MeV-RCS Quad/Dipole - DC, AC, Control Interlock Cable Order"/>
    <n v="82444"/>
    <n v="92371.33"/>
    <d v="2025-10-21T00:00:00"/>
    <d v="2026-07-10T00:00:00"/>
  </r>
  <r>
    <x v="59"/>
    <x v="47"/>
    <s v="Bruno"/>
    <x v="18"/>
    <x v="18"/>
    <s v="RCS-SR Cables - Vendor Manufacturing - DC Cable Tray Order"/>
    <n v="72047"/>
    <n v="80722.399999999994"/>
    <d v="2025-10-21T00:00:00"/>
    <d v="2026-02-18T00:00:00"/>
  </r>
  <r>
    <x v="60"/>
    <x v="47"/>
    <s v="Bruno"/>
    <x v="18"/>
    <x v="18"/>
    <s v="400MeV-RCS Quad/Dipole/Corr - Cable Tray Order"/>
    <n v="72047"/>
    <n v="80722.399999999994"/>
    <d v="2025-10-21T00:00:00"/>
    <d v="2026-07-10T00:00:00"/>
  </r>
  <r>
    <x v="61"/>
    <x v="48"/>
    <s v="Bruno"/>
    <x v="18"/>
    <x v="18"/>
    <s v="AC, Control, Interlock Cable &amp; Cable Tray - Vendor Maunufacturing"/>
    <n v="58068"/>
    <n v="65060.14"/>
    <d v="2025-10-21T00:00:00"/>
    <d v="2026-07-10T00:00:00"/>
  </r>
  <r>
    <x v="62"/>
    <x v="49"/>
    <s v="Hetzel"/>
    <x v="19"/>
    <x v="19"/>
    <s v="Hardware Deliveries"/>
    <n v="890358"/>
    <n v="997568.68"/>
    <d v="2025-10-21T00:00:00"/>
    <d v="2026-05-21T00:00:00"/>
  </r>
  <r>
    <x v="63"/>
    <x v="50"/>
    <s v="Gassner"/>
    <x v="20"/>
    <x v="20"/>
    <s v="Profile Monitors - Construction - Non Labor"/>
    <n v="283000"/>
    <n v="321106.92"/>
    <d v="2025-10-21T00:00:00"/>
    <d v="2027-10-20T00:00:00"/>
  </r>
  <r>
    <x v="64"/>
    <x v="51"/>
    <s v="Ranjbar"/>
    <x v="21"/>
    <x v="21"/>
    <s v="RCS Injection Pulsed Bump - Kicker Magnet - Fabrication"/>
    <n v="270893"/>
    <n v="302261.01"/>
    <d v="2025-07-15T00:00:00"/>
    <d v="2026-09-23T00:00:00"/>
  </r>
  <r>
    <x v="65"/>
    <x v="52"/>
    <s v="Ranjbar"/>
    <x v="22"/>
    <x v="22"/>
    <s v="RCS Extraction Kicker - Fabrication"/>
    <n v="270893"/>
    <n v="306886.15000000002"/>
    <d v="2026-02-23T00:00:00"/>
    <d v="2027-05-03T00:00:00"/>
  </r>
  <r>
    <x v="66"/>
    <x v="53"/>
    <s v="Ranjbar"/>
    <x v="23"/>
    <x v="23"/>
    <s v="RCS Extraction Septum - Electrical Components - Fabrication"/>
    <n v="392949.6"/>
    <n v="438451.13"/>
    <d v="2025-07-15T00:00:00"/>
    <d v="2026-09-23T00:00:00"/>
  </r>
  <r>
    <x v="67"/>
    <x v="54"/>
    <s v="Ranjbar"/>
    <x v="23"/>
    <x v="23"/>
    <s v="RCS Extraction Septum - Mechanical Components - Fabrication"/>
    <n v="674000"/>
    <n v="755158.36"/>
    <d v="2025-11-06T00:00:00"/>
    <d v="2026-04-03T00:00:00"/>
  </r>
  <r>
    <x v="68"/>
    <x v="55"/>
    <s v="Ranjbar"/>
    <x v="24"/>
    <x v="24"/>
    <s v="ESR Stripline Kickers Electrical Components  - Fabrication"/>
    <n v="1193893"/>
    <n v="1352523.77"/>
    <d v="2026-02-23T00:00:00"/>
    <d v="2027-05-03T00:00:00"/>
  </r>
  <r>
    <x v="69"/>
    <x v="56"/>
    <s v="Ranjbar"/>
    <x v="24"/>
    <x v="24"/>
    <s v="ESR Stripline Kickers Mechanical Components  - Fabrication"/>
    <n v="636186.67000000004"/>
    <n v="713611.54"/>
    <d v="2026-05-18T00:00:00"/>
    <d v="2026-10-07T00:00:00"/>
  </r>
  <r>
    <x v="70"/>
    <x v="57"/>
    <s v="Ranjbar"/>
    <x v="25"/>
    <x v="25"/>
    <s v="ESR Injection ESR Injection Electrical Components  - Fabrication"/>
    <n v="357072.2"/>
    <n v="400068.33"/>
    <d v="2026-02-23T00:00:00"/>
    <d v="2026-09-23T00:00:00"/>
  </r>
  <r>
    <x v="71"/>
    <x v="58"/>
    <s v="Ranjbar"/>
    <x v="25"/>
    <x v="25"/>
    <s v="ESR Injection ESR Injection Mechanical Components  - Fabrication"/>
    <n v="686000"/>
    <n v="769487.23"/>
    <d v="2026-05-18T00:00:00"/>
    <d v="2026-10-07T00:00:00"/>
  </r>
  <r>
    <x v="72"/>
    <x v="41"/>
    <s v="Bruno"/>
    <x v="26"/>
    <x v="26"/>
    <s v="Corrector PS - Vendor Manufacturing - CAEN-FAST PS"/>
    <n v="746220"/>
    <n v="837074.55"/>
    <d v="2025-10-21T00:00:00"/>
    <d v="2026-10-20T00:00:00"/>
  </r>
  <r>
    <x v="73"/>
    <x v="42"/>
    <s v="Bruno"/>
    <x v="26"/>
    <x v="26"/>
    <s v="Cable - Vendor Manufacturing - DC Cable Order"/>
    <n v="37000"/>
    <n v="42171.77"/>
    <d v="2026-04-06T00:00:00"/>
    <d v="2027-11-05T00:00:00"/>
  </r>
  <r>
    <x v="74"/>
    <x v="43"/>
    <s v="Bruno"/>
    <x v="26"/>
    <x v="26"/>
    <s v="Dipole, Solenoid and Quad PS - Vendor Manufacturing"/>
    <n v="1154257"/>
    <n v="1293244.55"/>
    <d v="2025-10-21T00:00:00"/>
    <d v="2026-07-10T00:00:00"/>
  </r>
  <r>
    <x v="75"/>
    <x v="45"/>
    <s v="Bruno"/>
    <x v="26"/>
    <x v="26"/>
    <s v="Dipole, Solenoid and Quad PS Purchase-Racks"/>
    <n v="141000"/>
    <n v="159540.67000000001"/>
    <d v="2026-07-13T00:00:00"/>
    <d v="2026-12-04T00:00:00"/>
  </r>
  <r>
    <x v="76"/>
    <x v="47"/>
    <s v="Bruno"/>
    <x v="26"/>
    <x v="26"/>
    <s v="Corrector PS - Vendor Manufacturing - Cable Tray"/>
    <n v="40826.769999999997"/>
    <n v="45797.55"/>
    <d v="2025-10-21T00:00:00"/>
    <d v="2026-10-20T00:00:00"/>
  </r>
  <r>
    <x v="77"/>
    <x v="48"/>
    <s v="Bruno"/>
    <x v="26"/>
    <x v="26"/>
    <s v="AC, Control &amp; Interlock Cable - Vendor Manufacturing - DC Cable Order"/>
    <n v="125000"/>
    <n v="141364.28"/>
    <d v="2025-10-21T00:00:00"/>
    <d v="2027-05-27T00:00:00"/>
  </r>
  <r>
    <x v="78"/>
    <x v="59"/>
    <s v="Skaritka"/>
    <x v="27"/>
    <x v="27"/>
    <s v="XHV pumping systems - Fabrication and ship"/>
    <n v="890121"/>
    <n v="1002655.44"/>
    <d v="2026-05-21T00:00:00"/>
    <d v="2026-11-10T00:00:00"/>
  </r>
  <r>
    <x v="79"/>
    <x v="60"/>
    <s v="Skaritka"/>
    <x v="27"/>
    <x v="27"/>
    <s v="Transport line vacuum cmpts. - material"/>
    <n v="350000"/>
    <n v="396128.16"/>
    <d v="2026-06-26T00:00:00"/>
    <d v="2026-12-18T00:00:00"/>
  </r>
  <r>
    <x v="80"/>
    <x v="61"/>
    <s v="Skaritka"/>
    <x v="27"/>
    <x v="27"/>
    <s v="XHV ion pumps diag. line - material"/>
    <n v="398000"/>
    <n v="446116.68"/>
    <d v="2026-02-19T00:00:00"/>
    <d v="2026-10-05T00:00:00"/>
  </r>
  <r>
    <x v="81"/>
    <x v="62"/>
    <s v="Skaritka"/>
    <x v="27"/>
    <x v="27"/>
    <s v="XHV Diag.Cal.&amp; purging systems - Fabrication and ship"/>
    <n v="500164"/>
    <n v="573279.47"/>
    <d v="2026-10-08T00:00:00"/>
    <d v="2027-06-01T00:00:00"/>
  </r>
  <r>
    <x v="82"/>
    <x v="63"/>
    <s v="Skaritka"/>
    <x v="27"/>
    <x v="27"/>
    <s v="Valves and beam line isolation - material"/>
    <n v="458000"/>
    <n v="513370.45"/>
    <d v="2026-02-19T00:00:00"/>
    <d v="2026-10-05T00:00:00"/>
  </r>
  <r>
    <x v="83"/>
    <x v="64"/>
    <s v="Skaritka"/>
    <x v="28"/>
    <x v="28"/>
    <s v="400 MeV Linac - Vendor Design"/>
    <n v="1831233"/>
    <n v="2006162.05"/>
    <d v="2024-10-04T00:00:00"/>
    <d v="2025-10-03T00:00:00"/>
  </r>
  <r>
    <x v="84"/>
    <x v="65"/>
    <s v="Skaritka"/>
    <x v="28"/>
    <x v="28"/>
    <s v="400 MeV Linac - Fabrication and ship"/>
    <n v="16481096"/>
    <n v="18683148.289999999"/>
    <d v="2025-10-06T00:00:00"/>
    <d v="2027-10-05T00:00:00"/>
  </r>
  <r>
    <x v="85"/>
    <x v="66"/>
    <s v="Skaritka"/>
    <x v="28"/>
    <x v="28"/>
    <s v="Installation Support - Material"/>
    <n v="750000"/>
    <n v="860944.46"/>
    <d v="2027-04-22T00:00:00"/>
    <d v="2027-10-13T00:00:00"/>
  </r>
  <r>
    <x v="86"/>
    <x v="67"/>
    <s v="Gassner"/>
    <x v="29"/>
    <x v="29"/>
    <s v="ICT, Material"/>
    <n v="298638"/>
    <n v="338573.64"/>
    <d v="2026-03-27T00:00:00"/>
    <d v="2027-04-26T00:00:00"/>
  </r>
  <r>
    <x v="87"/>
    <x v="68"/>
    <s v="Gassner"/>
    <x v="30"/>
    <x v="30"/>
    <s v="Streak Camera - Construction - Non Labor"/>
    <n v="262840"/>
    <n v="298232.31"/>
    <d v="2025-10-21T00:00:00"/>
    <d v="2027-10-20T00:00:00"/>
  </r>
  <r>
    <x v="88"/>
    <x v="69"/>
    <s v="Skaritka"/>
    <x v="31"/>
    <x v="31"/>
    <s v="Laser System - Procurements - Material"/>
    <n v="610000"/>
    <n v="686155.72"/>
    <d v="2025-12-05T00:00:00"/>
    <d v="2026-12-04T00:00:00"/>
  </r>
  <r>
    <x v="89"/>
    <x v="70"/>
    <s v="Witte"/>
    <x v="32"/>
    <x v="32"/>
    <s v="ESR Dipole - Magnet II - Fabrication"/>
    <n v="15306239"/>
    <n v="17278509.32"/>
    <d v="2025-01-30T00:00:00"/>
    <d v="2028-01-31T00:00:00"/>
  </r>
  <r>
    <x v="90"/>
    <x v="71"/>
    <s v="Witte"/>
    <x v="32"/>
    <x v="32"/>
    <s v="ESR Dipole - Magnet I - Fabrication"/>
    <n v="15306239"/>
    <n v="17278509.32"/>
    <d v="2025-01-30T00:00:00"/>
    <d v="2028-01-31T00:00:00"/>
  </r>
  <r>
    <x v="91"/>
    <x v="72"/>
    <s v="Witte"/>
    <x v="33"/>
    <x v="33"/>
    <s v="ESR Sextupole - Magnet I - Fabrication"/>
    <n v="2407960"/>
    <n v="2741819.16"/>
    <d v="2025-06-16T00:00:00"/>
    <d v="2028-06-14T00:00:00"/>
  </r>
  <r>
    <x v="92"/>
    <x v="72"/>
    <s v="Witte"/>
    <x v="33"/>
    <x v="33"/>
    <s v="ESR Sextupole - Magnet II - Fabrication"/>
    <n v="2407960"/>
    <n v="2741819.16"/>
    <d v="2025-06-16T00:00:00"/>
    <d v="2028-06-14T00:00:00"/>
  </r>
  <r>
    <x v="93"/>
    <x v="73"/>
    <s v="Witte"/>
    <x v="34"/>
    <x v="34"/>
    <s v="eSR Girders: 5 Types - Fabrication [$20K per Girder, 494 Girders]"/>
    <n v="9880000"/>
    <n v="11061043.34"/>
    <d v="2025-03-21T00:00:00"/>
    <d v="2027-03-22T00:00:00"/>
  </r>
  <r>
    <x v="94"/>
    <x v="74"/>
    <s v="TBD"/>
    <x v="35"/>
    <x v="35"/>
    <s v="ESR Quad - Magnet I - Fabrication"/>
    <n v="4144864"/>
    <n v="4693902.5199999996"/>
    <d v="2025-03-21T00:00:00"/>
    <d v="2028-03-21T00:00:00"/>
  </r>
  <r>
    <x v="95"/>
    <x v="75"/>
    <s v="TBD"/>
    <x v="36"/>
    <x v="36"/>
    <s v="ESR Quad - Magnet II - Fabrication"/>
    <n v="4144864"/>
    <n v="4693902.5199999996"/>
    <d v="2025-03-21T00:00:00"/>
    <d v="2028-03-21T00:00:00"/>
  </r>
  <r>
    <x v="96"/>
    <x v="76"/>
    <s v="TBD"/>
    <x v="37"/>
    <x v="37"/>
    <s v="ESR Corrector - Fabrication (#247)"/>
    <n v="1235000"/>
    <n v="1383896.02"/>
    <d v="2025-03-21T00:00:00"/>
    <d v="2027-04-19T00:00:00"/>
  </r>
  <r>
    <x v="97"/>
    <x v="41"/>
    <s v="Bruno"/>
    <x v="38"/>
    <x v="38"/>
    <s v="Correctors - Vendor Manufacturing - CAEN"/>
    <n v="1650000"/>
    <n v="1857610.76"/>
    <d v="2025-10-21T00:00:00"/>
    <d v="2027-01-05T00:00:00"/>
  </r>
  <r>
    <x v="98"/>
    <x v="42"/>
    <s v="Bruno"/>
    <x v="38"/>
    <x v="38"/>
    <s v="DC Cable - Manufacturing"/>
    <n v="2290077"/>
    <n v="2565832.04"/>
    <d v="2025-10-21T00:00:00"/>
    <d v="2026-01-20T00:00:00"/>
  </r>
  <r>
    <x v="99"/>
    <x v="77"/>
    <s v="Bruno"/>
    <x v="38"/>
    <x v="38"/>
    <s v="Cable Bus - Manufacturing Vendor"/>
    <n v="8975521"/>
    <n v="10056290.41"/>
    <d v="2025-10-21T00:00:00"/>
    <d v="2026-07-10T00:00:00"/>
  </r>
  <r>
    <x v="100"/>
    <x v="77"/>
    <s v="Bruno"/>
    <x v="38"/>
    <x v="38"/>
    <s v="Cable Bus - Mounting Brackets - Manufacturing Vendor"/>
    <n v="688525"/>
    <n v="771432.36"/>
    <d v="2025-10-21T00:00:00"/>
    <d v="2026-07-10T00:00:00"/>
  </r>
  <r>
    <x v="101"/>
    <x v="77"/>
    <s v="Bruno"/>
    <x v="38"/>
    <x v="38"/>
    <s v="Cable Bus - Water Hoses - Manufacturing Vendor"/>
    <n v="45959"/>
    <n v="51493.06"/>
    <d v="2025-10-21T00:00:00"/>
    <d v="2026-07-10T00:00:00"/>
  </r>
  <r>
    <x v="102"/>
    <x v="43"/>
    <s v="Bruno"/>
    <x v="38"/>
    <x v="38"/>
    <s v="Quades and Sextupoles - Manufacturing"/>
    <n v="3048588"/>
    <n v="3432175.67"/>
    <d v="2025-10-21T00:00:00"/>
    <d v="2027-01-05T00:00:00"/>
  </r>
  <r>
    <x v="103"/>
    <x v="44"/>
    <s v="Bruno"/>
    <x v="38"/>
    <x v="38"/>
    <s v="Main Dipole/Quads/Sext - Vendor Manufacturing - APS"/>
    <n v="4770190"/>
    <n v="5346119.49"/>
    <d v="2025-10-21T00:00:00"/>
    <d v="2026-10-05T00:00:00"/>
  </r>
  <r>
    <x v="104"/>
    <x v="45"/>
    <s v="Bruno"/>
    <x v="38"/>
    <x v="38"/>
    <s v="Quades and Sextupoles - Purchase-Racks"/>
    <n v="330000"/>
    <n v="378240.39"/>
    <d v="2027-01-22T00:00:00"/>
    <d v="2027-07-13T00:00:00"/>
  </r>
  <r>
    <x v="105"/>
    <x v="45"/>
    <s v="Bruno"/>
    <x v="38"/>
    <x v="38"/>
    <s v="Correctors - Purchase-Racks"/>
    <n v="120000"/>
    <n v="137541.96"/>
    <d v="2027-01-22T00:00:00"/>
    <d v="2027-07-13T00:00:00"/>
  </r>
  <r>
    <x v="106"/>
    <x v="45"/>
    <s v="Bruno"/>
    <x v="38"/>
    <x v="38"/>
    <s v="Main Dipole/Quads/Sext -  - Purchase-Racks"/>
    <n v="60000"/>
    <n v="68770.98"/>
    <d v="2027-01-22T00:00:00"/>
    <d v="2027-04-16T00:00:00"/>
  </r>
  <r>
    <x v="107"/>
    <x v="47"/>
    <s v="Bruno"/>
    <x v="38"/>
    <x v="38"/>
    <s v="Cable Tray - Manufacturing"/>
    <n v="76049.87"/>
    <n v="85207.26"/>
    <d v="2025-10-21T00:00:00"/>
    <d v="2026-02-18T00:00:00"/>
  </r>
  <r>
    <x v="108"/>
    <x v="48"/>
    <s v="Bruno"/>
    <x v="38"/>
    <x v="38"/>
    <s v="AC &amp; Interlock Cable -Manufacturing"/>
    <n v="300000"/>
    <n v="328566.90000000002"/>
    <d v="2025-02-10T00:00:00"/>
    <d v="2025-05-05T00:00:00"/>
  </r>
  <r>
    <x v="109"/>
    <x v="78"/>
    <s v="Hetzel"/>
    <x v="39"/>
    <x v="39"/>
    <s v="ESR Vacuum Chamber and Bellows - Procurement"/>
    <n v="22965500"/>
    <n v="26417734.41"/>
    <d v="2026-03-16T00:00:00"/>
    <d v="2028-09-08T00:00:00"/>
  </r>
  <r>
    <x v="110"/>
    <x v="79"/>
    <s v="Hetzel"/>
    <x v="40"/>
    <x v="40"/>
    <s v="ESR Vacuum Valves - Procurement"/>
    <n v="1244400"/>
    <n v="1413482.85"/>
    <d v="2026-05-11T00:00:00"/>
    <d v="2027-05-10T00:00:00"/>
  </r>
  <r>
    <x v="111"/>
    <x v="80"/>
    <s v="Hetzel"/>
    <x v="41"/>
    <x v="41"/>
    <s v="ESR Vacuum Pumps - Procurement"/>
    <n v="7751396"/>
    <n v="8836611.3800000008"/>
    <d v="2026-03-12T00:00:00"/>
    <d v="2027-11-29T00:00:00"/>
  </r>
  <r>
    <x v="112"/>
    <x v="81"/>
    <s v="Hetzel"/>
    <x v="42"/>
    <x v="42"/>
    <s v="ESR Vacuum Monitoring &amp; Control - Procurement"/>
    <n v="1886310"/>
    <n v="2132703.37"/>
    <d v="2026-02-19T00:00:00"/>
    <d v="2027-03-04T00:00:00"/>
  </r>
  <r>
    <x v="113"/>
    <x v="82"/>
    <s v="Hetzel"/>
    <x v="43"/>
    <x v="43"/>
    <s v="ESR Vacuum Utilities (racks, cooling water) - Procurement"/>
    <n v="808376"/>
    <n v="911964.53"/>
    <d v="2026-01-23T00:00:00"/>
    <d v="2027-01-22T00:00:00"/>
  </r>
  <r>
    <x v="114"/>
    <x v="83"/>
    <s v="Hetzel"/>
    <x v="44"/>
    <x v="44"/>
    <s v="Construction of Vacuum Fabrication Facility - Procurement"/>
    <n v="2080000"/>
    <n v="2330459.04"/>
    <d v="2025-10-21T00:00:00"/>
    <d v="2026-09-04T00:00:00"/>
  </r>
  <r>
    <x v="115"/>
    <x v="84"/>
    <s v="Gassner"/>
    <x v="45"/>
    <x v="45"/>
    <s v="BPM Pick-up -Button &amp; Housing Procurement - materials"/>
    <n v="924412"/>
    <n v="1045068.81"/>
    <d v="2025-10-21T00:00:00"/>
    <d v="2027-05-13T00:00:00"/>
  </r>
  <r>
    <x v="116"/>
    <x v="85"/>
    <s v="Gassner"/>
    <x v="45"/>
    <x v="45"/>
    <s v="BPM System - Signal cables, rack hardware, system connectors"/>
    <n v="829890"/>
    <n v="930931.63"/>
    <d v="2025-10-21T00:00:00"/>
    <d v="2026-10-20T00:00:00"/>
  </r>
  <r>
    <x v="117"/>
    <x v="86"/>
    <s v="Gassner"/>
    <x v="45"/>
    <x v="45"/>
    <s v="BPM Electronics - V301 module procurement (material)"/>
    <n v="1419227"/>
    <n v="1592022.2"/>
    <d v="2025-10-21T00:00:00"/>
    <d v="2026-10-20T00:00:00"/>
  </r>
  <r>
    <x v="118"/>
    <x v="87"/>
    <s v="Gassner"/>
    <x v="46"/>
    <x v="46"/>
    <s v="Longitudinal Feedback System"/>
    <n v="1000000"/>
    <n v="1134653.43"/>
    <d v="2025-10-21T00:00:00"/>
    <d v="2027-10-20T00:00:00"/>
  </r>
  <r>
    <x v="119"/>
    <x v="88"/>
    <s v="Gassner"/>
    <x v="47"/>
    <x v="47"/>
    <s v="SR SLM Materials - s-Rad"/>
    <n v="497900"/>
    <n v="564943.93999999994"/>
    <d v="2025-10-21T00:00:00"/>
    <d v="2027-10-20T00:00:00"/>
  </r>
  <r>
    <x v="120"/>
    <x v="41"/>
    <s v="Bruno"/>
    <x v="48"/>
    <x v="48"/>
    <s v="New PS (medium PS/ Corrector PS) - Vendor Manufacturing - CAEN"/>
    <n v="30000"/>
    <n v="33612.39"/>
    <d v="2025-10-21T00:00:00"/>
    <d v="2026-04-15T00:00:00"/>
  </r>
  <r>
    <x v="121"/>
    <x v="44"/>
    <s v="Bruno"/>
    <x v="48"/>
    <x v="48"/>
    <s v="New PS (medium PS/ Corrector PS) - Vendor Manufacturing - APS PS"/>
    <n v="360000"/>
    <n v="403348.68"/>
    <d v="2025-10-21T00:00:00"/>
    <d v="2026-04-15T00:00:00"/>
  </r>
  <r>
    <x v="122"/>
    <x v="44"/>
    <s v="Bruno"/>
    <x v="48"/>
    <x v="48"/>
    <s v="Quench Protection - Vendor Manufacturing - QPAs - APS"/>
    <n v="204708"/>
    <n v="229357.5"/>
    <d v="2025-10-21T00:00:00"/>
    <d v="2026-02-18T00:00:00"/>
  </r>
  <r>
    <x v="123"/>
    <x v="44"/>
    <s v="Bruno"/>
    <x v="48"/>
    <x v="48"/>
    <s v="HR Straight Sw Mag APS - Vendor Manufacturing"/>
    <n v="170000"/>
    <n v="184141.38"/>
    <d v="2024-05-28T00:00:00"/>
    <d v="2025-02-14T00:00:00"/>
  </r>
  <r>
    <x v="124"/>
    <x v="89"/>
    <s v="Bruno"/>
    <x v="48"/>
    <x v="48"/>
    <s v="HR Straight DC Cables - Vendor Manufacturing"/>
    <n v="290416"/>
    <n v="321270.84999999998"/>
    <d v="2025-03-21T00:00:00"/>
    <d v="2026-03-06T00:00:00"/>
  </r>
  <r>
    <x v="125"/>
    <x v="45"/>
    <s v="Bruno"/>
    <x v="48"/>
    <x v="48"/>
    <s v="Quench Protection - QPAs - Purchase-Racks"/>
    <n v="4000"/>
    <n v="4481.6499999999996"/>
    <d v="2026-02-19T00:00:00"/>
    <d v="2026-08-14T00:00:00"/>
  </r>
  <r>
    <x v="126"/>
    <x v="45"/>
    <s v="Bruno"/>
    <x v="48"/>
    <x v="48"/>
    <s v="New PS (medium PS/ Corrector PS) - Purchase-Racks"/>
    <n v="3000"/>
    <n v="3363.17"/>
    <d v="2026-04-16T00:00:00"/>
    <d v="2026-10-05T00:00:00"/>
  </r>
  <r>
    <x v="127"/>
    <x v="45"/>
    <s v="Bruno"/>
    <x v="48"/>
    <x v="48"/>
    <s v="Quench Detection - QDs - Purchase-Racks"/>
    <n v="3000"/>
    <n v="3361.24"/>
    <d v="2025-10-21T00:00:00"/>
    <d v="2025-11-18T00:00:00"/>
  </r>
  <r>
    <x v="128"/>
    <x v="46"/>
    <s v="Bruno"/>
    <x v="48"/>
    <x v="48"/>
    <s v="HR Straight Sw Mag APS - DC, AC, Control Interlock Cable Order"/>
    <n v="14900"/>
    <n v="16139.45"/>
    <d v="2024-05-28T00:00:00"/>
    <d v="2025-02-14T00:00:00"/>
  </r>
  <r>
    <x v="129"/>
    <x v="47"/>
    <s v="Bruno"/>
    <x v="48"/>
    <x v="48"/>
    <s v="HR Straight Sw Mag APS - Cable Tray Order"/>
    <n v="36024"/>
    <n v="39020.639999999999"/>
    <d v="2024-05-28T00:00:00"/>
    <d v="2025-02-14T00:00:00"/>
  </r>
  <r>
    <x v="130"/>
    <x v="90"/>
    <s v="Weiss"/>
    <x v="49"/>
    <x v="49"/>
    <s v="HR SS Mod Vacuum - valves and pumps - Vendor Fabrication"/>
    <n v="2020410"/>
    <n v="2270201.88"/>
    <d v="2026-05-04T00:00:00"/>
    <d v="2026-10-22T00:00:00"/>
  </r>
  <r>
    <x v="131"/>
    <x v="91"/>
    <s v="Weiss"/>
    <x v="49"/>
    <x v="49"/>
    <s v="HR SS Mod Vacuum - I&amp;C systems - Vendor Fabrication"/>
    <n v="320610"/>
    <n v="363346.67"/>
    <d v="2026-04-06T00:00:00"/>
    <d v="2027-04-05T00:00:00"/>
  </r>
  <r>
    <x v="132"/>
    <x v="92"/>
    <s v="Weiss"/>
    <x v="49"/>
    <x v="49"/>
    <s v="HR SS Mod Vacuum - Chambers, Bellows, Supports - Vendor Fabrication"/>
    <n v="1675350"/>
    <n v="1898670.8"/>
    <d v="2026-04-06T00:00:00"/>
    <d v="2027-04-05T00:00:00"/>
  </r>
  <r>
    <x v="133"/>
    <x v="93"/>
    <s v="Mahler"/>
    <x v="50"/>
    <x v="50"/>
    <s v="AtR to Blue Transfer Line Magnet - Material and construction of the magnets"/>
    <n v="500000"/>
    <n v="560206.5"/>
    <d v="2025-11-19T00:00:00"/>
    <d v="2026-03-18T00:00:00"/>
  </r>
  <r>
    <x v="134"/>
    <x v="41"/>
    <s v="Bruno"/>
    <x v="51"/>
    <x v="51"/>
    <s v="Corr H/V - Vendor Manufacturing - CAEN Corr H/V"/>
    <n v="13144"/>
    <n v="14726.71"/>
    <d v="2025-10-21T00:00:00"/>
    <d v="2026-07-10T00:00:00"/>
  </r>
  <r>
    <x v="135"/>
    <x v="42"/>
    <s v="Bruno"/>
    <x v="51"/>
    <x v="51"/>
    <s v="ATR Quad Cables/Corr H/V - Vendor Maunufacturing - DC Cable Order"/>
    <n v="165336"/>
    <n v="185244.6"/>
    <d v="2025-10-21T00:00:00"/>
    <d v="2026-02-18T00:00:00"/>
  </r>
  <r>
    <x v="136"/>
    <x v="42"/>
    <s v="Bruno"/>
    <x v="51"/>
    <x v="51"/>
    <s v="HR Injection DC Cables - Vendor Manufacturing - DC Cable"/>
    <n v="96633.41"/>
    <n v="106900.09"/>
    <d v="2025-03-21T00:00:00"/>
    <d v="2026-03-06T00:00:00"/>
  </r>
  <r>
    <x v="137"/>
    <x v="43"/>
    <s v="Bruno"/>
    <x v="51"/>
    <x v="51"/>
    <s v="ATR Quad/Dipole- Vendor Manufacturing - BiGen"/>
    <n v="104329"/>
    <n v="116891.57"/>
    <d v="2025-10-21T00:00:00"/>
    <d v="2026-07-10T00:00:00"/>
  </r>
  <r>
    <x v="138"/>
    <x v="43"/>
    <s v="Bruno"/>
    <x v="51"/>
    <x v="51"/>
    <s v="HR Inj Warm Line Quad/Dipole BiGen - Vendor Manufacturing"/>
    <n v="62756"/>
    <n v="70312.639999999999"/>
    <d v="2025-10-21T00:00:00"/>
    <d v="2026-07-10T00:00:00"/>
  </r>
  <r>
    <x v="139"/>
    <x v="44"/>
    <s v="Bruno"/>
    <x v="51"/>
    <x v="51"/>
    <s v="HR Inj Warm Line Septum APS - Vendor Manufacturing"/>
    <n v="1023827"/>
    <n v="1147109.08"/>
    <d v="2025-10-21T00:00:00"/>
    <d v="2026-07-10T00:00:00"/>
  </r>
  <r>
    <x v="140"/>
    <x v="44"/>
    <s v="Bruno"/>
    <x v="51"/>
    <x v="51"/>
    <s v="ATR Dipole - Vendor Maunufacturing - APS"/>
    <n v="150000"/>
    <n v="168061.95"/>
    <d v="2025-10-21T00:00:00"/>
    <d v="2026-02-18T00:00:00"/>
  </r>
  <r>
    <x v="141"/>
    <x v="44"/>
    <s v="Bruno"/>
    <x v="51"/>
    <x v="51"/>
    <s v="New PS (medium PS/ Corrector PS) - Vendor Manufacturing - APS PS"/>
    <n v="120000"/>
    <n v="134449.56"/>
    <d v="2025-10-21T00:00:00"/>
    <d v="2026-04-15T00:00:00"/>
  </r>
  <r>
    <x v="142"/>
    <x v="44"/>
    <s v="Bruno"/>
    <x v="51"/>
    <x v="51"/>
    <s v="Quench Protection - Vendor Manufacturing - QPAs - APS"/>
    <n v="51580"/>
    <n v="57790.9"/>
    <d v="2025-10-21T00:00:00"/>
    <d v="2026-02-18T00:00:00"/>
  </r>
  <r>
    <x v="143"/>
    <x v="45"/>
    <s v="Bruno"/>
    <x v="51"/>
    <x v="51"/>
    <s v="ATR Quad/Dipole/Corr H/V - Purchase-Racks"/>
    <n v="6000"/>
    <n v="6730.21"/>
    <d v="2026-07-13T00:00:00"/>
    <d v="2026-10-05T00:00:00"/>
  </r>
  <r>
    <x v="144"/>
    <x v="45"/>
    <s v="Bruno"/>
    <x v="51"/>
    <x v="51"/>
    <s v="HR Inj Warm Line Quad/Dipole BiGen - Installation Racks Vendor Manufacturing"/>
    <n v="6000"/>
    <n v="6722.48"/>
    <d v="2025-10-21T00:00:00"/>
    <d v="2026-07-10T00:00:00"/>
  </r>
  <r>
    <x v="145"/>
    <x v="45"/>
    <s v="Bruno"/>
    <x v="51"/>
    <x v="51"/>
    <s v="New PS (medium PS/ Corrector PS) - Purchase-Racks"/>
    <n v="4000"/>
    <n v="4484.2299999999996"/>
    <d v="2026-04-16T00:00:00"/>
    <d v="2026-10-05T00:00:00"/>
  </r>
  <r>
    <x v="146"/>
    <x v="45"/>
    <s v="Bruno"/>
    <x v="51"/>
    <x v="51"/>
    <s v="Quench Protection - QPAs - Purchase-Racks"/>
    <n v="3000"/>
    <n v="3361.24"/>
    <d v="2026-02-19T00:00:00"/>
    <d v="2026-08-14T00:00:00"/>
  </r>
  <r>
    <x v="147"/>
    <x v="45"/>
    <s v="Bruno"/>
    <x v="51"/>
    <x v="51"/>
    <s v="Quench Detection - QDs - Purchase-Racks"/>
    <n v="3000"/>
    <n v="3361.24"/>
    <d v="2026-02-19T00:00:00"/>
    <d v="2026-07-28T00:00:00"/>
  </r>
  <r>
    <x v="148"/>
    <x v="46"/>
    <s v="Bruno"/>
    <x v="51"/>
    <x v="51"/>
    <s v="HR Inj Warm Line Septum/Quad/Dipole - DC, AC, Control Interlock Cable Order"/>
    <n v="410425"/>
    <n v="459845.51"/>
    <d v="2025-10-21T00:00:00"/>
    <d v="2026-07-10T00:00:00"/>
  </r>
  <r>
    <x v="149"/>
    <x v="46"/>
    <s v="Bruno"/>
    <x v="51"/>
    <x v="51"/>
    <s v="HR Inj Warm Line Quad/Dipole BiGen - Travel"/>
    <n v="9000"/>
    <n v="13045.88"/>
    <d v="2025-10-21T00:00:00"/>
    <d v="2026-07-10T00:00:00"/>
  </r>
  <r>
    <x v="150"/>
    <x v="47"/>
    <s v="Bruno"/>
    <x v="51"/>
    <x v="51"/>
    <s v="HR Inj Warm Line Septum/Quad/Dipole - Cable Tray Order"/>
    <n v="144094"/>
    <n v="161444.79"/>
    <d v="2025-10-21T00:00:00"/>
    <d v="2026-07-10T00:00:00"/>
  </r>
  <r>
    <x v="151"/>
    <x v="47"/>
    <s v="Bruno"/>
    <x v="51"/>
    <x v="51"/>
    <s v="ATR Quad Cables/Corr H/V - Cable Tray - Vendor Maunufacturing - DC Cable Tray Order"/>
    <n v="72074"/>
    <n v="80752.649999999994"/>
    <d v="2025-10-21T00:00:00"/>
    <d v="2026-02-18T00:00:00"/>
  </r>
  <r>
    <x v="152"/>
    <x v="94"/>
    <s v="Weiss"/>
    <x v="52"/>
    <x v="52"/>
    <s v="HR Inj-Sys Upgrade Vacuum - Chambers, Bellows, Supports - Vendor Fabrication"/>
    <n v="259150"/>
    <n v="293694.18"/>
    <d v="2026-04-06T00:00:00"/>
    <d v="2027-04-05T00:00:00"/>
  </r>
  <r>
    <x v="153"/>
    <x v="95"/>
    <s v="Sandberg"/>
    <x v="53"/>
    <x v="53"/>
    <s v="Construction - Material"/>
    <n v="2995807"/>
    <n v="3474713.91"/>
    <d v="2025-10-21T00:00:00"/>
    <d v="2029-09-19T00:00:00"/>
  </r>
  <r>
    <x v="154"/>
    <x v="96"/>
    <s v="Sandberg"/>
    <x v="53"/>
    <x v="53"/>
    <s v="Long Lead Procurement - Material"/>
    <n v="1528473"/>
    <n v="1734171.07"/>
    <d v="2025-10-21T00:00:00"/>
    <d v="2027-10-19T00:00:00"/>
  </r>
  <r>
    <x v="155"/>
    <x v="97"/>
    <s v="Tuozzolo"/>
    <x v="54"/>
    <x v="54"/>
    <s v="Carbon Coating System Service Bldg 919B - Building Modification SubContract – Pit and service crane"/>
    <n v="2000000"/>
    <n v="2264534.4"/>
    <d v="2026-03-23T00:00:00"/>
    <d v="2027-03-22T00:00:00"/>
  </r>
  <r>
    <x v="156"/>
    <x v="98"/>
    <s v="Tuozzolo"/>
    <x v="54"/>
    <x v="54"/>
    <s v="Bellows Upgrade -  Shield inserts - Vendor Fabrication/Leadtime"/>
    <n v="330000"/>
    <n v="361423.59"/>
    <d v="2024-10-04T00:00:00"/>
    <d v="2025-04-08T00:00:00"/>
  </r>
  <r>
    <x v="157"/>
    <x v="99"/>
    <s v="Tuozzolo"/>
    <x v="54"/>
    <x v="54"/>
    <s v="Beam Tube Sleeves - Vendor Fabrication/Leadtime"/>
    <n v="1719000"/>
    <n v="1902607.08"/>
    <d v="2025-03-21T00:00:00"/>
    <d v="2026-03-20T00:00:00"/>
  </r>
  <r>
    <x v="158"/>
    <x v="100"/>
    <s v="Tuozzolo"/>
    <x v="54"/>
    <x v="54"/>
    <s v="Carbon Coating System - AC coating system material"/>
    <n v="546000"/>
    <n v="598156.80000000005"/>
    <d v="2024-10-04T00:00:00"/>
    <d v="2025-10-03T00:00:00"/>
  </r>
  <r>
    <x v="159"/>
    <x v="101"/>
    <s v="Tuozzolo"/>
    <x v="54"/>
    <x v="54"/>
    <s v="Carbon Coating System Service Bldg - A/E Design"/>
    <n v="309338"/>
    <n v="342378.52"/>
    <d v="2025-03-21T00:00:00"/>
    <d v="2026-03-20T00:00:00"/>
  </r>
  <r>
    <x v="160"/>
    <x v="102"/>
    <s v="Tuozzolo"/>
    <x v="54"/>
    <x v="54"/>
    <s v="Carbon Coating System - Power Supplies &amp; other equipment"/>
    <n v="500000"/>
    <n v="547762.64"/>
    <d v="2024-10-04T00:00:00"/>
    <d v="2025-10-03T00:00:00"/>
  </r>
  <r>
    <x v="161"/>
    <x v="103"/>
    <s v="Gassner"/>
    <x v="55"/>
    <x v="55"/>
    <s v="BPM Electronics - V301 Module - PCB Assy - Non Labor"/>
    <n v="598956"/>
    <n v="691060.61"/>
    <d v="2027-05-26T00:00:00"/>
    <d v="2027-11-23T00:00:00"/>
  </r>
  <r>
    <x v="162"/>
    <x v="104"/>
    <s v="Gassner"/>
    <x v="55"/>
    <x v="55"/>
    <s v="BPM Electronics - Construction - Non Labor"/>
    <n v="255518.36"/>
    <n v="286628.5"/>
    <d v="2025-10-21T00:00:00"/>
    <d v="2026-10-20T00:00:00"/>
  </r>
  <r>
    <x v="163"/>
    <x v="105"/>
    <s v="Gassner"/>
    <x v="55"/>
    <x v="55"/>
    <s v="BPM Cables procure - Material"/>
    <n v="615570"/>
    <n v="690517.52"/>
    <d v="2025-10-21T00:00:00"/>
    <d v="2026-10-20T00:00:00"/>
  </r>
  <r>
    <x v="164"/>
    <x v="106"/>
    <s v="Gassner"/>
    <x v="55"/>
    <x v="55"/>
    <s v="BPM Buttons and Housing procure- Material"/>
    <n v="1471000"/>
    <n v="1702942.62"/>
    <d v="2027-03-15T00:00:00"/>
    <d v="2028-03-13T00:00:00"/>
  </r>
  <r>
    <x v="165"/>
    <x v="107"/>
    <s v="Gassner"/>
    <x v="56"/>
    <x v="56"/>
    <s v="AtR Material - Construction"/>
    <n v="343563"/>
    <n v="389824.94"/>
    <d v="2025-10-21T00:00:00"/>
    <d v="2027-10-20T00:00:00"/>
  </r>
  <r>
    <x v="166"/>
    <x v="108"/>
    <s v="Anerella"/>
    <x v="57"/>
    <x v="57"/>
    <s v="Reconfiguring helical magnets in snakes - Non Labor"/>
    <n v="441487"/>
    <n v="523737.09"/>
    <d v="2027-10-05T00:00:00"/>
    <d v="2029-10-03T00:00:00"/>
  </r>
  <r>
    <x v="167"/>
    <x v="109"/>
    <s v="Skaritka"/>
    <x v="58"/>
    <x v="58"/>
    <s v="High Current HCeS - Procurements - materials/equipment for refurbishment, upgrade, and reassembly of systems"/>
    <n v="250000"/>
    <n v="291488.63"/>
    <d v="2027-07-22T00:00:00"/>
    <d v="2028-05-09T00:00:00"/>
  </r>
  <r>
    <x v="168"/>
    <x v="110"/>
    <s v="Wang"/>
    <x v="59"/>
    <x v="59"/>
    <s v="Partner Lab Resources - LBNL [0.5 FTE]"/>
    <n v="300000"/>
    <n v="308594.09000000003"/>
    <s v="03-Jan-22*"/>
    <d v="2022-12-30T00:00:00"/>
  </r>
  <r>
    <x v="169"/>
    <x v="111"/>
    <s v="Witte"/>
    <x v="60"/>
    <x v="60"/>
    <s v="SHC Beam Transport Magnets - Fabrication"/>
    <n v="6569583"/>
    <n v="7693616.3099999996"/>
    <d v="2027-03-16T00:00:00"/>
    <d v="2029-03-14T00:00:00"/>
  </r>
  <r>
    <x v="170"/>
    <x v="112"/>
    <s v="Witte"/>
    <x v="60"/>
    <x v="60"/>
    <s v="Girder - Vendor Fabrication  [$5K per Girder, 530 Girders]"/>
    <n v="2650000"/>
    <n v="3096066.76"/>
    <d v="2027-08-05T00:00:00"/>
    <d v="2028-08-03T00:00:00"/>
  </r>
  <r>
    <x v="171"/>
    <x v="113"/>
    <s v="Weiss"/>
    <x v="61"/>
    <x v="61"/>
    <s v="e-beamlines Baked Vacuum - Chambers, Bellows, Supports - Vendor Fabrication"/>
    <n v="531600"/>
    <n v="607776.56000000006"/>
    <d v="2026-08-21T00:00:00"/>
    <d v="2027-08-20T00:00:00"/>
  </r>
  <r>
    <x v="172"/>
    <x v="114"/>
    <s v="Weiss"/>
    <x v="61"/>
    <x v="61"/>
    <s v="e-loop Return Vacuum - Chambers, Bellows, Supports - Vendor Fabrication"/>
    <n v="277875"/>
    <n v="317693.59000000003"/>
    <d v="2026-08-21T00:00:00"/>
    <d v="2027-08-20T00:00:00"/>
  </r>
  <r>
    <x v="173"/>
    <x v="115"/>
    <s v="Weiss"/>
    <x v="61"/>
    <x v="61"/>
    <s v="DC-Gun LINAC Vacuum - Chambers, Bellows, Supports - Vendor Fabrication"/>
    <n v="387800"/>
    <n v="443370.48"/>
    <d v="2026-08-21T00:00:00"/>
    <d v="2027-08-20T00:00:00"/>
  </r>
  <r>
    <x v="174"/>
    <x v="116"/>
    <s v="Weiss"/>
    <x v="61"/>
    <x v="61"/>
    <s v="e-loop Return Vacuum - valves and pumps - Vendor Fabrication"/>
    <n v="257400"/>
    <n v="295027.5"/>
    <d v="2027-01-19T00:00:00"/>
    <d v="2027-07-08T00:00:00"/>
  </r>
  <r>
    <x v="175"/>
    <x v="117"/>
    <s v="Gassner"/>
    <x v="62"/>
    <x v="62"/>
    <s v="BPM System - Materials"/>
    <n v="874726"/>
    <n v="990724.11"/>
    <d v="2025-10-21T00:00:00"/>
    <d v="2027-08-09T00:00:00"/>
  </r>
  <r>
    <x v="176"/>
    <x v="118"/>
    <s v="Gassner"/>
    <x v="63"/>
    <x v="63"/>
    <s v="Charge and Current Monitors - Materials"/>
    <n v="974565"/>
    <n v="1103802.8400000001"/>
    <d v="2025-10-21T00:00:00"/>
    <d v="2027-08-09T00:00:00"/>
  </r>
  <r>
    <x v="177"/>
    <x v="119"/>
    <s v="Gassner"/>
    <x v="64"/>
    <x v="64"/>
    <s v="Profile Monitors - Materials"/>
    <n v="1499550"/>
    <n v="1698406.53"/>
    <d v="2025-10-21T00:00:00"/>
    <d v="2027-08-09T00:00:00"/>
  </r>
  <r>
    <x v="178"/>
    <x v="120"/>
    <s v="Gassner"/>
    <x v="65"/>
    <x v="65"/>
    <s v="Synchrotron Radiation Monitors - Synchrotron Radiation Monitors - Materials"/>
    <n v="810630"/>
    <n v="918128.29"/>
    <d v="2025-10-21T00:00:00"/>
    <d v="2027-08-09T00:00:00"/>
  </r>
  <r>
    <x v="179"/>
    <x v="41"/>
    <s v="Bruno"/>
    <x v="66"/>
    <x v="66"/>
    <s v="Small PS - Manufacturing - CAEN"/>
    <n v="393120"/>
    <n v="440456.76"/>
    <d v="2026-05-15T00:00:00"/>
    <d v="2026-08-10T00:00:00"/>
  </r>
  <r>
    <x v="180"/>
    <x v="42"/>
    <s v="Bruno"/>
    <x v="66"/>
    <x v="66"/>
    <s v="Cable - Manufacturing - DC Cable Order"/>
    <n v="346979"/>
    <n v="390095.89"/>
    <d v="2026-03-04T00:00:00"/>
    <d v="2026-11-06T00:00:00"/>
  </r>
  <r>
    <x v="181"/>
    <x v="43"/>
    <s v="Bruno"/>
    <x v="66"/>
    <x v="66"/>
    <s v="Medium PS  - Vendor Manufacturing"/>
    <n v="1494602"/>
    <n v="1674571.51"/>
    <d v="2025-12-04T00:00:00"/>
    <d v="2026-05-27T00:00:00"/>
  </r>
  <r>
    <x v="182"/>
    <x v="45"/>
    <s v="Bruno"/>
    <x v="66"/>
    <x v="66"/>
    <s v="Medium PS - Installation Racks"/>
    <n v="132000"/>
    <n v="147894.51999999999"/>
    <d v="2026-05-28T00:00:00"/>
    <d v="2026-07-23T00:00:00"/>
  </r>
  <r>
    <x v="183"/>
    <x v="45"/>
    <s v="Bruno"/>
    <x v="66"/>
    <x v="66"/>
    <s v="Small PS - Installation Racks"/>
    <n v="15000"/>
    <n v="16960.82"/>
    <d v="2026-08-11T00:00:00"/>
    <d v="2026-11-04T00:00:00"/>
  </r>
  <r>
    <x v="184"/>
    <x v="47"/>
    <s v="Bruno"/>
    <x v="66"/>
    <x v="66"/>
    <s v="Cable Tray - Manufacturing - Cable Tray Order"/>
    <n v="72047"/>
    <n v="80999.83"/>
    <d v="2026-03-04T00:00:00"/>
    <d v="2026-11-06T00:00:00"/>
  </r>
  <r>
    <x v="185"/>
    <x v="121"/>
    <s v="Tuozzolo"/>
    <x v="67"/>
    <x v="67"/>
    <s v="Hadron Chicane magnet layout / interconnect Fabrication"/>
    <n v="698243"/>
    <n v="795060.09"/>
    <d v="2026-06-18T00:00:00"/>
    <d v="2027-06-17T00:00:00"/>
  </r>
  <r>
    <x v="186"/>
    <x v="122"/>
    <s v="Witte"/>
    <x v="68"/>
    <x v="68"/>
    <s v="Direct Wind Magnets 5 - B2eR - Cold Mass Assembly - Parts Fabrication"/>
    <n v="800214"/>
    <n v="911177.07"/>
    <d v="2026-08-12T00:00:00"/>
    <d v="2027-02-05T00:00:00"/>
  </r>
  <r>
    <x v="187"/>
    <x v="122"/>
    <s v="Witte"/>
    <x v="68"/>
    <x v="68"/>
    <s v="Direct Wind Magnets 5 - B2eR - Coil Assembly - Coil Parts Fabrication"/>
    <n v="683109"/>
    <n v="765364.2"/>
    <d v="2026-03-23T00:00:00"/>
    <d v="2026-07-14T00:00:00"/>
  </r>
  <r>
    <x v="188"/>
    <x v="122"/>
    <s v="Witte"/>
    <x v="68"/>
    <x v="68"/>
    <s v="Direct Wind Magnets 5 - B2eR - Vertical Cold Test - Material"/>
    <n v="495248"/>
    <n v="562327.11"/>
    <d v="2026-08-26T00:00:00"/>
    <d v="2026-11-20T00:00:00"/>
  </r>
  <r>
    <x v="189"/>
    <x v="122"/>
    <s v="Witte"/>
    <x v="68"/>
    <x v="68"/>
    <s v="Direct Wind Magnets 12 - Q2BpR - Coil Assembly - Coil Parts Fabrication"/>
    <n v="338039"/>
    <n v="387454.56"/>
    <d v="2027-05-04T00:00:00"/>
    <d v="2027-08-25T00:00:00"/>
  </r>
  <r>
    <x v="190"/>
    <x v="122"/>
    <s v="Witte"/>
    <x v="68"/>
    <x v="68"/>
    <s v="Direct Wind Magnets 12 - Q2BpR - Cold Mass Assembly - Parts Fabrication"/>
    <n v="280325"/>
    <n v="328385.76"/>
    <d v="2027-09-24T00:00:00"/>
    <d v="2028-03-21T00:00:00"/>
  </r>
  <r>
    <x v="191"/>
    <x v="122"/>
    <s v="Witte"/>
    <x v="68"/>
    <x v="68"/>
    <s v="Direct Wind Magnets 12 - Q2BpR - Vertical Cold Test - Material"/>
    <n v="209210"/>
    <n v="245308.14"/>
    <d v="2027-10-08T00:00:00"/>
    <d v="2028-01-07T00:00:00"/>
  </r>
  <r>
    <x v="192"/>
    <x v="122"/>
    <s v="Witte"/>
    <x v="68"/>
    <x v="68"/>
    <s v="Direct Wind Magnets 8 - B0pF - Quad - Cold Mass Assembly - Parts Fabrication"/>
    <n v="199067"/>
    <n v="228167.21"/>
    <d v="2027-02-08T00:00:00"/>
    <d v="2027-07-28T00:00:00"/>
  </r>
  <r>
    <x v="193"/>
    <x v="122"/>
    <s v="Witte"/>
    <x v="68"/>
    <x v="68"/>
    <s v="Direct Wind Magnets 2 - Q2eF -Cold Mass Assembly - Parts Fabrication"/>
    <n v="175280"/>
    <n v="196385.99"/>
    <d v="2025-10-23T00:00:00"/>
    <d v="2026-04-17T00:00:00"/>
  </r>
  <r>
    <x v="194"/>
    <x v="122"/>
    <s v="Witte"/>
    <x v="68"/>
    <x v="68"/>
    <s v="Direct Wind Magnets 7 - B0pF - Dipole - Cold Mass Assembly - Parts Fabrication"/>
    <n v="169871"/>
    <n v="194703.25"/>
    <d v="2026-12-09T00:00:00"/>
    <d v="2027-06-01T00:00:00"/>
  </r>
  <r>
    <x v="195"/>
    <x v="122"/>
    <s v="Witte"/>
    <x v="68"/>
    <x v="68"/>
    <s v="Direct Wind Magnets 8 - B0pF - Quad - Coil Assembly - Coil Parts Fabrication"/>
    <n v="169936"/>
    <n v="193956.64"/>
    <d v="2026-09-10T00:00:00"/>
    <d v="2027-01-07T00:00:00"/>
  </r>
  <r>
    <x v="196"/>
    <x v="122"/>
    <s v="Witte"/>
    <x v="68"/>
    <x v="68"/>
    <s v="Direct Wind Magnets 3 - Q1eR - Cold Mass Assembly - Parts Fabrication"/>
    <n v="164012"/>
    <n v="183761.18"/>
    <d v="2025-12-23T00:00:00"/>
    <d v="2026-06-15T00:00:00"/>
  </r>
  <r>
    <x v="197"/>
    <x v="122"/>
    <s v="Witte"/>
    <x v="68"/>
    <x v="68"/>
    <s v="Direct Wind Magnets 2 - Q2eF -Coil Assembly - Coil Parts Fabrication"/>
    <n v="149629"/>
    <n v="167646.28"/>
    <d v="2025-10-21T00:00:00"/>
    <d v="2026-02-18T00:00:00"/>
  </r>
  <r>
    <x v="198"/>
    <x v="122"/>
    <s v="Witte"/>
    <x v="68"/>
    <x v="68"/>
    <s v="Direct Wind Magnets 7 - B0pF - Dipole - Coil Assembly - Coil Parts Fabrication"/>
    <n v="145012"/>
    <n v="163641.13"/>
    <d v="2026-07-15T00:00:00"/>
    <d v="2026-11-05T00:00:00"/>
  </r>
  <r>
    <x v="199"/>
    <x v="122"/>
    <s v="Witte"/>
    <x v="68"/>
    <x v="68"/>
    <s v="Direct Wind Magnets 3 - Q1eR - Coil Assembly - Coil Parts Fabrication"/>
    <n v="140010"/>
    <n v="156869.01999999999"/>
    <d v="2025-10-21T00:00:00"/>
    <d v="2026-02-18T00:00:00"/>
  </r>
  <r>
    <x v="200"/>
    <x v="122"/>
    <s v="Witte"/>
    <x v="68"/>
    <x v="68"/>
    <s v="Direct Wind Magnets 4 - Q2eR - Cold Mass Assembly - Parts Fabrication"/>
    <n v="137244"/>
    <n v="153769.96"/>
    <d v="2026-02-23T00:00:00"/>
    <d v="2026-08-11T00:00:00"/>
  </r>
  <r>
    <x v="201"/>
    <x v="122"/>
    <s v="Witte"/>
    <x v="68"/>
    <x v="68"/>
    <s v="Direct Wind Magnets 11 - Q1BpR - Coil Assembly - Coil Parts Fabrication"/>
    <n v="125200"/>
    <n v="143502.10999999999"/>
    <d v="2027-03-09T00:00:00"/>
    <d v="2027-06-29T00:00:00"/>
  </r>
  <r>
    <x v="202"/>
    <x v="122"/>
    <s v="Witte"/>
    <x v="68"/>
    <x v="68"/>
    <s v="Direct Wind Magnets 8 - B0pF - Quad - Vertical Cold Test - Material"/>
    <n v="123202"/>
    <n v="141212.04"/>
    <d v="2027-02-23T00:00:00"/>
    <d v="2027-05-17T00:00:00"/>
  </r>
  <r>
    <x v="203"/>
    <x v="122"/>
    <s v="Witte"/>
    <x v="68"/>
    <x v="68"/>
    <s v="Direct Wind Magnets 4 - Q2eR - Coil Assembly - Coil Parts Fabrication"/>
    <n v="117159"/>
    <n v="131266.47"/>
    <d v="2025-10-21T00:00:00"/>
    <d v="2026-02-18T00:00:00"/>
  </r>
  <r>
    <x v="204"/>
    <x v="122"/>
    <s v="Witte"/>
    <x v="68"/>
    <x v="68"/>
    <s v="Direct Wind Magnets 2 - Q2eF -Vertical Cold Test - Material"/>
    <n v="108479"/>
    <n v="121541.28"/>
    <d v="2025-11-06T00:00:00"/>
    <d v="2026-02-05T00:00:00"/>
  </r>
  <r>
    <x v="205"/>
    <x v="122"/>
    <s v="Witte"/>
    <x v="68"/>
    <x v="68"/>
    <s v="Direct Wind Magnets 11 - Q1BpR - Cold Mass Assembly - Parts Fabrication"/>
    <n v="103824"/>
    <n v="120711.93"/>
    <d v="2027-07-29T00:00:00"/>
    <d v="2028-01-24T00:00:00"/>
  </r>
  <r>
    <x v="206"/>
    <x v="122"/>
    <s v="Witte"/>
    <x v="68"/>
    <x v="68"/>
    <s v="Direct Wind Magnets 7 - B0pF - Dipole - Vertical Cold Test - Material"/>
    <n v="105132"/>
    <n v="120500.51"/>
    <d v="2026-12-23T00:00:00"/>
    <d v="2027-03-22T00:00:00"/>
  </r>
  <r>
    <x v="207"/>
    <x v="122"/>
    <s v="Witte"/>
    <x v="68"/>
    <x v="68"/>
    <s v="Direct Wind Magnets 3 - Q1eR - Vertical Cold Test - Material"/>
    <n v="101506"/>
    <n v="113728.64"/>
    <d v="2026-01-08T00:00:00"/>
    <d v="2026-04-03T00:00:00"/>
  </r>
  <r>
    <x v="208"/>
    <x v="122"/>
    <s v="Witte"/>
    <x v="68"/>
    <x v="68"/>
    <s v="Direct Wind Magnets 6 - B0ApF - Cold Mass Assembly - Parts Fabrication"/>
    <n v="96629.09"/>
    <n v="110754.62"/>
    <d v="2026-10-08T00:00:00"/>
    <d v="2027-04-05T00:00:00"/>
  </r>
  <r>
    <x v="209"/>
    <x v="122"/>
    <s v="Witte"/>
    <x v="68"/>
    <x v="68"/>
    <s v="Direct Wind Magnets 9 - Q0eF - Cold Mass Assembly - Parts Fabrication"/>
    <n v="85424"/>
    <n v="97911.54"/>
    <d v="2027-04-06T00:00:00"/>
    <d v="2027-09-23T00:00:00"/>
  </r>
  <r>
    <x v="210"/>
    <x v="122"/>
    <s v="Witte"/>
    <x v="68"/>
    <x v="68"/>
    <s v="Direct Wind Magnets 4 - Q2eR - Vertical Cold Test - Material"/>
    <n v="84939"/>
    <n v="95166.76"/>
    <d v="2026-03-09T00:00:00"/>
    <d v="2026-06-01T00:00:00"/>
  </r>
  <r>
    <x v="211"/>
    <x v="122"/>
    <s v="Witte"/>
    <x v="68"/>
    <x v="68"/>
    <s v="Direct Wind Magnets 6 - B0ApF - Coil Assembly - Coil Parts Fabrication"/>
    <n v="82488.25"/>
    <n v="92420.91"/>
    <d v="2026-05-18T00:00:00"/>
    <d v="2026-09-09T00:00:00"/>
  </r>
  <r>
    <x v="212"/>
    <x v="122"/>
    <s v="Witte"/>
    <x v="68"/>
    <x v="68"/>
    <s v="Direct Wind Magnets 11 - Q1BpR - Vertical Cold Test - Material"/>
    <n v="77485"/>
    <n v="89663.1"/>
    <d v="2027-08-12T00:00:00"/>
    <d v="2027-11-05T00:00:00"/>
  </r>
  <r>
    <x v="213"/>
    <x v="122"/>
    <s v="Witte"/>
    <x v="68"/>
    <x v="68"/>
    <s v="Direct Wind Magnets 9 - Q0eF - Coil Assembly - Coil Parts Fabrication"/>
    <n v="72923"/>
    <n v="83583.100000000006"/>
    <d v="2026-11-06T00:00:00"/>
    <d v="2027-03-08T00:00:00"/>
  </r>
  <r>
    <x v="214"/>
    <x v="122"/>
    <s v="Witte"/>
    <x v="68"/>
    <x v="68"/>
    <s v="Direct Wind Magnets 10 - Q1ApR - Coil Assembly - Coil Parts Fabrication"/>
    <n v="71989.8"/>
    <n v="82513.48"/>
    <d v="2027-01-08T00:00:00"/>
    <d v="2027-05-03T00:00:00"/>
  </r>
  <r>
    <x v="215"/>
    <x v="122"/>
    <s v="Witte"/>
    <x v="68"/>
    <x v="68"/>
    <s v="Direct Wind Magnets 10 - Q1ApR - Cold Mass Assembly - Parts Fabrication"/>
    <n v="59698.86"/>
    <n v="68884.84"/>
    <d v="2027-06-02T00:00:00"/>
    <d v="2027-11-22T00:00:00"/>
  </r>
  <r>
    <x v="216"/>
    <x v="122"/>
    <s v="Witte"/>
    <x v="68"/>
    <x v="68"/>
    <s v="Direct Wind Magnets 6 - B0ApF - Vertical Cold Test - Material"/>
    <n v="59803.19"/>
    <n v="68545.399999999994"/>
    <d v="2026-10-23T00:00:00"/>
    <d v="2027-01-22T00:00:00"/>
  </r>
  <r>
    <x v="217"/>
    <x v="122"/>
    <s v="Witte"/>
    <x v="68"/>
    <x v="68"/>
    <s v="Direct Wind Magnets 9 - Q0eF - Vertical Cold Test - Material"/>
    <n v="52868"/>
    <n v="60596.4"/>
    <d v="2027-04-20T00:00:00"/>
    <d v="2027-07-14T00:00:00"/>
  </r>
  <r>
    <x v="218"/>
    <x v="122"/>
    <s v="Witte"/>
    <x v="68"/>
    <x v="68"/>
    <s v="Direct Wind Magnets 10 - Q1ApR - Vertical Cold Test - Material"/>
    <n v="44554.080000000002"/>
    <n v="51067.13"/>
    <d v="2027-06-16T00:00:00"/>
    <d v="2027-09-09T00:00:00"/>
  </r>
  <r>
    <x v="219"/>
    <x v="123"/>
    <s v="Witte"/>
    <x v="69"/>
    <x v="69"/>
    <s v="Collared Magnet 1 - Q1ApF - Fabrication/ Manufacturing"/>
    <n v="2049000"/>
    <n v="2364060.39"/>
    <d v="2026-01-15T00:00:00"/>
    <d v="2029-01-16T00:00:00"/>
  </r>
  <r>
    <x v="220"/>
    <x v="124"/>
    <s v="Witte"/>
    <x v="69"/>
    <x v="69"/>
    <s v="Collared Magnet 2 - Q1BpF - Fabrication/ Manufacturing"/>
    <n v="2049000"/>
    <n v="2368382.41"/>
    <d v="2026-02-13T00:00:00"/>
    <d v="2029-02-13T00:00:00"/>
  </r>
  <r>
    <x v="221"/>
    <x v="125"/>
    <s v="Witte"/>
    <x v="69"/>
    <x v="69"/>
    <s v="Collared Magnet 3 - Q2pF - Fabrication/ Manufacturing"/>
    <n v="2049000"/>
    <n v="2368382.41"/>
    <d v="2026-02-13T00:00:00"/>
    <d v="2029-02-13T00:00:00"/>
  </r>
  <r>
    <x v="222"/>
    <x v="126"/>
    <s v="Witte"/>
    <x v="69"/>
    <x v="69"/>
    <s v="Collared Magnet 4 - B1pF - Fabrication/ Manufacturing"/>
    <n v="2185000"/>
    <n v="2525581.0499999998"/>
    <d v="2026-02-13T00:00:00"/>
    <d v="2029-02-13T00:00:00"/>
  </r>
  <r>
    <x v="223"/>
    <x v="127"/>
    <s v="Witte"/>
    <x v="69"/>
    <x v="69"/>
    <s v="Collared Magnet 5 - B1ApF - Fabrication/ Manufacturing"/>
    <n v="2185000"/>
    <n v="2525581.0499999998"/>
    <d v="2026-02-13T00:00:00"/>
    <d v="2029-02-13T00:00:00"/>
  </r>
  <r>
    <x v="224"/>
    <x v="7"/>
    <s v="Witte"/>
    <x v="70"/>
    <x v="70"/>
    <s v="IR Magnets Warm - Vendor Manufacturing / Fabrication"/>
    <n v="2413369"/>
    <n v="2707204.01"/>
    <d v="2025-10-21T00:00:00"/>
    <d v="2026-10-20T00:00:00"/>
  </r>
  <r>
    <x v="225"/>
    <x v="128"/>
    <s v="Tuozzolo"/>
    <x v="71"/>
    <x v="71"/>
    <s v="IR Magnet Cryostats, Forward Fabrication"/>
    <n v="1337062"/>
    <n v="1520726.58"/>
    <d v="2025-12-01T00:00:00"/>
    <d v="2027-11-30T00:00:00"/>
  </r>
  <r>
    <x v="226"/>
    <x v="129"/>
    <s v="Tuozzolo"/>
    <x v="71"/>
    <x v="71"/>
    <s v="B0pF Cryostat Fabrication"/>
    <n v="279967"/>
    <n v="325748.25"/>
    <d v="2026-12-01T00:00:00"/>
    <d v="2028-11-29T00:00:00"/>
  </r>
  <r>
    <x v="227"/>
    <x v="130"/>
    <s v="Tuozzolo"/>
    <x v="71"/>
    <x v="71"/>
    <s v="IR Magnet Cryostats, Rear Fabrication"/>
    <n v="870903"/>
    <n v="974477.12"/>
    <d v="2025-03-13T00:00:00"/>
    <d v="2027-03-12T00:00:00"/>
  </r>
  <r>
    <x v="228"/>
    <x v="131"/>
    <s v="Witte"/>
    <x v="72"/>
    <x v="72"/>
    <s v="Spin Rotator - Fabrication-Manufacturing (Cost Module 1-4=$9.45/ 5-16=$19.85)"/>
    <n v="29310000"/>
    <n v="34249565.450000003"/>
    <d v="2026-08-05T00:00:00"/>
    <d v="2029-08-03T00:00:00"/>
  </r>
  <r>
    <x v="229"/>
    <x v="132"/>
    <s v="Witte"/>
    <x v="72"/>
    <x v="72"/>
    <s v="Spin Rotator Quad - Fabrication Manufacturing"/>
    <n v="748464"/>
    <n v="867102.28"/>
    <d v="2026-03-23T00:00:00"/>
    <d v="2029-03-21T00:00:00"/>
  </r>
  <r>
    <x v="230"/>
    <x v="133"/>
    <s v="Bruno"/>
    <x v="73"/>
    <x v="73"/>
    <s v="PED, Quench Protection - Vendor Manufacturing - OCEM"/>
    <n v="1200742"/>
    <n v="1345713.74"/>
    <d v="2025-10-21T00:00:00"/>
    <d v="2026-10-05T00:00:00"/>
  </r>
  <r>
    <x v="231"/>
    <x v="133"/>
    <s v="Bruno"/>
    <x v="73"/>
    <x v="73"/>
    <s v="IR PS - Vendor Manufacturing - OCEM"/>
    <n v="824091"/>
    <n v="930178.73"/>
    <d v="2025-10-21T00:00:00"/>
    <d v="2027-03-18T00:00:00"/>
  </r>
  <r>
    <x v="232"/>
    <x v="77"/>
    <s v="Bruno"/>
    <x v="73"/>
    <x v="73"/>
    <s v="Bus/ Cable - Vendor Manufacturing"/>
    <n v="306320"/>
    <n v="343204.91"/>
    <d v="2025-10-21T00:00:00"/>
    <d v="2026-07-10T00:00:00"/>
  </r>
  <r>
    <x v="233"/>
    <x v="43"/>
    <s v="Bruno"/>
    <x v="73"/>
    <x v="73"/>
    <s v="IR PS - Vendor Manufacturing - BiGen"/>
    <n v="397417"/>
    <n v="448577.69"/>
    <d v="2025-10-21T00:00:00"/>
    <d v="2027-03-18T00:00:00"/>
  </r>
  <r>
    <x v="234"/>
    <x v="45"/>
    <s v="Bruno"/>
    <x v="73"/>
    <x v="73"/>
    <s v="IR PS  - Purchase-Racks"/>
    <n v="51600"/>
    <n v="59143.040000000001"/>
    <d v="2027-03-19T00:00:00"/>
    <d v="2027-06-11T00:00:00"/>
  </r>
  <r>
    <x v="235"/>
    <x v="45"/>
    <s v="Bruno"/>
    <x v="73"/>
    <x v="73"/>
    <s v="Quench Detection QD BNL - Vendor Manufacturing - Purchasing Racks"/>
    <n v="3000"/>
    <n v="3318.73"/>
    <d v="2025-03-21T00:00:00"/>
    <d v="2026-03-06T00:00:00"/>
  </r>
  <r>
    <x v="236"/>
    <x v="134"/>
    <s v="Hetzel"/>
    <x v="74"/>
    <x v="74"/>
    <s v="IR Vacuum - Procurement (NonLabor)"/>
    <n v="2262545"/>
    <n v="2614119.1"/>
    <d v="2026-12-09T00:00:00"/>
    <d v="2028-03-14T00:00:00"/>
  </r>
  <r>
    <x v="237"/>
    <x v="135"/>
    <s v="Gassner"/>
    <x v="75"/>
    <x v="75"/>
    <s v="BPM Pick-up - Materials"/>
    <n v="861015"/>
    <n v="1018786.84"/>
    <d v="2027-09-08T00:00:00"/>
    <d v="2029-07-25T00:00:00"/>
  </r>
  <r>
    <x v="238"/>
    <x v="136"/>
    <s v="Witte"/>
    <x v="76"/>
    <x v="76"/>
    <s v="Collared Dipole - Fabrication Dipole 2"/>
    <n v="2000000"/>
    <n v="2350962.17"/>
    <d v="2026-11-06T00:00:00"/>
    <d v="2029-11-06T00:00:00"/>
  </r>
  <r>
    <x v="239"/>
    <x v="136"/>
    <s v="Witte"/>
    <x v="76"/>
    <x v="76"/>
    <s v="Collared Dipole - Fabrication Dipole 1"/>
    <n v="2000000"/>
    <n v="2331783.33"/>
    <d v="2026-06-30T00:00:00"/>
    <d v="2029-06-28T00:00:00"/>
  </r>
  <r>
    <x v="240"/>
    <x v="136"/>
    <s v="Witte"/>
    <x v="76"/>
    <x v="76"/>
    <s v="Collared Dipole - Cryostat 2"/>
    <n v="350000"/>
    <n v="411418.38"/>
    <d v="2026-11-06T00:00:00"/>
    <d v="2029-11-06T00:00:00"/>
  </r>
  <r>
    <x v="241"/>
    <x v="136"/>
    <s v="Witte"/>
    <x v="76"/>
    <x v="76"/>
    <s v="Collared Dipole - Cryostat 1"/>
    <n v="350000"/>
    <n v="408062.08"/>
    <d v="2026-06-30T00:00:00"/>
    <d v="2029-06-28T00:00:00"/>
  </r>
  <r>
    <x v="242"/>
    <x v="137"/>
    <s v="Witte"/>
    <x v="77"/>
    <x v="77"/>
    <s v="Cable - SC strand NbTi Matching Magnets - Fabrication"/>
    <n v="600000"/>
    <n v="689906.63"/>
    <d v="2027-02-23T00:00:00"/>
    <d v="2027-11-05T00:00:00"/>
  </r>
  <r>
    <x v="243"/>
    <x v="138"/>
    <s v="Witte"/>
    <x v="77"/>
    <x v="77"/>
    <s v="Cable - SC Strand NbTi IR Magnets - Fabrication"/>
    <n v="300000"/>
    <n v="336123.9"/>
    <d v="2025-10-21T00:00:00"/>
    <d v="2026-07-10T00:00:00"/>
  </r>
  <r>
    <x v="244"/>
    <x v="139"/>
    <s v="Ranjbar"/>
    <x v="78"/>
    <x v="78"/>
    <s v="HR Machine Protection Beam Abort Kicker Electrical Components  - Fabrication"/>
    <n v="2210800"/>
    <n v="2477009.06"/>
    <d v="2026-02-23T00:00:00"/>
    <d v="2026-09-23T00:00:00"/>
  </r>
  <r>
    <x v="245"/>
    <x v="140"/>
    <s v="Ranjbar"/>
    <x v="78"/>
    <x v="78"/>
    <s v="HR Machine Protection Beam Abort Kicker Mechanical Components  - Fabrication"/>
    <n v="531000"/>
    <n v="595623.5"/>
    <d v="2026-05-18T00:00:00"/>
    <d v="2026-10-07T00:00:00"/>
  </r>
  <r>
    <x v="246"/>
    <x v="141"/>
    <s v="Hetzel"/>
    <x v="79"/>
    <x v="79"/>
    <s v="Movable ESR Collimators - Procurement Fabrication/leadtime"/>
    <n v="322400"/>
    <n v="372480.48"/>
    <d v="2026-10-23T00:00:00"/>
    <d v="2028-04-04T00:00:00"/>
  </r>
  <r>
    <x v="247"/>
    <x v="142"/>
    <s v="Gassner"/>
    <x v="79"/>
    <x v="79"/>
    <s v="HSR Collimators - Material"/>
    <n v="302272"/>
    <n v="342973.96"/>
    <d v="2025-10-21T00:00:00"/>
    <d v="2027-10-20T00:00:00"/>
  </r>
  <r>
    <x v="248"/>
    <x v="143"/>
    <s v="Dalesio"/>
    <x v="80"/>
    <x v="80"/>
    <s v="Beam Sync System - Non Labor"/>
    <n v="694200"/>
    <n v="777790.7"/>
    <d v="2025-10-21T00:00:00"/>
    <d v="2026-01-20T00:00:00"/>
  </r>
  <r>
    <x v="249"/>
    <x v="144"/>
    <s v="Dalesio"/>
    <x v="80"/>
    <x v="80"/>
    <s v="Legacy Equipment Expansion - Non Labor"/>
    <n v="250000"/>
    <n v="280103.25"/>
    <d v="2025-10-21T00:00:00"/>
    <d v="2026-01-20T00:00:00"/>
  </r>
  <r>
    <x v="250"/>
    <x v="145"/>
    <s v="Dalesio"/>
    <x v="81"/>
    <x v="81"/>
    <s v="Instrumentation General Support - Non Labor"/>
    <n v="470600"/>
    <n v="527266.36"/>
    <d v="2025-10-21T00:00:00"/>
    <d v="2026-01-20T00:00:00"/>
  </r>
  <r>
    <x v="251"/>
    <x v="146"/>
    <s v="Dalesio"/>
    <x v="81"/>
    <x v="81"/>
    <s v="Instrumentation BPM Support - Non Labor"/>
    <n v="1619200"/>
    <n v="1814172.73"/>
    <d v="2025-10-21T00:00:00"/>
    <d v="2026-01-20T00:00:00"/>
  </r>
  <r>
    <x v="252"/>
    <x v="147"/>
    <s v="Dalesio"/>
    <x v="82"/>
    <x v="82"/>
    <s v="Power Supply Controls - Non Labor"/>
    <n v="1628350"/>
    <n v="1824424.51"/>
    <d v="2025-10-21T00:00:00"/>
    <d v="2026-01-20T00:00:00"/>
  </r>
  <r>
    <x v="253"/>
    <x v="148"/>
    <s v="Dalesio"/>
    <x v="83"/>
    <x v="83"/>
    <s v="General Data I/O - Non Labor"/>
    <n v="991400"/>
    <n v="1110777.45"/>
    <d v="2025-10-21T00:00:00"/>
    <d v="2026-01-20T00:00:00"/>
  </r>
  <r>
    <x v="254"/>
    <x v="149"/>
    <s v="Dalesio"/>
    <x v="84"/>
    <x v="84"/>
    <s v="Network Systems - Non Labor"/>
    <n v="3249650"/>
    <n v="3640950.11"/>
    <d v="2025-10-21T00:00:00"/>
    <d v="2026-01-20T00:00:00"/>
  </r>
  <r>
    <x v="255"/>
    <x v="144"/>
    <s v="Dalesio"/>
    <x v="84"/>
    <x v="84"/>
    <s v="Data Management – Large High Availability Storage system (500TB+) - Delivery &amp; Acceptance"/>
    <n v="532648"/>
    <n v="596785.74"/>
    <d v="2025-10-21T00:00:00"/>
    <d v="2025-11-03T00:00:00"/>
  </r>
  <r>
    <x v="256"/>
    <x v="144"/>
    <s v="Dalesio"/>
    <x v="84"/>
    <x v="84"/>
    <s v="Data Management – Additional High Availability Storage Systems  - Delivery &amp; Acceptance"/>
    <n v="291904"/>
    <n v="327053.03999999998"/>
    <d v="2025-10-21T00:00:00"/>
    <d v="2025-11-03T00:00:00"/>
  </r>
  <r>
    <x v="257"/>
    <x v="150"/>
    <s v="TBD"/>
    <x v="85"/>
    <x v="85"/>
    <s v="Crab Cavity Prototype - Fabrication - FPC conditioning hardware (include amplifier)"/>
    <n v="300000"/>
    <n v="306900"/>
    <d v="2022-07-05T00:00:00"/>
    <d v="2022-08-31T00:00:00"/>
  </r>
  <r>
    <x v="258"/>
    <x v="151"/>
    <s v="TBD"/>
    <x v="85"/>
    <x v="85"/>
    <s v="Crab Cavity Prototype - Fabrication - Cavity"/>
    <n v="300000"/>
    <n v="313958.7"/>
    <d v="2022-12-09T00:00:00"/>
    <d v="2023-06-08T00:00:00"/>
  </r>
  <r>
    <x v="259"/>
    <x v="152"/>
    <s v="TBD"/>
    <x v="86"/>
    <x v="86"/>
    <s v="Nb Cavity - Fabrication (Incl. Tooling &amp; Cu Model)"/>
    <n v="500000"/>
    <n v="523328.52"/>
    <d v="2023-01-05T00:00:00"/>
    <d v="2023-10-02T00:00:00"/>
  </r>
  <r>
    <x v="260"/>
    <x v="153"/>
    <s v="Zaltsman"/>
    <x v="87"/>
    <x v="87"/>
    <s v="FPC: Component Fabrications - Material"/>
    <n v="1112608"/>
    <n v="1170910.97"/>
    <d v="2023-01-03T00:00:00"/>
    <d v="2024-01-02T00:00:00"/>
  </r>
  <r>
    <x v="261"/>
    <x v="154"/>
    <s v="Zaltsman"/>
    <x v="87"/>
    <x v="87"/>
    <s v="591 MHz - 600 kW CW Klystron: Fabrication"/>
    <n v="1900000"/>
    <n v="1992532.26"/>
    <d v="2022-09-06T00:00:00"/>
    <d v="2023-12-11T00:00:00"/>
  </r>
  <r>
    <x v="262"/>
    <x v="130"/>
    <s v="Zaltsman"/>
    <x v="87"/>
    <x v="87"/>
    <s v="591 MHz - 600 kW Circulator with Load: Fabrication"/>
    <n v="800000"/>
    <n v="835792.64"/>
    <d v="2022-09-06T00:00:00"/>
    <d v="2023-09-05T00:00:00"/>
  </r>
  <r>
    <x v="263"/>
    <x v="155"/>
    <s v="Zaltsman"/>
    <x v="88"/>
    <x v="88"/>
    <s v="BLA: Component Fabrications - Material"/>
    <n v="330000"/>
    <n v="347042.48"/>
    <d v="2023-01-03T00:00:00"/>
    <d v="2023-12-15T00:00:00"/>
  </r>
  <r>
    <x v="264"/>
    <x v="156"/>
    <s v="TBD"/>
    <x v="89"/>
    <x v="89"/>
    <s v="RF-CRAB-1-CM: Materials (Prototype)"/>
    <n v="3938449"/>
    <n v="4401888.26"/>
    <d v="2025-06-16T00:00:00"/>
    <d v="2026-11-20T00:00:00"/>
  </r>
  <r>
    <x v="265"/>
    <x v="157"/>
    <s v="TBD"/>
    <x v="90"/>
    <x v="90"/>
    <s v="RF-ESR-1-CM: Materials (Prototype)"/>
    <n v="1774379"/>
    <n v="2003743.65"/>
    <d v="2025-10-21T00:00:00"/>
    <d v="2027-04-02T00:00:00"/>
  </r>
  <r>
    <x v="266"/>
    <x v="158"/>
    <s v="TBD"/>
    <x v="91"/>
    <x v="91"/>
    <s v="RF-ESR-1-CM: Materials (Production)"/>
    <n v="20507918"/>
    <n v="23790368.940000001"/>
    <d v="2027-04-05T00:00:00"/>
    <d v="2028-04-25T00:00:00"/>
  </r>
  <r>
    <x v="267"/>
    <x v="159"/>
    <s v="TBD"/>
    <x v="92"/>
    <x v="92"/>
    <s v="RF-RCS-1-CM: Materials (Prototype)"/>
    <n v="2005880"/>
    <n v="2228465.98"/>
    <d v="2025-03-21T00:00:00"/>
    <d v="2026-08-25T00:00:00"/>
  </r>
  <r>
    <x v="268"/>
    <x v="160"/>
    <s v="TBD"/>
    <x v="93"/>
    <x v="93"/>
    <s v="RF-RCS-1-CM: Materials (Production)"/>
    <n v="2916101"/>
    <n v="3334145.49"/>
    <d v="2026-08-26T00:00:00"/>
    <d v="2027-07-26T00:00:00"/>
  </r>
  <r>
    <x v="269"/>
    <x v="161"/>
    <s v="TBD"/>
    <x v="93"/>
    <x v="93"/>
    <s v="RF-ERL-1-CM: Materials (Production)"/>
    <n v="11664404"/>
    <n v="13680970.66"/>
    <d v="2027-10-21T00:00:00"/>
    <d v="2028-10-04T00:00:00"/>
  </r>
  <r>
    <x v="270"/>
    <x v="162"/>
    <s v="TBD"/>
    <x v="93"/>
    <x v="93"/>
    <s v="RF-HR-5-CM: Materials (Production)"/>
    <n v="1458050"/>
    <n v="1679520.16"/>
    <d v="2027-07-27T00:00:00"/>
    <d v="2027-10-20T00:00:00"/>
  </r>
  <r>
    <x v="271"/>
    <x v="163"/>
    <s v="TBD"/>
    <x v="94"/>
    <x v="94"/>
    <s v="RF-ERL-2-CM: Materials (Prototype)"/>
    <n v="1388339"/>
    <n v="1602446.52"/>
    <d v="2027-03-30T00:00:00"/>
    <d v="2027-12-27T00:00:00"/>
  </r>
  <r>
    <x v="272"/>
    <x v="164"/>
    <s v="TBD"/>
    <x v="95"/>
    <x v="95"/>
    <s v="RF-ERL-2-CM: Materials (Production)"/>
    <n v="2252783"/>
    <n v="2641489.44"/>
    <d v="2027-12-28T00:00:00"/>
    <d v="2028-08-15T00:00:00"/>
  </r>
  <r>
    <x v="273"/>
    <x v="165"/>
    <s v="TBD"/>
    <x v="96"/>
    <x v="96"/>
    <s v="RF-CRAB-1-CM: Materials (Production)"/>
    <n v="9443795"/>
    <n v="10838512.220000001"/>
    <d v="2026-11-23T00:00:00"/>
    <d v="2027-10-20T00:00:00"/>
  </r>
  <r>
    <x v="274"/>
    <x v="166"/>
    <s v="TBD"/>
    <x v="97"/>
    <x v="97"/>
    <s v="RF-CRAB-2-CM: Materials (Prototype)"/>
    <n v="1991815"/>
    <n v="2260028.9900000002"/>
    <d v="2026-02-12T00:00:00"/>
    <d v="2027-07-20T00:00:00"/>
  </r>
  <r>
    <x v="275"/>
    <x v="167"/>
    <s v="TBD"/>
    <x v="97"/>
    <x v="97"/>
    <s v="RF-CRAB-2-CM: Materials (Production)"/>
    <n v="7784805"/>
    <n v="9082129.0299999993"/>
    <d v="2027-07-21T00:00:00"/>
    <d v="2028-06-16T00:00:00"/>
  </r>
  <r>
    <x v="276"/>
    <x v="168"/>
    <s v="TBD"/>
    <x v="98"/>
    <x v="98"/>
    <s v="RF-ERL-4-CAV: Materials (First Article)"/>
    <n v="700000"/>
    <n v="774101.14"/>
    <d v="2025-01-13T00:00:00"/>
    <d v="2026-04-15T00:00:00"/>
  </r>
  <r>
    <x v="277"/>
    <x v="169"/>
    <s v="Zaltsman"/>
    <x v="99"/>
    <x v="99"/>
    <s v="RF-RCS-2-CAV: Fabrication - 2 Cavities"/>
    <n v="750000"/>
    <n v="816902.85"/>
    <d v="2024-06-12T00:00:00"/>
    <d v="2025-09-12T00:00:00"/>
  </r>
  <r>
    <x v="278"/>
    <x v="170"/>
    <s v="Zaltsman"/>
    <x v="100"/>
    <x v="100"/>
    <s v="RF-RCS-3-CAV: Fabrication"/>
    <n v="400000"/>
    <n v="443846.91"/>
    <d v="2025-03-21T00:00:00"/>
    <d v="2026-06-22T00:00:00"/>
  </r>
  <r>
    <x v="279"/>
    <x v="171"/>
    <s v="Zaltsman"/>
    <x v="101"/>
    <x v="101"/>
    <s v="RF-HR-1-CAV: Materials (First Article)"/>
    <n v="150000"/>
    <n v="158611.29999999999"/>
    <d v="2023-03-20T00:00:00"/>
    <d v="2024-03-18T00:00:00"/>
  </r>
  <r>
    <x v="280"/>
    <x v="172"/>
    <s v="Zaltsman"/>
    <x v="102"/>
    <x v="102"/>
    <s v="RF-HR-1-CAV: Materials (Production)"/>
    <n v="150000"/>
    <n v="171927.45"/>
    <d v="2026-10-28T00:00:00"/>
    <d v="2027-04-29T00:00:00"/>
  </r>
  <r>
    <x v="281"/>
    <x v="173"/>
    <s v="Zaltsman"/>
    <x v="103"/>
    <x v="103"/>
    <s v="RF-HR-2-CAV: Materials (First Article)"/>
    <n v="700000"/>
    <n v="759050.02"/>
    <d v="2024-03-15T00:00:00"/>
    <d v="2025-06-16T00:00:00"/>
  </r>
  <r>
    <x v="282"/>
    <x v="174"/>
    <s v="Zaltsman"/>
    <x v="104"/>
    <x v="104"/>
    <s v="RF-HR-2-CAV: Materials (Production)"/>
    <n v="700000"/>
    <n v="784289.1"/>
    <d v="2025-12-10T00:00:00"/>
    <d v="2026-09-10T00:00:00"/>
  </r>
  <r>
    <x v="283"/>
    <x v="175"/>
    <s v="Zaltsman"/>
    <x v="105"/>
    <x v="105"/>
    <s v="RF-HR-3-CAV: Materials (First Article)"/>
    <n v="700000"/>
    <n v="768744.89"/>
    <d v="2024-09-11T00:00:00"/>
    <d v="2025-12-16T00:00:00"/>
  </r>
  <r>
    <x v="284"/>
    <x v="176"/>
    <s v="Zaltsman"/>
    <x v="106"/>
    <x v="106"/>
    <s v="RF-HR-3-CAV: Materials (Production)"/>
    <n v="700000"/>
    <n v="794827.67"/>
    <d v="2026-06-10T00:00:00"/>
    <d v="2027-03-16T00:00:00"/>
  </r>
  <r>
    <x v="285"/>
    <x v="177"/>
    <s v="Zaltsman"/>
    <x v="107"/>
    <x v="107"/>
    <s v="RF-HR-4-CAV: Materials (First Article)"/>
    <n v="125000"/>
    <n v="139107"/>
    <d v="2025-06-16T00:00:00"/>
    <d v="2026-06-15T00:00:00"/>
  </r>
  <r>
    <x v="286"/>
    <x v="178"/>
    <s v="Zaltsman"/>
    <x v="108"/>
    <x v="108"/>
    <s v="RF-HR-4-CAV: Materials (Production)"/>
    <n v="750000"/>
    <n v="870500.71"/>
    <d v="2026-12-09T00:00:00"/>
    <d v="2028-09-29T00:00:00"/>
  </r>
  <r>
    <x v="287"/>
    <x v="179"/>
    <s v="Zaltsman"/>
    <x v="109"/>
    <x v="109"/>
    <s v="RF-ERL-3-CAV: Materials (Production)"/>
    <n v="875000"/>
    <n v="1073714.25"/>
    <d v="2029-10-11T00:00:00"/>
    <d v="1930-07-16T00:00:00"/>
  </r>
  <r>
    <x v="288"/>
    <x v="180"/>
    <s v="Zaltsman"/>
    <x v="110"/>
    <x v="110"/>
    <s v="RF-ESR-1-PWR: Materials (Prototype)"/>
    <n v="10000000"/>
    <n v="11018953.51"/>
    <d v="2024-10-04T00:00:00"/>
    <d v="2026-02-11T00:00:00"/>
  </r>
  <r>
    <x v="289"/>
    <x v="181"/>
    <s v="Zaltsman"/>
    <x v="110"/>
    <x v="110"/>
    <s v="RF-ESR-1-PWR: Materials (Production) - Phase 3"/>
    <n v="23457190"/>
    <n v="26649271.629999999"/>
    <d v="2026-05-13T00:00:00"/>
    <d v="2027-05-12T00:00:00"/>
  </r>
  <r>
    <x v="290"/>
    <x v="182"/>
    <s v="Zaltsman"/>
    <x v="110"/>
    <x v="110"/>
    <s v="RF-ESR-1-PWR: Materials (Production) - Phase 4"/>
    <n v="41312603"/>
    <n v="48362472.119999997"/>
    <d v="2027-09-07T00:00:00"/>
    <d v="2028-09-05T00:00:00"/>
  </r>
  <r>
    <x v="291"/>
    <x v="183"/>
    <s v="Zaltsman"/>
    <x v="111"/>
    <x v="111"/>
    <s v="RF-ERL-3-PWR: Materials (First Article)"/>
    <n v="956580"/>
    <n v="1113908.8600000001"/>
    <d v="2027-06-25T00:00:00"/>
    <d v="2028-05-15T00:00:00"/>
  </r>
  <r>
    <x v="292"/>
    <x v="184"/>
    <s v="Zaltsman"/>
    <x v="111"/>
    <x v="111"/>
    <s v="RF-ERL-3-PWR: Materials (Production)"/>
    <n v="5739480"/>
    <n v="6879421.46"/>
    <d v="2028-09-28T00:00:00"/>
    <d v="2028-12-27T00:00:00"/>
  </r>
  <r>
    <x v="293"/>
    <x v="185"/>
    <s v="Zaltsman"/>
    <x v="112"/>
    <x v="112"/>
    <s v="RF-ERL-1-PWR: Materials (Production)"/>
    <n v="3171665"/>
    <n v="3665169.73"/>
    <d v="2026-11-20T00:00:00"/>
    <d v="2028-03-28T00:00:00"/>
  </r>
  <r>
    <x v="294"/>
    <x v="186"/>
    <s v="Zaltsman"/>
    <x v="112"/>
    <x v="112"/>
    <s v="RF-ERL-1-PWR: Materials (First Article)"/>
    <n v="453095"/>
    <n v="507653.53"/>
    <d v="2026-03-13T00:00:00"/>
    <d v="2026-09-08T00:00:00"/>
  </r>
  <r>
    <x v="295"/>
    <x v="187"/>
    <s v="Zaltsman"/>
    <x v="113"/>
    <x v="113"/>
    <s v="RF-RCS-1-PWR: Materials (Prototype)"/>
    <n v="648928"/>
    <n v="719115.02"/>
    <d v="2025-04-29T00:00:00"/>
    <d v="2026-03-19T00:00:00"/>
  </r>
  <r>
    <x v="296"/>
    <x v="188"/>
    <s v="Zaltsman"/>
    <x v="113"/>
    <x v="113"/>
    <s v="RF-RCS-1-PWR: Materials (Production)"/>
    <n v="1297856"/>
    <n v="1454134.73"/>
    <d v="2026-06-15T00:00:00"/>
    <d v="2026-09-09T00:00:00"/>
  </r>
  <r>
    <x v="297"/>
    <x v="189"/>
    <s v="Zaltsman"/>
    <x v="114"/>
    <x v="114"/>
    <s v="RF-HR-5-PWR: Materials (First Article)"/>
    <n v="648928"/>
    <n v="727067.37"/>
    <d v="2025-12-12T00:00:00"/>
    <d v="2026-06-11T00:00:00"/>
  </r>
  <r>
    <x v="298"/>
    <x v="190"/>
    <s v="Zaltsman"/>
    <x v="115"/>
    <x v="115"/>
    <s v="RF-CRAB-1-PWR: Materials (Prototype)"/>
    <n v="563771"/>
    <n v="623020.38"/>
    <d v="2025-03-21T00:00:00"/>
    <d v="2026-02-09T00:00:00"/>
  </r>
  <r>
    <x v="299"/>
    <x v="191"/>
    <s v="Zaltsman"/>
    <x v="115"/>
    <x v="115"/>
    <s v="RF-CRAB-1-PWR: Materials (Production)"/>
    <n v="3946400"/>
    <n v="4421597.8600000003"/>
    <d v="2026-05-06T00:00:00"/>
    <d v="2026-07-31T00:00:00"/>
  </r>
  <r>
    <x v="300"/>
    <x v="192"/>
    <s v="Zaltsman"/>
    <x v="116"/>
    <x v="116"/>
    <s v="RF-CRAB-2-PWR: Materials (Prototype)"/>
    <n v="563771"/>
    <n v="639378.65"/>
    <d v="2026-05-05T00:00:00"/>
    <d v="2027-03-25T00:00:00"/>
  </r>
  <r>
    <x v="301"/>
    <x v="193"/>
    <s v="Zaltsman"/>
    <x v="116"/>
    <x v="116"/>
    <s v="RF-CRAB-2-PWR: Materials (Production)"/>
    <n v="2818857"/>
    <n v="3230925.97"/>
    <d v="2027-06-21T00:00:00"/>
    <d v="2027-09-15T00:00:00"/>
  </r>
  <r>
    <x v="302"/>
    <x v="194"/>
    <s v="Zaltsman"/>
    <x v="117"/>
    <x v="117"/>
    <s v="RF-RCS-2-PWR: Materials (Prototype)"/>
    <n v="324246"/>
    <n v="362769.99"/>
    <d v="2025-06-16T00:00:00"/>
    <d v="2026-12-15T00:00:00"/>
  </r>
  <r>
    <x v="303"/>
    <x v="195"/>
    <s v="Zaltsman"/>
    <x v="117"/>
    <x v="117"/>
    <s v="RF-RCS-2-PWR: Materials (Production)"/>
    <n v="324246"/>
    <n v="373696.72"/>
    <d v="2027-05-18T00:00:00"/>
    <d v="2027-11-15T00:00:00"/>
  </r>
  <r>
    <x v="304"/>
    <x v="196"/>
    <s v="Zaltsman"/>
    <x v="118"/>
    <x v="118"/>
    <s v="RF-RCS-3-PWR: Materials (First Article)"/>
    <n v="324246"/>
    <n v="362769.99"/>
    <d v="2025-06-16T00:00:00"/>
    <d v="2026-12-15T00:00:00"/>
  </r>
  <r>
    <x v="305"/>
    <x v="197"/>
    <s v="Zaltsman"/>
    <x v="119"/>
    <x v="119"/>
    <s v="RF-HR-2-PWR: Materials (First Article)"/>
    <n v="525440"/>
    <n v="582568.38"/>
    <d v="2025-01-24T00:00:00"/>
    <d v="2026-07-22T00:00:00"/>
  </r>
  <r>
    <x v="306"/>
    <x v="198"/>
    <s v="Zaltsman"/>
    <x v="119"/>
    <x v="119"/>
    <s v="RF-HR-2-PWR: Materials (Production)"/>
    <n v="525440"/>
    <n v="602250.4"/>
    <d v="2027-01-26T00:00:00"/>
    <d v="2027-07-22T00:00:00"/>
  </r>
  <r>
    <x v="307"/>
    <x v="199"/>
    <s v="Zaltsman"/>
    <x v="120"/>
    <x v="120"/>
    <s v="RF-HR-3-PWR: Materials (First Article)"/>
    <n v="525440"/>
    <n v="570678.13"/>
    <d v="2024-03-15T00:00:00"/>
    <d v="2025-09-10T00:00:00"/>
  </r>
  <r>
    <x v="308"/>
    <x v="200"/>
    <s v="Zaltsman"/>
    <x v="120"/>
    <x v="120"/>
    <s v="RF-HR-3-PWR: Materials (Production)"/>
    <n v="525440"/>
    <n v="588709.81000000006"/>
    <d v="2026-03-17T00:00:00"/>
    <d v="2026-09-10T00:00:00"/>
  </r>
  <r>
    <x v="309"/>
    <x v="201"/>
    <s v="Zaltsman"/>
    <x v="121"/>
    <x v="121"/>
    <s v="RF-ERL-2-PWR: Materials (Prototype)"/>
    <n v="425518"/>
    <n v="481814.7"/>
    <d v="2025-12-12T00:00:00"/>
    <d v="2027-06-11T00:00:00"/>
  </r>
  <r>
    <x v="310"/>
    <x v="202"/>
    <s v="Zaltsman"/>
    <x v="121"/>
    <x v="121"/>
    <s v="RF-ERL-2-PWR: Materials (Production)"/>
    <n v="851036"/>
    <n v="998867.26"/>
    <d v="2027-11-12T00:00:00"/>
    <d v="2028-10-16T00:00:00"/>
  </r>
  <r>
    <x v="311"/>
    <x v="203"/>
    <s v="Zaltsman"/>
    <x v="122"/>
    <x v="122"/>
    <s v="RF-ERL-4-PWR: Materials (First Article)"/>
    <n v="456178"/>
    <n v="507773.32"/>
    <d v="2025-04-16T00:00:00"/>
    <d v="2026-10-13T00:00:00"/>
  </r>
  <r>
    <x v="312"/>
    <x v="204"/>
    <s v="TBD"/>
    <x v="123"/>
    <x v="123"/>
    <s v="RF-RCS-1-CTRL: Materials (Prototype)"/>
    <n v="55792"/>
    <n v="61104.68"/>
    <d v="2025-01-29T00:00:00"/>
    <d v="2025-04-22T00:00:00"/>
  </r>
  <r>
    <x v="313"/>
    <x v="205"/>
    <s v="TBD"/>
    <x v="123"/>
    <x v="123"/>
    <s v="RF-RCS-1-CTRL: Materials (Production)"/>
    <n v="223169"/>
    <n v="246331.94"/>
    <d v="2025-05-14T00:00:00"/>
    <d v="2025-12-15T00:00:00"/>
  </r>
  <r>
    <x v="314"/>
    <x v="206"/>
    <s v="TBD"/>
    <x v="124"/>
    <x v="124"/>
    <s v="RF-ESR-1-CTRL: Materials (Prototype)"/>
    <n v="55792"/>
    <n v="61104.68"/>
    <d v="2025-03-06T00:00:00"/>
    <d v="2025-05-28T00:00:00"/>
  </r>
  <r>
    <x v="315"/>
    <x v="207"/>
    <s v="TBD"/>
    <x v="124"/>
    <x v="124"/>
    <s v="RF-ESR-1-CTRL: Materials (Production)"/>
    <n v="1004261"/>
    <n v="1120084.18"/>
    <d v="2025-07-25T00:00:00"/>
    <d v="2026-06-30T00:00:00"/>
  </r>
  <r>
    <x v="316"/>
    <x v="208"/>
    <s v="TBD"/>
    <x v="125"/>
    <x v="125"/>
    <s v="RF-HR-1-CTRL: Materials (First Article)"/>
    <n v="55792"/>
    <n v="63947.839999999997"/>
    <d v="2026-12-16T00:00:00"/>
    <d v="2027-06-15T00:00:00"/>
  </r>
  <r>
    <x v="317"/>
    <x v="209"/>
    <s v="TBD"/>
    <x v="125"/>
    <x v="125"/>
    <s v="RF-HR-1-CTRL: Materials (Production)"/>
    <n v="223169"/>
    <n v="261675.7"/>
    <d v="2028-02-15T00:00:00"/>
    <d v="2028-08-15T00:00:00"/>
  </r>
  <r>
    <x v="318"/>
    <x v="210"/>
    <s v="TBD"/>
    <x v="125"/>
    <x v="125"/>
    <s v="RF-HR-4-CTRL: Materials (First Article)"/>
    <n v="55792"/>
    <n v="62510.080000000002"/>
    <d v="2025-10-16T00:00:00"/>
    <d v="2026-04-17T00:00:00"/>
  </r>
  <r>
    <x v="319"/>
    <x v="211"/>
    <s v="TBD"/>
    <x v="125"/>
    <x v="125"/>
    <s v="RF-HR-4-CTRL: Materials (Production)"/>
    <n v="334754"/>
    <n v="385454.3"/>
    <d v="2026-11-16T00:00:00"/>
    <d v="2027-12-22T00:00:00"/>
  </r>
  <r>
    <x v="320"/>
    <x v="212"/>
    <s v="TBD"/>
    <x v="126"/>
    <x v="126"/>
    <s v="RF-ERL-3-CTRL: Materials (First Article)"/>
    <n v="55792"/>
    <n v="65418.63"/>
    <d v="2027-11-01T00:00:00"/>
    <d v="2028-06-07T00:00:00"/>
  </r>
  <r>
    <x v="321"/>
    <x v="213"/>
    <s v="TBD"/>
    <x v="126"/>
    <x v="126"/>
    <s v="RF-ERL-3-CTRL: Materials (Production)"/>
    <n v="334754"/>
    <n v="401541.77"/>
    <d v="2029-01-09T00:00:00"/>
    <d v="2029-04-04T00:00:00"/>
  </r>
  <r>
    <x v="322"/>
    <x v="186"/>
    <s v="TBD"/>
    <x v="126"/>
    <x v="126"/>
    <s v="RF-ERL-1-CTRL: Materials (First Article)"/>
    <n v="55792"/>
    <n v="63947.839999999997"/>
    <d v="2027-03-12T00:00:00"/>
    <d v="2027-09-07T00:00:00"/>
  </r>
  <r>
    <x v="323"/>
    <x v="214"/>
    <s v="TBD"/>
    <x v="126"/>
    <x v="126"/>
    <s v="RF-ERL-1-CTRL: Materials (Production)"/>
    <n v="557923"/>
    <n v="654727.18000000005"/>
    <d v="2028-02-11T00:00:00"/>
    <d v="2028-10-10T00:00:00"/>
  </r>
  <r>
    <x v="324"/>
    <x v="215"/>
    <s v="TBD"/>
    <x v="127"/>
    <x v="127"/>
    <s v="RF-CRAB-1-CTRL: Materials (Prototype)"/>
    <n v="55792"/>
    <n v="62510.080000000002"/>
    <d v="2026-01-20T00:00:00"/>
    <d v="2026-04-13T00:00:00"/>
  </r>
  <r>
    <x v="325"/>
    <x v="134"/>
    <s v="TBD"/>
    <x v="127"/>
    <x v="127"/>
    <s v="RF-CRAB-1-CTRL: Materials (Production)"/>
    <n v="502131"/>
    <n v="569900.31000000006"/>
    <d v="2026-07-01T00:00:00"/>
    <d v="2027-02-03T00:00:00"/>
  </r>
  <r>
    <x v="326"/>
    <x v="216"/>
    <s v="TBD"/>
    <x v="127"/>
    <x v="127"/>
    <s v="RF-CRAB-2-CTRL: Materials (Prototype)"/>
    <n v="55792"/>
    <n v="63947.839999999997"/>
    <d v="2027-03-05T00:00:00"/>
    <d v="2027-05-26T00:00:00"/>
  </r>
  <r>
    <x v="327"/>
    <x v="217"/>
    <s v="TBD"/>
    <x v="127"/>
    <x v="127"/>
    <s v="RF-CRAB-2-CTRL: Materials (Production)"/>
    <n v="334754"/>
    <n v="390533.05"/>
    <d v="2027-08-16T00:00:00"/>
    <d v="2028-03-20T00:00:00"/>
  </r>
  <r>
    <x v="328"/>
    <x v="218"/>
    <s v="TBD"/>
    <x v="128"/>
    <x v="128"/>
    <s v="Satellite Cryoplant - Procurement - Vendor Fabrication and Delivery - IR02 SHC"/>
    <n v="10000000"/>
    <n v="11694967"/>
    <d v="2027-02-23T00:00:00"/>
    <d v="2029-02-21T00:00:00"/>
  </r>
  <r>
    <x v="329"/>
    <x v="218"/>
    <s v="TBD"/>
    <x v="128"/>
    <x v="128"/>
    <s v="Satellite Cryoplant - Procurement - Vendor Fabrication and Delivery - IR10"/>
    <n v="10100000"/>
    <n v="11389693.24"/>
    <d v="2025-07-15T00:00:00"/>
    <d v="2027-07-14T00:00:00"/>
  </r>
  <r>
    <x v="330"/>
    <x v="218"/>
    <s v="TBD"/>
    <x v="128"/>
    <x v="128"/>
    <s v="Satellite Cryoplant - Procurement - Vendor Fabrication and Delivery - IR02 SHC,IR06,IR10"/>
    <n v="8600000"/>
    <n v="9849103.6199999992"/>
    <d v="2025-07-15T00:00:00"/>
    <d v="2028-11-21T00:00:00"/>
  </r>
  <r>
    <x v="331"/>
    <x v="219"/>
    <s v="TBD"/>
    <x v="129"/>
    <x v="129"/>
    <s v="LN2 Storage Dewar System - Procurement - Vendor Fabrication and Delivery - IR02 SHC"/>
    <n v="500000"/>
    <n v="568925.35"/>
    <d v="2026-05-14T00:00:00"/>
    <d v="2027-07-26T00:00:00"/>
  </r>
  <r>
    <x v="332"/>
    <x v="219"/>
    <s v="TBD"/>
    <x v="129"/>
    <x v="129"/>
    <s v="LN2 Storage Dewar System - Procurement - Vendor Fabrication and Delivery - IR06"/>
    <n v="325000"/>
    <n v="357393.8"/>
    <d v="2024-10-04T00:00:00"/>
    <d v="2025-12-18T00:00:00"/>
  </r>
  <r>
    <x v="333"/>
    <x v="219"/>
    <s v="TBD"/>
    <x v="129"/>
    <x v="129"/>
    <s v="LN2 Storage Dewar System - Procurement - Vendor Fabrication and Delivery - IR10"/>
    <n v="325000"/>
    <n v="357393.8"/>
    <d v="2024-10-04T00:00:00"/>
    <d v="2025-12-18T00:00:00"/>
  </r>
  <r>
    <x v="334"/>
    <x v="220"/>
    <s v="TBD"/>
    <x v="130"/>
    <x v="130"/>
    <s v="Cryogenics System Installation Contract - NonLabor, OnSite - IR02 SHC"/>
    <n v="2820000"/>
    <n v="3393864.58"/>
    <d v="2029-02-22T00:00:00"/>
    <d v="2029-11-06T00:00:00"/>
  </r>
  <r>
    <x v="335"/>
    <x v="220"/>
    <s v="TBD"/>
    <x v="131"/>
    <x v="131"/>
    <s v="Cryogenics System Installation Contract - NonLabor, OnSite - IR02 SHC,IR06,IR10"/>
    <n v="4500000"/>
    <n v="5401194.4199999999"/>
    <d v="2028-11-22T00:00:00"/>
    <d v="2029-10-09T00:00:00"/>
  </r>
  <r>
    <x v="336"/>
    <x v="220"/>
    <s v="TBD"/>
    <x v="132"/>
    <x v="132"/>
    <s v="Cryogenics System Installation Contract - NonLabor, OnSite - IR10"/>
    <n v="3750000"/>
    <n v="4455699.1500000004"/>
    <d v="2028-05-03T00:00:00"/>
    <d v="2029-05-02T00:00:00"/>
  </r>
  <r>
    <x v="337"/>
    <x v="221"/>
    <s v="TBD"/>
    <x v="133"/>
    <x v="133"/>
    <s v="Cryogenic Distribution System - Procurement - Vendor Fabrication and Delivery - IR02 HSR Mods SHC"/>
    <n v="1090000"/>
    <n v="1208688.55"/>
    <d v="2025-01-10T00:00:00"/>
    <d v="2026-08-13T00:00:00"/>
  </r>
  <r>
    <x v="338"/>
    <x v="221"/>
    <s v="TBD"/>
    <x v="133"/>
    <x v="133"/>
    <s v="Cryogenic Distribution System - Procurement - Vendor Fabrication and Delivery - IR12"/>
    <n v="180000"/>
    <n v="198908.48"/>
    <d v="2025-01-10T00:00:00"/>
    <d v="2026-03-24T00:00:00"/>
  </r>
  <r>
    <x v="339"/>
    <x v="221"/>
    <s v="TBD"/>
    <x v="134"/>
    <x v="134"/>
    <s v="Cryogenic Distribution System - Procurement - Vendor Fabrication and Delivery - IR04"/>
    <n v="1800000"/>
    <n v="2015824.86"/>
    <d v="2025-01-10T00:00:00"/>
    <d v="2027-06-03T00:00:00"/>
  </r>
  <r>
    <x v="340"/>
    <x v="220"/>
    <s v="TBD"/>
    <x v="134"/>
    <x v="134"/>
    <s v="Cryogenics System Installation Contract - NonLabor, OnSite - IR04"/>
    <n v="440000"/>
    <n v="527011.86"/>
    <d v="2028-09-11T00:00:00"/>
    <d v="2029-08-10T00:00:00"/>
  </r>
  <r>
    <x v="341"/>
    <x v="220"/>
    <s v="TBD"/>
    <x v="134"/>
    <x v="134"/>
    <s v="Cryogenics System Installation Contract - NonLabor, OnSite - IR02 HSR Mods SHC"/>
    <n v="180000"/>
    <n v="205766.25"/>
    <d v="2026-08-14T00:00:00"/>
    <d v="2027-09-27T00:00:00"/>
  </r>
  <r>
    <x v="342"/>
    <x v="220"/>
    <s v="TBD"/>
    <x v="134"/>
    <x v="134"/>
    <s v="Cryogenics System Installation Contract - NonLabor, OnSite - IR12"/>
    <n v="40000"/>
    <n v="45645.85"/>
    <d v="2026-07-31T00:00:00"/>
    <d v="2027-06-17T00:00:00"/>
  </r>
  <r>
    <x v="343"/>
    <x v="221"/>
    <s v="TBD"/>
    <x v="135"/>
    <x v="135"/>
    <s v="Cryogenic Distribution System - Procurement - Vendor Fabrication and Delivery - IR02 SHC"/>
    <n v="2910000"/>
    <n v="3351644.47"/>
    <d v="2026-08-14T00:00:00"/>
    <d v="2028-03-23T00:00:00"/>
  </r>
  <r>
    <x v="344"/>
    <x v="221"/>
    <s v="TBD"/>
    <x v="136"/>
    <x v="136"/>
    <s v="Cryogenic Distribution System - Procurement - Vendor Fabrication and Delivery - IR06"/>
    <n v="3657317"/>
    <n v="4055557.04"/>
    <d v="2025-01-10T00:00:00"/>
    <d v="2026-08-13T00:00:00"/>
  </r>
  <r>
    <x v="345"/>
    <x v="221"/>
    <s v="TBD"/>
    <x v="137"/>
    <x v="137"/>
    <s v="Cryogenic Distribution System - Procurement - Vendor Fabrication and Delivery - IR10"/>
    <n v="3794390"/>
    <n v="4207555.72"/>
    <d v="2025-01-10T00:00:00"/>
    <d v="2026-08-13T00:00:00"/>
  </r>
  <r>
    <x v="346"/>
    <x v="222"/>
    <s v="TBD"/>
    <x v="138"/>
    <x v="138"/>
    <s v="Cryogenic Controls and Instr. System - Cable and Tray Procurement - Vendor Fabrication and Delivery - IR06"/>
    <n v="358496"/>
    <n v="392633.06"/>
    <d v="2024-10-04T00:00:00"/>
    <d v="2025-09-05T00:00:00"/>
  </r>
  <r>
    <x v="347"/>
    <x v="222"/>
    <s v="TBD"/>
    <x v="138"/>
    <x v="138"/>
    <s v="Cryogenic Controls and Instr. System - Cable and Tray Procurement - Vendor Fabrication and Delivery - IR02 SHC"/>
    <n v="250000"/>
    <n v="282428.15000000002"/>
    <d v="2026-03-05T00:00:00"/>
    <d v="2027-02-03T00:00:00"/>
  </r>
  <r>
    <x v="348"/>
    <x v="222"/>
    <s v="TBD"/>
    <x v="138"/>
    <x v="138"/>
    <s v="Cryogenic Controls and Instr. System - Cable and Tray Procurement - Vendor Fabrication and Delivery - IR10"/>
    <n v="186040"/>
    <n v="203755.29"/>
    <d v="2024-10-04T00:00:00"/>
    <d v="2025-09-05T00:00:00"/>
  </r>
  <r>
    <x v="349"/>
    <x v="222"/>
    <s v="TBD"/>
    <x v="138"/>
    <x v="138"/>
    <s v="Cryogenic Controls and Instr. System - Cable and Tray Procurement - Vendor Fabrication and Delivery - IR04"/>
    <n v="148136"/>
    <n v="162241.95000000001"/>
    <d v="2024-10-04T00:00:00"/>
    <d v="2025-09-05T00:00:00"/>
  </r>
  <r>
    <x v="350"/>
    <x v="223"/>
    <s v="TBD"/>
    <x v="138"/>
    <x v="138"/>
    <s v="Cryogenic Controls and Instr. System - Hardware Procurement - Vendor Fabrication and Delivery - IR10"/>
    <n v="469800"/>
    <n v="535055.30000000005"/>
    <d v="2026-06-30T00:00:00"/>
    <d v="2027-06-01T00:00:00"/>
  </r>
  <r>
    <x v="351"/>
    <x v="223"/>
    <s v="TBD"/>
    <x v="138"/>
    <x v="138"/>
    <s v="Cryogenic Controls and Instr. System - Hardware Procurement - Vendor Fabrication and Delivery - IR02 SHC"/>
    <n v="400000"/>
    <n v="472066.56"/>
    <d v="2028-02-08T00:00:00"/>
    <d v="2029-01-08T00:00:00"/>
  </r>
  <r>
    <x v="352"/>
    <x v="223"/>
    <s v="TBD"/>
    <x v="138"/>
    <x v="138"/>
    <s v="Cryogenic Controls and Instr. System - Hardware Procurement - Vendor Fabrication and Delivery - IR06"/>
    <n v="400000"/>
    <n v="455560.07"/>
    <d v="2026-06-30T00:00:00"/>
    <d v="2027-06-01T00:00:00"/>
  </r>
  <r>
    <x v="353"/>
    <x v="223"/>
    <s v="TBD"/>
    <x v="138"/>
    <x v="138"/>
    <s v="Cryogenic Controls and Instr. System - Hardware Procurement - Vendor Fabrication and Delivery - IR04"/>
    <n v="100000"/>
    <n v="113890.02"/>
    <d v="2026-06-30T00:00:00"/>
    <d v="2027-06-01T00:00:00"/>
  </r>
  <r>
    <x v="354"/>
    <x v="224"/>
    <s v="Ullrich"/>
    <x v="139"/>
    <x v="139"/>
    <s v="Systems Engineering &amp; Design - R&amp;D - FY23 - Phase 2"/>
    <n v="916667"/>
    <n v="1057856.6299999999"/>
    <d v="2025-11-19T00:00:00"/>
    <d v="2025-12-18T00:00:00"/>
  </r>
  <r>
    <x v="355"/>
    <x v="224"/>
    <s v="Ullrich"/>
    <x v="139"/>
    <x v="139"/>
    <s v="Systems Engineering &amp; Design - R&amp;D - FY23 - Phase 3"/>
    <n v="916667"/>
    <n v="1057856.6299999999"/>
    <d v="2025-12-19T00:00:00"/>
    <d v="2026-01-20T00:00:00"/>
  </r>
  <r>
    <x v="356"/>
    <x v="224"/>
    <s v="Ullrich"/>
    <x v="139"/>
    <x v="139"/>
    <s v="Systems Engineering &amp; Design - R&amp;D - FY23 - Phase 1"/>
    <n v="916666"/>
    <n v="1057855.48"/>
    <d v="2025-10-21T00:00:00"/>
    <d v="2025-11-18T00:00:00"/>
  </r>
  <r>
    <x v="357"/>
    <x v="110"/>
    <s v="Ullrich"/>
    <x v="139"/>
    <x v="139"/>
    <s v="Systems Engineering &amp; Design - R&amp;D - FY24 - Phase 1"/>
    <n v="1290000"/>
    <n v="1490472.75"/>
    <d v="2025-10-21T00:00:00"/>
    <d v="2026-10-20T00:00:00"/>
  </r>
  <r>
    <x v="358"/>
    <x v="225"/>
    <s v="Eng"/>
    <x v="140"/>
    <x v="140"/>
    <s v="Tracking: Mu Vertex - Material - Construction"/>
    <n v="3097084"/>
    <n v="3590010.69"/>
    <d v="2025-10-21T00:00:00"/>
    <d v="2029-08-24T00:00:00"/>
  </r>
  <r>
    <x v="359"/>
    <x v="226"/>
    <s v="Eng"/>
    <x v="140"/>
    <x v="140"/>
    <s v="Tracking: TPC - Material - Construction"/>
    <n v="3220000"/>
    <n v="3817885.63"/>
    <d v="2027-10-21T00:00:00"/>
    <d v="2029-08-24T00:00:00"/>
  </r>
  <r>
    <x v="360"/>
    <x v="226"/>
    <s v="Eng"/>
    <x v="140"/>
    <x v="140"/>
    <s v="Tracking: Long Lead Procurement - GEM foils for MPGDs"/>
    <n v="753000"/>
    <n v="833530.05"/>
    <d v="2024-10-04T00:00:00"/>
    <d v="2026-08-11T00:00:00"/>
  </r>
  <r>
    <x v="361"/>
    <x v="227"/>
    <s v="Eng"/>
    <x v="140"/>
    <x v="140"/>
    <s v="Tracking: Lepton Endcap - Material - Construction"/>
    <n v="470000"/>
    <n v="538589.80000000005"/>
    <d v="2025-10-21T00:00:00"/>
    <d v="2028-08-24T00:00:00"/>
  </r>
  <r>
    <x v="362"/>
    <x v="228"/>
    <s v="Eng"/>
    <x v="140"/>
    <x v="140"/>
    <s v="Tracking: Hadron Endcap Low-rapidity Si - Material - Construction"/>
    <n v="1988912"/>
    <n v="2305463.9"/>
    <d v="2025-10-21T00:00:00"/>
    <d v="2029-08-24T00:00:00"/>
  </r>
  <r>
    <x v="363"/>
    <x v="229"/>
    <s v="Eng"/>
    <x v="140"/>
    <x v="140"/>
    <s v="Tracking: Lepton Endcap Low-rapidity Si - Material - Construction"/>
    <n v="1988912"/>
    <n v="2305463.9"/>
    <d v="2025-10-21T00:00:00"/>
    <d v="2029-08-24T00:00:00"/>
  </r>
  <r>
    <x v="364"/>
    <x v="230"/>
    <s v="Zilhmann"/>
    <x v="141"/>
    <x v="141"/>
    <s v="PID: Long Lead Procurement - Silicon Photomultipliers"/>
    <n v="1830333"/>
    <n v="2073827.18"/>
    <d v="2024-10-04T00:00:00"/>
    <d v="2028-09-06T00:00:00"/>
  </r>
  <r>
    <x v="365"/>
    <x v="230"/>
    <s v="Zilhmann"/>
    <x v="141"/>
    <x v="141"/>
    <s v="PID: Hadron Endcap Construction - Materials"/>
    <n v="400130"/>
    <n v="464110.6"/>
    <d v="2025-10-21T00:00:00"/>
    <d v="2029-09-20T00:00:00"/>
  </r>
  <r>
    <x v="366"/>
    <x v="231"/>
    <s v="Zilhmann"/>
    <x v="141"/>
    <x v="141"/>
    <s v="PID: Barrel Construction - Materials"/>
    <n v="5473602"/>
    <n v="6412812.3799999999"/>
    <d v="2026-06-16T00:00:00"/>
    <d v="2029-12-19T00:00:00"/>
  </r>
  <r>
    <x v="367"/>
    <x v="232"/>
    <s v="Zilhmann"/>
    <x v="141"/>
    <x v="141"/>
    <s v="PID: Barrel First Article"/>
    <n v="612750"/>
    <n v="696602.41"/>
    <d v="2026-06-16T00:00:00"/>
    <d v="2027-04-14T00:00:00"/>
  </r>
  <r>
    <x v="368"/>
    <x v="233"/>
    <s v="Zilhmann"/>
    <x v="141"/>
    <x v="141"/>
    <s v="PID: Lepton Endcap Construction - Materials"/>
    <n v="390597"/>
    <n v="453053.28"/>
    <d v="2025-10-21T00:00:00"/>
    <d v="2029-09-20T00:00:00"/>
  </r>
  <r>
    <x v="369"/>
    <x v="234"/>
    <s v="Bazilevsky"/>
    <x v="142"/>
    <x v="142"/>
    <s v="EMCal - Long Lead Procurement - PbWO4 Crystals"/>
    <n v="2554000"/>
    <n v="2908402.76"/>
    <d v="2024-10-04T00:00:00"/>
    <d v="2029-02-02T00:00:00"/>
  </r>
  <r>
    <x v="370"/>
    <x v="234"/>
    <s v="Bazilevsky"/>
    <x v="142"/>
    <x v="142"/>
    <s v="EMCal - Long Lead Procurement - Silicon Photomultipliers"/>
    <n v="1830333"/>
    <n v="2084316.97"/>
    <d v="2024-10-04T00:00:00"/>
    <d v="2029-02-02T00:00:00"/>
  </r>
  <r>
    <x v="371"/>
    <x v="234"/>
    <s v="Bazilevsky"/>
    <x v="142"/>
    <x v="142"/>
    <s v="EMCal- Lepton: Purchase Material"/>
    <n v="1205114"/>
    <n v="1405125.22"/>
    <d v="2025-10-21T00:00:00"/>
    <d v="1930-02-19T00:00:00"/>
  </r>
  <r>
    <x v="372"/>
    <x v="234"/>
    <s v="Bazilevsky"/>
    <x v="142"/>
    <x v="142"/>
    <s v="EMCal- Central: Purchase Material"/>
    <n v="967722"/>
    <n v="1128333.57"/>
    <d v="2025-10-21T00:00:00"/>
    <d v="1930-02-19T00:00:00"/>
  </r>
  <r>
    <x v="373"/>
    <x v="103"/>
    <s v="Bazilevsky"/>
    <x v="142"/>
    <x v="142"/>
    <s v="EMCal- Hadron: Purchase Material"/>
    <n v="694666"/>
    <n v="812635.13"/>
    <d v="2025-12-18T00:00:00"/>
    <d v="1930-04-15T00:00:00"/>
  </r>
  <r>
    <x v="374"/>
    <x v="235"/>
    <s v="Kiselev"/>
    <x v="143"/>
    <x v="143"/>
    <s v="HCAL: Long Lead Procurement - Scintillators"/>
    <n v="7387000"/>
    <n v="8324676.29"/>
    <d v="2024-10-04T00:00:00"/>
    <d v="2028-03-02T00:00:00"/>
  </r>
  <r>
    <x v="375"/>
    <x v="235"/>
    <s v="Kiselev"/>
    <x v="143"/>
    <x v="143"/>
    <s v="HCAL: Long Lead Procurement - Steel for Hadronic Calorimeters"/>
    <n v="7052000"/>
    <n v="7947152.7300000004"/>
    <d v="2024-10-04T00:00:00"/>
    <d v="2028-03-02T00:00:00"/>
  </r>
  <r>
    <x v="376"/>
    <x v="235"/>
    <s v="Kiselev"/>
    <x v="143"/>
    <x v="143"/>
    <s v="HCAL: Long Lead Procurement - Silicon Photomultipliers"/>
    <n v="1830333"/>
    <n v="2062668.16"/>
    <d v="2024-10-04T00:00:00"/>
    <d v="2028-03-02T00:00:00"/>
  </r>
  <r>
    <x v="377"/>
    <x v="236"/>
    <s v="Rajput-Ghoshal"/>
    <x v="144"/>
    <x v="144"/>
    <s v="Long Lead Procurement - Materials"/>
    <n v="4974000"/>
    <n v="5664490.6900000004"/>
    <d v="2024-10-04T00:00:00"/>
    <d v="2029-02-05T00:00:00"/>
  </r>
  <r>
    <x v="378"/>
    <x v="237"/>
    <s v="Barbosa"/>
    <x v="145"/>
    <x v="145"/>
    <s v="CD-1 Electronics: Construction Material"/>
    <n v="8718360"/>
    <n v="10219967.4"/>
    <d v="2026-09-18T00:00:00"/>
    <d v="2029-10-02T00:00:00"/>
  </r>
  <r>
    <x v="379"/>
    <x v="238"/>
    <s v="Barbosa"/>
    <x v="145"/>
    <x v="145"/>
    <s v="CD-1 Electronics: Final Design - Material"/>
    <n v="429800"/>
    <n v="484322.49"/>
    <d v="2025-10-21T00:00:00"/>
    <d v="2027-01-28T00:00:00"/>
  </r>
  <r>
    <x v="380"/>
    <x v="239"/>
    <s v="Barbosa"/>
    <x v="146"/>
    <x v="146"/>
    <s v="CD-1 DAQ/Computing: Construction - Material"/>
    <n v="3211941"/>
    <n v="3751144.22"/>
    <d v="2026-09-01T00:00:00"/>
    <d v="2029-06-01T00:00:00"/>
  </r>
  <r>
    <x v="381"/>
    <x v="240"/>
    <s v="Aschenauer"/>
    <x v="147"/>
    <x v="147"/>
    <s v="Detector Infrastructure: Fabrication - Material"/>
    <n v="12768743"/>
    <n v="14841184.050000001"/>
    <d v="2026-05-12T00:00:00"/>
    <d v="2029-05-10T00:00:00"/>
  </r>
  <r>
    <x v="382"/>
    <x v="241"/>
    <s v="Furletova"/>
    <x v="148"/>
    <x v="148"/>
    <s v="Zero Degree Calorimeter: Production"/>
    <n v="2465637"/>
    <n v="2921805.49"/>
    <d v="2027-03-09T00:00:00"/>
    <d v="1930-03-29T00:00:00"/>
  </r>
  <r>
    <x v="383"/>
    <x v="242"/>
    <s v="Gaskell"/>
    <x v="149"/>
    <x v="149"/>
    <s v="Position detectors - FY 26"/>
    <n v="324180"/>
    <n v="380570.25"/>
    <d v="2027-10-21T00:00:00"/>
    <d v="2028-10-19T00:00:00"/>
  </r>
  <r>
    <x v="384"/>
    <x v="242"/>
    <s v="Gaskell"/>
    <x v="149"/>
    <x v="149"/>
    <s v="Position detectors - FY 25"/>
    <n v="308180"/>
    <n v="353653.14"/>
    <d v="2026-10-21T00:00:00"/>
    <d v="2027-10-20T00:00:00"/>
  </r>
  <r>
    <x v="385"/>
    <x v="242"/>
    <s v="Gaskell"/>
    <x v="149"/>
    <x v="149"/>
    <s v="Position detectors - FY 24"/>
    <n v="300180"/>
    <n v="336727.83"/>
    <d v="2025-10-21T00:00:00"/>
    <d v="2026-10-20T00:00:00"/>
  </r>
  <r>
    <x v="386"/>
    <x v="242"/>
    <s v="Gaskell"/>
    <x v="150"/>
    <x v="150"/>
    <s v="Position detectors - FY 26"/>
    <n v="324180"/>
    <n v="380570.25"/>
    <d v="2027-10-21T00:00:00"/>
    <d v="2028-10-19T00:00:00"/>
  </r>
  <r>
    <x v="387"/>
    <x v="242"/>
    <s v="Gaskell"/>
    <x v="150"/>
    <x v="150"/>
    <s v="Position detectors - FY 25"/>
    <n v="308180"/>
    <n v="353653.14"/>
    <d v="2026-10-21T00:00:00"/>
    <d v="2027-10-20T00:00:00"/>
  </r>
  <r>
    <x v="388"/>
    <x v="242"/>
    <s v="Gaskell"/>
    <x v="150"/>
    <x v="150"/>
    <s v="Position detectors - FY 24"/>
    <n v="300180"/>
    <n v="336727.83"/>
    <d v="2025-10-21T00:00:00"/>
    <d v="2026-10-20T00:00:00"/>
  </r>
  <r>
    <x v="389"/>
    <x v="243"/>
    <s v="Schmidke"/>
    <x v="151"/>
    <x v="151"/>
    <s v="Polarized Atomic HJET and readout electronics - material - FY25"/>
    <n v="250000"/>
    <n v="286888.46000000002"/>
    <d v="2026-10-21T00:00:00"/>
    <d v="2027-10-20T00:00:00"/>
  </r>
  <r>
    <x v="390"/>
    <x v="244"/>
    <s v="Folz"/>
    <x v="152"/>
    <x v="152"/>
    <s v="A/E Services Contract - Design - FY22"/>
    <n v="5269134"/>
    <n v="5451225.29"/>
    <d v="2022-05-31T00:00:00"/>
    <d v="2023-02-06T00:00:00"/>
  </r>
  <r>
    <x v="391"/>
    <x v="244"/>
    <s v="Folz"/>
    <x v="152"/>
    <x v="152"/>
    <s v="A/E Services Contract - Design - FY23"/>
    <n v="3908523"/>
    <n v="4122119.87"/>
    <d v="2023-02-07T00:00:00"/>
    <d v="2024-02-05T00:00:00"/>
  </r>
  <r>
    <x v="392"/>
    <x v="244"/>
    <s v="Folz"/>
    <x v="152"/>
    <x v="152"/>
    <s v="A/E Services Contract - Const - FY26"/>
    <n v="1422897"/>
    <n v="1606552.76"/>
    <d v="2026-02-05T00:00:00"/>
    <d v="2027-02-04T00:00:00"/>
  </r>
  <r>
    <x v="393"/>
    <x v="244"/>
    <s v="Folz"/>
    <x v="152"/>
    <x v="152"/>
    <s v="A/E Services Contract - Const - FY25"/>
    <n v="1422897"/>
    <n v="1570432.69"/>
    <d v="2025-02-05T00:00:00"/>
    <d v="2026-02-04T00:00:00"/>
  </r>
  <r>
    <x v="394"/>
    <x v="244"/>
    <s v="Folz"/>
    <x v="152"/>
    <x v="152"/>
    <s v="A/E Services Contract - Const - FY24"/>
    <n v="948598"/>
    <n v="1025894.89"/>
    <d v="2024-05-01T00:00:00"/>
    <d v="2025-02-04T00:00:00"/>
  </r>
  <r>
    <x v="395"/>
    <x v="244"/>
    <s v="Folz"/>
    <x v="152"/>
    <x v="152"/>
    <s v="A/E Services Contract - Const - FY30"/>
    <n v="711448"/>
    <n v="879765.87"/>
    <d v="1930-02-05T00:00:00"/>
    <d v="1931-02-04T00:00:00"/>
  </r>
  <r>
    <x v="396"/>
    <x v="244"/>
    <s v="Folz"/>
    <x v="152"/>
    <x v="152"/>
    <s v="A/E Services Contract - Const - FY29"/>
    <n v="711448"/>
    <n v="860012.67"/>
    <d v="2029-02-06T00:00:00"/>
    <d v="1930-02-04T00:00:00"/>
  </r>
  <r>
    <x v="397"/>
    <x v="244"/>
    <s v="Folz"/>
    <x v="152"/>
    <x v="152"/>
    <s v="A/E Services Contract - Const - FY28"/>
    <n v="711448"/>
    <n v="840651.4"/>
    <d v="2028-02-07T00:00:00"/>
    <d v="2029-02-05T00:00:00"/>
  </r>
  <r>
    <x v="398"/>
    <x v="244"/>
    <s v="Folz"/>
    <x v="152"/>
    <x v="152"/>
    <s v="A/E Services Contract - Design - FY24"/>
    <n v="781705"/>
    <n v="836892.59"/>
    <d v="2024-02-06T00:00:00"/>
    <d v="2024-04-30T00:00:00"/>
  </r>
  <r>
    <x v="399"/>
    <x v="244"/>
    <s v="Folz"/>
    <x v="152"/>
    <x v="152"/>
    <s v="A/E Services Contract - Const - FY27"/>
    <n v="711448"/>
    <n v="821751.35"/>
    <d v="2027-02-05T00:00:00"/>
    <d v="2028-02-04T00:00:00"/>
  </r>
  <r>
    <x v="400"/>
    <x v="244"/>
    <s v="Folz"/>
    <x v="152"/>
    <x v="152"/>
    <s v="A/E Services Contract - Const - FY31"/>
    <n v="415012"/>
    <n v="520974.94"/>
    <d v="1931-02-05T00:00:00"/>
    <d v="1931-09-08T00:00:00"/>
  </r>
  <r>
    <x v="401"/>
    <x v="245"/>
    <s v="Folz"/>
    <x v="153"/>
    <x v="153"/>
    <s v="C/M Construction Mgt Services Contract - Const - FY26"/>
    <n v="650000"/>
    <n v="736844.71"/>
    <d v="2026-04-09T00:00:00"/>
    <d v="2027-04-08T00:00:00"/>
  </r>
  <r>
    <x v="402"/>
    <x v="245"/>
    <s v="Folz"/>
    <x v="153"/>
    <x v="153"/>
    <s v="C/M Construction Mgt Services Contract - Const - FY25"/>
    <n v="650000"/>
    <n v="720278.18"/>
    <d v="2025-04-09T00:00:00"/>
    <d v="2026-04-08T00:00:00"/>
  </r>
  <r>
    <x v="403"/>
    <x v="245"/>
    <s v="Folz"/>
    <x v="153"/>
    <x v="153"/>
    <s v="C/M Construction Mgt Services Contract - Const - FY24"/>
    <n v="400000"/>
    <n v="434875.12"/>
    <d v="2024-07-03T00:00:00"/>
    <d v="2025-04-08T00:00:00"/>
  </r>
  <r>
    <x v="404"/>
    <x v="245"/>
    <s v="Folz"/>
    <x v="153"/>
    <x v="153"/>
    <s v="C/M Construction Mgt Services Contract - Const - FY27"/>
    <n v="325000"/>
    <n v="376896.11"/>
    <d v="2027-04-09T00:00:00"/>
    <d v="2028-04-07T00:00:00"/>
  </r>
  <r>
    <x v="405"/>
    <x v="246"/>
    <s v="Folz"/>
    <x v="153"/>
    <x v="153"/>
    <s v="Commissioning Contract - Const - FY26"/>
    <n v="60000"/>
    <n v="68016.429999999993"/>
    <d v="2026-04-09T00:00:00"/>
    <d v="2027-04-08T00:00:00"/>
  </r>
  <r>
    <x v="406"/>
    <x v="246"/>
    <s v="Folz"/>
    <x v="153"/>
    <x v="153"/>
    <s v="Commissioning Contract - Const - FY25"/>
    <n v="60000"/>
    <n v="66487.22"/>
    <d v="2025-04-09T00:00:00"/>
    <d v="2026-04-08T00:00:00"/>
  </r>
  <r>
    <x v="407"/>
    <x v="246"/>
    <s v="Folz"/>
    <x v="153"/>
    <x v="153"/>
    <s v="Commissioning Contract - Const - FY24"/>
    <n v="56250"/>
    <n v="61154.31"/>
    <d v="2024-07-03T00:00:00"/>
    <d v="2025-04-08T00:00:00"/>
  </r>
  <r>
    <x v="408"/>
    <x v="246"/>
    <s v="Folz"/>
    <x v="153"/>
    <x v="153"/>
    <s v="Commissioning Contract - Design - FY23"/>
    <n v="40000"/>
    <n v="42513.22"/>
    <d v="2023-07-06T00:00:00"/>
    <d v="2024-04-08T00:00:00"/>
  </r>
  <r>
    <x v="409"/>
    <x v="246"/>
    <s v="Folz"/>
    <x v="153"/>
    <x v="153"/>
    <s v="Commissioning Contract - Const - FY30"/>
    <n v="30000"/>
    <n v="37249.949999999997"/>
    <d v="1930-04-10T00:00:00"/>
    <d v="1931-04-09T00:00:00"/>
  </r>
  <r>
    <x v="410"/>
    <x v="246"/>
    <s v="Folz"/>
    <x v="153"/>
    <x v="153"/>
    <s v="Commissioning Contract - Const - FY29"/>
    <n v="30000"/>
    <n v="36412.47"/>
    <d v="2029-04-10T00:00:00"/>
    <d v="1930-04-09T00:00:00"/>
  </r>
  <r>
    <x v="411"/>
    <x v="246"/>
    <s v="Folz"/>
    <x v="153"/>
    <x v="153"/>
    <s v="Commissioning Contract - Const - FY28"/>
    <n v="30000"/>
    <n v="35590.58"/>
    <d v="2028-04-10T00:00:00"/>
    <d v="2029-04-09T00:00:00"/>
  </r>
  <r>
    <x v="412"/>
    <x v="246"/>
    <s v="Folz"/>
    <x v="153"/>
    <x v="153"/>
    <s v="Commissioning Contract - Const - FY27"/>
    <n v="30000"/>
    <n v="34790.410000000003"/>
    <d v="2027-04-09T00:00:00"/>
    <d v="2028-04-07T00:00:00"/>
  </r>
  <r>
    <x v="413"/>
    <x v="246"/>
    <s v="Folz"/>
    <x v="153"/>
    <x v="153"/>
    <s v="Commissioning Contract - Const - FY31"/>
    <n v="20000"/>
    <n v="25218.14"/>
    <d v="1931-04-10T00:00:00"/>
    <d v="1931-11-10T00:00:00"/>
  </r>
  <r>
    <x v="414"/>
    <x v="246"/>
    <s v="Folz"/>
    <x v="153"/>
    <x v="153"/>
    <s v="Commissioning Contract - Design - FY24"/>
    <n v="18750"/>
    <n v="20073.73"/>
    <d v="2024-04-09T00:00:00"/>
    <d v="2024-07-02T00:00:00"/>
  </r>
  <r>
    <x v="415"/>
    <x v="247"/>
    <s v="Folz"/>
    <x v="153"/>
    <x v="153"/>
    <s v="Field Office Trailer Rental - FY30"/>
    <n v="48000"/>
    <n v="60571.59"/>
    <d v="1930-12-26T00:00:00"/>
    <d v="1931-12-18T00:00:00"/>
  </r>
  <r>
    <x v="416"/>
    <x v="247"/>
    <s v="Folz"/>
    <x v="153"/>
    <x v="153"/>
    <s v="Field Office Trailer Rental - FY29"/>
    <n v="48000"/>
    <n v="59209.77"/>
    <d v="2029-12-26T00:00:00"/>
    <d v="1930-12-24T00:00:00"/>
  </r>
  <r>
    <x v="417"/>
    <x v="247"/>
    <s v="Folz"/>
    <x v="153"/>
    <x v="153"/>
    <s v="Field Office Trailer Rental - FY28"/>
    <n v="48000"/>
    <n v="57878.559999999998"/>
    <d v="2028-12-26T00:00:00"/>
    <d v="2029-12-24T00:00:00"/>
  </r>
  <r>
    <x v="418"/>
    <x v="247"/>
    <s v="Folz"/>
    <x v="153"/>
    <x v="153"/>
    <s v="Field Office Trailer Rental - FY27"/>
    <n v="48000"/>
    <n v="56572.12"/>
    <d v="2027-12-27T00:00:00"/>
    <d v="2028-12-22T00:00:00"/>
  </r>
  <r>
    <x v="419"/>
    <x v="247"/>
    <s v="Folz"/>
    <x v="153"/>
    <x v="153"/>
    <s v="Field Office Trailer Rental - FY26"/>
    <n v="48000"/>
    <n v="55300.23"/>
    <d v="2026-12-24T00:00:00"/>
    <d v="2027-12-23T00:00:00"/>
  </r>
  <r>
    <x v="420"/>
    <x v="247"/>
    <s v="Folz"/>
    <x v="153"/>
    <x v="153"/>
    <s v="Field Office Trailer Rental - FY25"/>
    <n v="48000"/>
    <n v="54056.9"/>
    <d v="2025-12-24T00:00:00"/>
    <d v="2026-12-23T00:00:00"/>
  </r>
  <r>
    <x v="421"/>
    <x v="247"/>
    <s v="Folz"/>
    <x v="153"/>
    <x v="153"/>
    <s v="Field Office Trailer Rental - FY24"/>
    <n v="36000"/>
    <n v="40334.870000000003"/>
    <d v="2025-10-21T00:00:00"/>
    <d v="2025-12-23T00:00:00"/>
  </r>
  <r>
    <x v="422"/>
    <x v="247"/>
    <s v="Folz"/>
    <x v="153"/>
    <x v="153"/>
    <s v="Field Office Trailer Rental - FY31"/>
    <n v="21000"/>
    <n v="26968.16"/>
    <d v="1931-12-19T00:00:00"/>
    <d v="1932-07-15T00:00:00"/>
  </r>
  <r>
    <x v="423"/>
    <x v="248"/>
    <s v="Folz"/>
    <x v="153"/>
    <x v="153"/>
    <s v="Testing Contracts - FY26"/>
    <n v="66667"/>
    <n v="76806.259999999995"/>
    <d v="2026-12-24T00:00:00"/>
    <d v="2027-12-23T00:00:00"/>
  </r>
  <r>
    <x v="424"/>
    <x v="248"/>
    <s v="Folz"/>
    <x v="153"/>
    <x v="153"/>
    <s v="Testing Contracts - FY25"/>
    <n v="66667"/>
    <n v="75079.41"/>
    <d v="2025-12-24T00:00:00"/>
    <d v="2026-12-23T00:00:00"/>
  </r>
  <r>
    <x v="425"/>
    <x v="248"/>
    <s v="Folz"/>
    <x v="153"/>
    <x v="153"/>
    <s v="Testing Contracts - FY30"/>
    <n v="33334"/>
    <n v="42064.44"/>
    <d v="1930-12-26T00:00:00"/>
    <d v="1931-12-18T00:00:00"/>
  </r>
  <r>
    <x v="426"/>
    <x v="248"/>
    <s v="Folz"/>
    <x v="153"/>
    <x v="153"/>
    <s v="Testing Contracts - FY29"/>
    <n v="33334"/>
    <n v="41118.720000000001"/>
    <d v="2029-12-26T00:00:00"/>
    <d v="1930-12-24T00:00:00"/>
  </r>
  <r>
    <x v="427"/>
    <x v="248"/>
    <s v="Folz"/>
    <x v="153"/>
    <x v="153"/>
    <s v="Testing Contracts - FY28"/>
    <n v="33334"/>
    <n v="40194.25"/>
    <d v="2028-12-26T00:00:00"/>
    <d v="2029-12-24T00:00:00"/>
  </r>
  <r>
    <x v="428"/>
    <x v="248"/>
    <s v="Folz"/>
    <x v="153"/>
    <x v="153"/>
    <s v="Testing Contracts - FY27"/>
    <n v="33334"/>
    <n v="39286.980000000003"/>
    <d v="2027-12-27T00:00:00"/>
    <d v="2028-12-22T00:00:00"/>
  </r>
  <r>
    <x v="429"/>
    <x v="248"/>
    <s v="Folz"/>
    <x v="153"/>
    <x v="153"/>
    <s v="Testing Contracts - FY31"/>
    <n v="16666"/>
    <n v="21402.44"/>
    <d v="1931-12-19T00:00:00"/>
    <d v="1932-07-15T00:00:00"/>
  </r>
  <r>
    <x v="430"/>
    <x v="248"/>
    <s v="Folz"/>
    <x v="153"/>
    <x v="153"/>
    <s v="Testing Contracts - FY24"/>
    <n v="5000"/>
    <n v="5602.06"/>
    <d v="2025-10-21T00:00:00"/>
    <d v="2025-12-23T00:00:00"/>
  </r>
  <r>
    <x v="431"/>
    <x v="249"/>
    <s v="Dirul"/>
    <x v="154"/>
    <x v="154"/>
    <s v="RF Building@ 1002 Pre-injector - MEP and Interior"/>
    <n v="3371339"/>
    <n v="3864171.45"/>
    <d v="2026-11-30T00:00:00"/>
    <d v="2027-02-25T00:00:00"/>
  </r>
  <r>
    <x v="432"/>
    <x v="250"/>
    <s v="Dirul"/>
    <x v="154"/>
    <x v="154"/>
    <s v="RF Building@ 1002 Pre-injector - Concrete Pad, Asphalt Pavings and markings"/>
    <n v="4155990"/>
    <n v="4684985.1900000004"/>
    <d v="2026-08-31T00:00:00"/>
    <d v="2026-10-13T00:00:00"/>
  </r>
  <r>
    <x v="433"/>
    <x v="250"/>
    <s v="Dirul"/>
    <x v="154"/>
    <x v="154"/>
    <s v="RF Building@ 1002 Pre-injector - Building Structural Work"/>
    <n v="2025856"/>
    <n v="2322001.71"/>
    <d v="2026-10-14T00:00:00"/>
    <d v="2026-11-25T00:00:00"/>
  </r>
  <r>
    <x v="434"/>
    <x v="250"/>
    <s v="Dirul"/>
    <x v="154"/>
    <x v="154"/>
    <s v="RF Building@ 1002 Pre-injector - Excavation"/>
    <n v="68118"/>
    <n v="76320.289999999994"/>
    <d v="2026-07-20T00:00:00"/>
    <d v="2026-08-28T00:00:00"/>
  </r>
  <r>
    <x v="435"/>
    <x v="251"/>
    <s v="Dirul"/>
    <x v="155"/>
    <x v="155"/>
    <s v="New LINAC Tunnel 1002 - Installation of New 400 Mev LINAC Tunnel"/>
    <n v="1239202"/>
    <n v="1420352.27"/>
    <d v="2027-04-30T00:00:00"/>
    <d v="2027-07-26T00:00:00"/>
  </r>
  <r>
    <x v="436"/>
    <x v="251"/>
    <s v="Dirul"/>
    <x v="155"/>
    <x v="155"/>
    <s v="New LINAC Tunnel 1002 - New 400 Mev LINAC - General &amp; Systems"/>
    <n v="804869"/>
    <n v="922527.17"/>
    <d v="2027-07-27T00:00:00"/>
    <d v="2027-09-28T00:00:00"/>
  </r>
  <r>
    <x v="437"/>
    <x v="251"/>
    <s v="Dirul"/>
    <x v="155"/>
    <x v="155"/>
    <s v="New LINAC Tunnel 1002 - Demolition of existing spectrometer tunnel"/>
    <n v="647674"/>
    <n v="742352.93"/>
    <d v="2027-02-26T00:00:00"/>
    <d v="2027-04-29T00:00:00"/>
  </r>
  <r>
    <x v="438"/>
    <x v="249"/>
    <s v="Dirul"/>
    <x v="156"/>
    <x v="156"/>
    <s v="Cryogenic 1002I - MEP and Interior"/>
    <n v="228838"/>
    <n v="262290.23"/>
    <d v="2026-10-28T00:00:00"/>
    <d v="2027-01-27T00:00:00"/>
  </r>
  <r>
    <x v="439"/>
    <x v="250"/>
    <s v="Dirul"/>
    <x v="156"/>
    <x v="156"/>
    <s v="Cryogenic 1002I - Building Structural Work"/>
    <n v="138786"/>
    <n v="157643.54999999999"/>
    <d v="2026-09-15T00:00:00"/>
    <d v="2026-10-27T00:00:00"/>
  </r>
  <r>
    <x v="440"/>
    <x v="250"/>
    <s v="Dirul"/>
    <x v="156"/>
    <x v="156"/>
    <s v="Cryogenic 1002I - Concrete Pad, Asphalt Pavings and markings"/>
    <n v="79474"/>
    <n v="89043.7"/>
    <d v="2026-08-17T00:00:00"/>
    <d v="2026-09-14T00:00:00"/>
  </r>
  <r>
    <x v="441"/>
    <x v="250"/>
    <s v="Dirul"/>
    <x v="156"/>
    <x v="156"/>
    <s v="Cryogenic 1002I – Excavation"/>
    <n v="14661"/>
    <n v="16426.37"/>
    <d v="2026-07-20T00:00:00"/>
    <d v="2026-08-14T00:00:00"/>
  </r>
  <r>
    <x v="442"/>
    <x v="249"/>
    <s v="Dirul"/>
    <x v="157"/>
    <x v="157"/>
    <s v="Cryogenic 1006  - MEP and Interior"/>
    <n v="140210"/>
    <n v="160706.32"/>
    <d v="2026-11-30T00:00:00"/>
    <d v="2027-02-25T00:00:00"/>
  </r>
  <r>
    <x v="443"/>
    <x v="250"/>
    <s v="Dirul"/>
    <x v="157"/>
    <x v="157"/>
    <s v="Cryogenic 1006 - Building Structural Work"/>
    <n v="99476"/>
    <n v="114017.7"/>
    <d v="2026-10-14T00:00:00"/>
    <d v="2026-11-25T00:00:00"/>
  </r>
  <r>
    <x v="444"/>
    <x v="250"/>
    <s v="Dirul"/>
    <x v="157"/>
    <x v="157"/>
    <s v="Cryogenic 1006 - Concrete Pad, Asphalt Pavings and markings"/>
    <n v="42338"/>
    <n v="47872.47"/>
    <d v="2026-09-15T00:00:00"/>
    <d v="2026-10-13T00:00:00"/>
  </r>
  <r>
    <x v="445"/>
    <x v="250"/>
    <s v="Dirul"/>
    <x v="157"/>
    <x v="157"/>
    <s v="Cryogenic 1006 - Excavation"/>
    <n v="10560"/>
    <n v="11831.56"/>
    <d v="2026-08-17T00:00:00"/>
    <d v="2026-09-14T00:00:00"/>
  </r>
  <r>
    <x v="446"/>
    <x v="249"/>
    <s v="Dirul"/>
    <x v="158"/>
    <x v="158"/>
    <s v="Cryogenic 1010E – MEP and Interior"/>
    <n v="283498"/>
    <n v="324940.59000000003"/>
    <d v="2027-01-13T00:00:00"/>
    <d v="2027-02-25T00:00:00"/>
  </r>
  <r>
    <x v="447"/>
    <x v="250"/>
    <s v="Dirul"/>
    <x v="158"/>
    <x v="158"/>
    <s v="Cryogenic 1010E – Building Structural Work"/>
    <n v="117508"/>
    <n v="134685.67000000001"/>
    <d v="2026-11-30T00:00:00"/>
    <d v="2027-01-12T00:00:00"/>
  </r>
  <r>
    <x v="448"/>
    <x v="250"/>
    <s v="Dirul"/>
    <x v="158"/>
    <x v="158"/>
    <s v="Cryogenic 1010E – Concrete Pad, Asphalt Pavings and markings"/>
    <n v="14666"/>
    <n v="16809.919999999998"/>
    <d v="2026-10-28T00:00:00"/>
    <d v="2026-11-25T00:00:00"/>
  </r>
  <r>
    <x v="449"/>
    <x v="250"/>
    <s v="Dirul"/>
    <x v="158"/>
    <x v="158"/>
    <s v="Cryogenic 1010E – Excavation"/>
    <n v="7763"/>
    <n v="8817.7999999999993"/>
    <d v="2026-09-15T00:00:00"/>
    <d v="2026-10-27T00:00:00"/>
  </r>
  <r>
    <x v="450"/>
    <x v="249"/>
    <s v="Dirul"/>
    <x v="159"/>
    <x v="159"/>
    <s v="1002H - EIC Injection LINAC Building -  MEP and Interior"/>
    <n v="3487946"/>
    <n v="3997824.41"/>
    <d v="2026-12-07T00:00:00"/>
    <d v="2027-02-10T00:00:00"/>
  </r>
  <r>
    <x v="451"/>
    <x v="250"/>
    <s v="Dirul"/>
    <x v="159"/>
    <x v="159"/>
    <s v="1002H - EIC Injection LINAC Building - Concrete Work/ slab/ Asphal Pavement"/>
    <n v="3652270"/>
    <n v="4092050.79"/>
    <d v="2026-08-17T00:00:00"/>
    <d v="2026-09-28T00:00:00"/>
  </r>
  <r>
    <x v="452"/>
    <x v="250"/>
    <s v="Dirul"/>
    <x v="159"/>
    <x v="159"/>
    <s v="1002H - EIC Injection LINAC Building - Structural Work"/>
    <n v="2330640"/>
    <n v="2668670.59"/>
    <d v="2026-09-29T00:00:00"/>
    <d v="2026-12-04T00:00:00"/>
  </r>
  <r>
    <x v="453"/>
    <x v="250"/>
    <s v="Dirul"/>
    <x v="159"/>
    <x v="159"/>
    <s v="1002H - EIC Injection LINAC Building - Excavation"/>
    <n v="143408"/>
    <n v="160676.19"/>
    <d v="2026-07-20T00:00:00"/>
    <d v="2026-08-14T00:00:00"/>
  </r>
  <r>
    <x v="454"/>
    <x v="249"/>
    <s v="Dirul"/>
    <x v="160"/>
    <x v="160"/>
    <s v="1002 Pre-injector &amp; SHC Bldg -  MEP and Interior  Systems"/>
    <n v="4228875"/>
    <n v="4942938.8099999996"/>
    <d v="2027-09-13T00:00:00"/>
    <d v="2028-02-08T00:00:00"/>
  </r>
  <r>
    <x v="455"/>
    <x v="250"/>
    <s v="Dirul"/>
    <x v="160"/>
    <x v="160"/>
    <s v="1002 Pre-injector &amp; SHC Bldg - Building Structural Work"/>
    <n v="4601684"/>
    <n v="5274371.97"/>
    <d v="2027-03-24T00:00:00"/>
    <d v="2027-09-10T00:00:00"/>
  </r>
  <r>
    <x v="456"/>
    <x v="250"/>
    <s v="Dirul"/>
    <x v="160"/>
    <x v="160"/>
    <s v="1002 Pre-injector &amp; SHC Bldg - Concrete Work/ slab/ Asphal Pavement"/>
    <n v="3066079"/>
    <n v="3514287.63"/>
    <d v="2026-11-12T00:00:00"/>
    <d v="2027-03-23T00:00:00"/>
  </r>
  <r>
    <x v="457"/>
    <x v="250"/>
    <s v="Dirul"/>
    <x v="160"/>
    <x v="160"/>
    <s v="1002 Pre-injector &amp; SHC Bldg - Excavation"/>
    <n v="323245"/>
    <n v="369942.59"/>
    <d v="2026-09-29T00:00:00"/>
    <d v="2026-11-10T00:00:00"/>
  </r>
  <r>
    <x v="458"/>
    <x v="249"/>
    <s v="Dirul"/>
    <x v="161"/>
    <x v="161"/>
    <s v="1010D - EIC 10 O'Clock DI Pumphouse - MEP and Interior"/>
    <n v="271701"/>
    <n v="311419.07"/>
    <d v="2026-12-29T00:00:00"/>
    <d v="2027-02-10T00:00:00"/>
  </r>
  <r>
    <x v="459"/>
    <x v="250"/>
    <s v="Dirul"/>
    <x v="161"/>
    <x v="161"/>
    <s v="1010D - EIC 10 O'Clock DI Pumphouse - Concrete Work/ slab/ Asphal Pavement"/>
    <n v="157673"/>
    <n v="180451.23"/>
    <d v="2026-09-29T00:00:00"/>
    <d v="2026-11-10T00:00:00"/>
  </r>
  <r>
    <x v="460"/>
    <x v="250"/>
    <s v="Dirul"/>
    <x v="161"/>
    <x v="161"/>
    <s v="1010D - EIC 10 O'Clock DI Pumphouse - Building Structural Work"/>
    <n v="147777"/>
    <n v="169379.49"/>
    <d v="2026-11-12T00:00:00"/>
    <d v="2026-12-28T00:00:00"/>
  </r>
  <r>
    <x v="461"/>
    <x v="250"/>
    <s v="Dirul"/>
    <x v="161"/>
    <x v="161"/>
    <s v="1010D - EIC 10 O'Clock DI Pumphouse - Excavation"/>
    <n v="19993"/>
    <n v="22400.42"/>
    <d v="2026-08-17T00:00:00"/>
    <d v="2026-09-28T00:00:00"/>
  </r>
  <r>
    <x v="462"/>
    <x v="249"/>
    <s v="Dirul"/>
    <x v="162"/>
    <x v="162"/>
    <s v="1010C EIC RF Power Amplifier Building - MEP and Interior"/>
    <n v="4318552"/>
    <n v="4949850.8899999997"/>
    <d v="2027-03-12T00:00:00"/>
    <d v="2027-06-04T00:00:00"/>
  </r>
  <r>
    <x v="463"/>
    <x v="250"/>
    <s v="Dirul"/>
    <x v="162"/>
    <x v="162"/>
    <s v="1010C EIC RF Power Amplifier Building - Concrete Work/ slab/ Asphal Pavement"/>
    <n v="3252378"/>
    <n v="3711057.62"/>
    <d v="2026-09-15T00:00:00"/>
    <d v="2026-12-11T00:00:00"/>
  </r>
  <r>
    <x v="464"/>
    <x v="250"/>
    <s v="Dirul"/>
    <x v="162"/>
    <x v="162"/>
    <s v="1010C EIC RF Power Amplifier Building - Building Structural Work"/>
    <n v="1739292"/>
    <n v="1993546.92"/>
    <d v="2026-12-14T00:00:00"/>
    <d v="2027-03-11T00:00:00"/>
  </r>
  <r>
    <x v="465"/>
    <x v="250"/>
    <s v="Dirul"/>
    <x v="162"/>
    <x v="162"/>
    <s v="1010C EIC RF Power Amplifier Building - Excavation"/>
    <n v="35130"/>
    <n v="39360.11"/>
    <d v="2026-08-17T00:00:00"/>
    <d v="2026-09-14T00:00:00"/>
  </r>
  <r>
    <x v="466"/>
    <x v="250"/>
    <s v="Dirul"/>
    <x v="163"/>
    <x v="163"/>
    <s v="Packaged HVAC and Mechanical Misc Foundations"/>
    <n v="90010"/>
    <n v="103013.29"/>
    <d v="2026-09-29T00:00:00"/>
    <d v="2026-11-10T00:00:00"/>
  </r>
  <r>
    <x v="467"/>
    <x v="250"/>
    <s v="Dirul"/>
    <x v="163"/>
    <x v="163"/>
    <s v="Electrical Equipment Foundations"/>
    <n v="61129"/>
    <n v="69960"/>
    <d v="2026-09-29T00:00:00"/>
    <d v="2026-11-10T00:00:00"/>
  </r>
  <r>
    <x v="468"/>
    <x v="250"/>
    <s v="Dirul"/>
    <x v="163"/>
    <x v="163"/>
    <s v="Cooling Water Towers Foundations"/>
    <n v="19531"/>
    <n v="22352.55"/>
    <d v="2026-09-29T00:00:00"/>
    <d v="2026-11-10T00:00:00"/>
  </r>
  <r>
    <x v="469"/>
    <x v="252"/>
    <s v="Dirul"/>
    <x v="164"/>
    <x v="164"/>
    <s v="Alc-01 - MEP and Interior  Systems"/>
    <n v="2182264"/>
    <n v="2501273.9"/>
    <d v="2026-10-14T00:00:00"/>
    <d v="2026-11-25T00:00:00"/>
  </r>
  <r>
    <x v="470"/>
    <x v="253"/>
    <s v="Dirul"/>
    <x v="164"/>
    <x v="164"/>
    <s v="Alc-01 - Building Structural Work"/>
    <n v="391287"/>
    <n v="442436.43"/>
    <d v="2026-09-15T00:00:00"/>
    <d v="2026-10-13T00:00:00"/>
  </r>
  <r>
    <x v="471"/>
    <x v="253"/>
    <s v="Dirul"/>
    <x v="164"/>
    <x v="164"/>
    <s v="Alc-01 - Concrete Pad, Asphalt Pavings and markings"/>
    <n v="295439"/>
    <n v="331013.7"/>
    <d v="2026-08-31T00:00:00"/>
    <d v="2026-09-14T00:00:00"/>
  </r>
  <r>
    <x v="472"/>
    <x v="253"/>
    <s v="Dirul"/>
    <x v="164"/>
    <x v="164"/>
    <s v="Alc-01 - Excavation"/>
    <n v="33173"/>
    <n v="37167.46"/>
    <d v="2026-07-20T00:00:00"/>
    <d v="2026-08-28T00:00:00"/>
  </r>
  <r>
    <x v="473"/>
    <x v="252"/>
    <s v="Dirul"/>
    <x v="165"/>
    <x v="165"/>
    <s v="Alc-03 - MEP and Interior  Systems"/>
    <n v="2182264"/>
    <n v="2501273.9"/>
    <d v="2026-11-30T00:00:00"/>
    <d v="2027-01-12T00:00:00"/>
  </r>
  <r>
    <x v="474"/>
    <x v="253"/>
    <s v="Dirul"/>
    <x v="165"/>
    <x v="165"/>
    <s v="Alc-03 - Building Structural Work"/>
    <n v="391287"/>
    <n v="448486.51"/>
    <d v="2026-10-28T00:00:00"/>
    <d v="2026-11-25T00:00:00"/>
  </r>
  <r>
    <x v="475"/>
    <x v="253"/>
    <s v="Dirul"/>
    <x v="165"/>
    <x v="165"/>
    <s v="Alc-03 - Concrete Pad, Asphalt Pavings and markings"/>
    <n v="295439"/>
    <n v="338627.16"/>
    <d v="2026-10-14T00:00:00"/>
    <d v="2026-10-27T00:00:00"/>
  </r>
  <r>
    <x v="476"/>
    <x v="253"/>
    <s v="Dirul"/>
    <x v="165"/>
    <x v="165"/>
    <s v="Alc-03 - Excavation"/>
    <n v="33173"/>
    <n v="37395.43"/>
    <d v="2026-08-31T00:00:00"/>
    <d v="2026-10-13T00:00:00"/>
  </r>
  <r>
    <x v="477"/>
    <x v="252"/>
    <s v="Dirul"/>
    <x v="166"/>
    <x v="166"/>
    <s v="Alc-05 - MEP and Interior Systems"/>
    <n v="3053563"/>
    <n v="3499942"/>
    <d v="2027-01-13T00:00:00"/>
    <d v="2027-02-25T00:00:00"/>
  </r>
  <r>
    <x v="478"/>
    <x v="253"/>
    <s v="Dirul"/>
    <x v="166"/>
    <x v="166"/>
    <s v="Alc-05 - Building Structural Work"/>
    <n v="806132"/>
    <n v="923974.79"/>
    <d v="2026-12-14T00:00:00"/>
    <d v="2027-01-12T00:00:00"/>
  </r>
  <r>
    <x v="479"/>
    <x v="253"/>
    <s v="Dirul"/>
    <x v="166"/>
    <x v="166"/>
    <s v="Alc-05 - Concrete Pad, Asphalt Pavings and markings"/>
    <n v="412401"/>
    <n v="472687.02"/>
    <d v="2026-11-30T00:00:00"/>
    <d v="2026-12-11T00:00:00"/>
  </r>
  <r>
    <x v="480"/>
    <x v="253"/>
    <s v="Dirul"/>
    <x v="166"/>
    <x v="166"/>
    <s v="Alc-05 - Excavation"/>
    <n v="108289"/>
    <n v="124119.01"/>
    <d v="2026-10-14T00:00:00"/>
    <d v="2026-11-25T00:00:00"/>
  </r>
  <r>
    <x v="481"/>
    <x v="252"/>
    <s v="Dirul"/>
    <x v="167"/>
    <x v="167"/>
    <s v="Alc-07 - MEP and Interior  Systems"/>
    <n v="4107595"/>
    <n v="4708055.5599999996"/>
    <d v="2027-02-26T00:00:00"/>
    <d v="2027-04-08T00:00:00"/>
  </r>
  <r>
    <x v="482"/>
    <x v="253"/>
    <s v="Dirul"/>
    <x v="167"/>
    <x v="167"/>
    <s v="Alc-07 - Building Structural Work"/>
    <n v="1020619"/>
    <n v="1169816.1499999999"/>
    <d v="2027-01-28T00:00:00"/>
    <d v="2027-02-25T00:00:00"/>
  </r>
  <r>
    <x v="483"/>
    <x v="253"/>
    <s v="Dirul"/>
    <x v="167"/>
    <x v="167"/>
    <s v="Alc-07 - Concrete Pad, Asphalt Pavings and markings"/>
    <n v="401498"/>
    <n v="460190.18"/>
    <d v="2027-01-13T00:00:00"/>
    <d v="2027-01-27T00:00:00"/>
  </r>
  <r>
    <x v="484"/>
    <x v="253"/>
    <s v="Dirul"/>
    <x v="167"/>
    <x v="167"/>
    <s v="Alc-07 - Excavation"/>
    <n v="61324"/>
    <n v="70288.53"/>
    <d v="2026-11-30T00:00:00"/>
    <d v="2027-01-12T00:00:00"/>
  </r>
  <r>
    <x v="485"/>
    <x v="252"/>
    <s v="Dirul"/>
    <x v="168"/>
    <x v="168"/>
    <s v="Alc-09 - MEP and Interior  Systems"/>
    <n v="2182264"/>
    <n v="2501273.9"/>
    <d v="2027-04-09T00:00:00"/>
    <d v="2027-05-20T00:00:00"/>
  </r>
  <r>
    <x v="486"/>
    <x v="253"/>
    <s v="Dirul"/>
    <x v="168"/>
    <x v="168"/>
    <s v="Alc-09 - Building Structural Work"/>
    <n v="391287"/>
    <n v="448486.51"/>
    <d v="2027-03-12T00:00:00"/>
    <d v="2027-04-08T00:00:00"/>
  </r>
  <r>
    <x v="487"/>
    <x v="253"/>
    <s v="Dirul"/>
    <x v="168"/>
    <x v="168"/>
    <s v="Alc-09 - Concrete Pad, Asphalt Pavings and markings"/>
    <n v="295439"/>
    <n v="338627.16"/>
    <d v="2027-02-26T00:00:00"/>
    <d v="2027-03-11T00:00:00"/>
  </r>
  <r>
    <x v="488"/>
    <x v="253"/>
    <s v="Dirul"/>
    <x v="168"/>
    <x v="168"/>
    <s v="Alc-09 - Excavation"/>
    <n v="33173"/>
    <n v="38022.33"/>
    <d v="2027-01-13T00:00:00"/>
    <d v="2027-02-25T00:00:00"/>
  </r>
  <r>
    <x v="489"/>
    <x v="252"/>
    <s v="Dirul"/>
    <x v="169"/>
    <x v="169"/>
    <s v="Alc-11 - MEP and Interior  Systems"/>
    <n v="171263"/>
    <n v="198205"/>
    <d v="2027-07-20T00:00:00"/>
    <d v="2027-11-29T00:00:00"/>
  </r>
  <r>
    <x v="490"/>
    <x v="253"/>
    <s v="Dirul"/>
    <x v="169"/>
    <x v="169"/>
    <s v="Alc-11 - Building Structural Work"/>
    <n v="169840"/>
    <n v="194667.72"/>
    <d v="2027-04-23T00:00:00"/>
    <d v="2027-07-19T00:00:00"/>
  </r>
  <r>
    <x v="491"/>
    <x v="253"/>
    <s v="Dirul"/>
    <x v="169"/>
    <x v="169"/>
    <s v="Alc-11 - Concrete Pad, Asphalt Pavings and markings"/>
    <n v="70256"/>
    <n v="80526.23"/>
    <d v="2027-03-26T00:00:00"/>
    <d v="2027-04-22T00:00:00"/>
  </r>
  <r>
    <x v="492"/>
    <x v="253"/>
    <s v="Dirul"/>
    <x v="169"/>
    <x v="169"/>
    <s v="Alc-11 - Excavation"/>
    <n v="15623"/>
    <n v="17906.82"/>
    <d v="2027-02-26T00:00:00"/>
    <d v="2027-03-25T00:00:00"/>
  </r>
  <r>
    <x v="493"/>
    <x v="252"/>
    <s v="Dirul"/>
    <x v="170"/>
    <x v="170"/>
    <s v="1004 Kicker - MEP and Interior  Systems"/>
    <n v="1193164"/>
    <n v="1367584.29"/>
    <d v="2027-04-26T00:00:00"/>
    <d v="2027-06-07T00:00:00"/>
  </r>
  <r>
    <x v="494"/>
    <x v="253"/>
    <s v="Dirul"/>
    <x v="170"/>
    <x v="170"/>
    <s v="1004 Kicker - Building Structural Work"/>
    <n v="503608"/>
    <n v="577226.93000000005"/>
    <d v="2027-03-29T00:00:00"/>
    <d v="2027-04-23T00:00:00"/>
  </r>
  <r>
    <x v="495"/>
    <x v="253"/>
    <s v="Dirul"/>
    <x v="170"/>
    <x v="170"/>
    <s v="1004 Kicker - Concrete Pad, Asphalt Pavings and markings"/>
    <n v="309113"/>
    <n v="354300.07"/>
    <d v="2027-03-15T00:00:00"/>
    <d v="2027-03-26T00:00:00"/>
  </r>
  <r>
    <x v="496"/>
    <x v="253"/>
    <s v="Dirul"/>
    <x v="170"/>
    <x v="170"/>
    <s v="1004 Kicker - Excavation"/>
    <n v="42088"/>
    <n v="48240.55"/>
    <d v="2027-01-29T00:00:00"/>
    <d v="2027-03-12T00:00:00"/>
  </r>
  <r>
    <x v="497"/>
    <x v="252"/>
    <s v="Dirul"/>
    <x v="171"/>
    <x v="171"/>
    <s v="EIC Kicker Power Supply Building - MEP and Interior  Systems"/>
    <n v="2217764"/>
    <n v="2541963.39"/>
    <d v="2027-07-07T00:00:00"/>
    <d v="2027-08-17T00:00:00"/>
  </r>
  <r>
    <x v="498"/>
    <x v="253"/>
    <s v="Dirul"/>
    <x v="171"/>
    <x v="171"/>
    <s v="EIC Kicker Power Supply Building - Building Structural Work"/>
    <n v="803392"/>
    <n v="920834.25"/>
    <d v="2027-05-24T00:00:00"/>
    <d v="2027-07-06T00:00:00"/>
  </r>
  <r>
    <x v="499"/>
    <x v="253"/>
    <s v="Dirul"/>
    <x v="171"/>
    <x v="171"/>
    <s v="EIC Kicker Power Supply Building - Concrete Pad, Asphalt Pavings and markings"/>
    <n v="634677"/>
    <n v="727455.99"/>
    <d v="2027-04-26T00:00:00"/>
    <d v="2027-05-21T00:00:00"/>
  </r>
  <r>
    <x v="500"/>
    <x v="253"/>
    <s v="Dirul"/>
    <x v="171"/>
    <x v="171"/>
    <s v="EIC Kicker Power Supply Building - Excavation"/>
    <n v="44018"/>
    <n v="50452.68"/>
    <d v="2027-03-15T00:00:00"/>
    <d v="2027-04-23T00:00:00"/>
  </r>
  <r>
    <x v="501"/>
    <x v="254"/>
    <s v="Dirul"/>
    <x v="172"/>
    <x v="172"/>
    <s v="RF Waveguide Penetrations- Duct @ 1010"/>
    <n v="2899148"/>
    <n v="3332029.9"/>
    <d v="2027-03-15T00:00:00"/>
    <d v="2027-10-28T00:00:00"/>
  </r>
  <r>
    <x v="502"/>
    <x v="254"/>
    <s v="Dirul"/>
    <x v="172"/>
    <x v="172"/>
    <s v="RHIC Tunnel HVAC"/>
    <n v="2552193"/>
    <n v="2992561.14"/>
    <d v="2028-03-28T00:00:00"/>
    <d v="2028-07-19T00:00:00"/>
  </r>
  <r>
    <x v="503"/>
    <x v="254"/>
    <s v="Dirul"/>
    <x v="172"/>
    <x v="172"/>
    <s v="Utility Ports Pipe Ports"/>
    <n v="2424404"/>
    <n v="2757151.99"/>
    <d v="2026-07-20T00:00:00"/>
    <d v="2027-02-25T00:00:00"/>
  </r>
  <r>
    <x v="504"/>
    <x v="254"/>
    <s v="Dirul"/>
    <x v="172"/>
    <x v="172"/>
    <s v="Excavated Penetrations- 1004"/>
    <n v="1113464"/>
    <n v="1276233.51"/>
    <d v="2027-01-29T00:00:00"/>
    <d v="2027-03-12T00:00:00"/>
  </r>
  <r>
    <x v="505"/>
    <x v="254"/>
    <s v="Dirul"/>
    <x v="172"/>
    <x v="172"/>
    <s v="Excavated Penetrations-  1012"/>
    <n v="1080188"/>
    <n v="1266569.04"/>
    <d v="2027-10-29T00:00:00"/>
    <d v="2028-03-27T00:00:00"/>
  </r>
  <r>
    <x v="506"/>
    <x v="249"/>
    <s v="Dirul"/>
    <x v="173"/>
    <x v="173"/>
    <s v="Service piping to bldgs, water, sanitary, storm"/>
    <n v="1041602"/>
    <n v="1167024.42"/>
    <d v="2025-10-21T00:00:00"/>
    <d v="2026-03-04T00:00:00"/>
  </r>
  <r>
    <x v="507"/>
    <x v="253"/>
    <s v="Dirul"/>
    <x v="173"/>
    <x v="173"/>
    <s v="Road 1010 - Wearing Course, 3&quot; thick"/>
    <n v="840476"/>
    <n v="941680.24"/>
    <d v="2026-04-30T00:00:00"/>
    <d v="2026-05-28T00:00:00"/>
  </r>
  <r>
    <x v="508"/>
    <x v="253"/>
    <s v="Dirul"/>
    <x v="173"/>
    <x v="173"/>
    <s v="Road 1002 - Wearing Course, 3&quot; thick"/>
    <n v="545389"/>
    <n v="611060.93000000005"/>
    <d v="2026-03-05T00:00:00"/>
    <d v="2026-04-01T00:00:00"/>
  </r>
  <r>
    <x v="509"/>
    <x v="253"/>
    <s v="Dirul"/>
    <x v="173"/>
    <x v="173"/>
    <s v="Road 1010 - Finish Grading"/>
    <n v="12851"/>
    <n v="14398.43"/>
    <d v="2026-06-12T00:00:00"/>
    <d v="2026-06-25T00:00:00"/>
  </r>
  <r>
    <x v="510"/>
    <x v="253"/>
    <s v="Dirul"/>
    <x v="173"/>
    <x v="173"/>
    <s v="Road 1002 - Rough Grading, 7510-10000 SF"/>
    <n v="10747"/>
    <n v="12041.08"/>
    <d v="2026-04-02T00:00:00"/>
    <d v="2026-04-15T00:00:00"/>
  </r>
  <r>
    <x v="511"/>
    <x v="253"/>
    <s v="Dirul"/>
    <x v="173"/>
    <x v="173"/>
    <s v="Road 1010 - Rough Grading, 7510-10000 SF"/>
    <n v="10747"/>
    <n v="12041.08"/>
    <d v="2026-05-29T00:00:00"/>
    <d v="2026-06-11T00:00:00"/>
  </r>
  <r>
    <x v="512"/>
    <x v="253"/>
    <s v="Dirul"/>
    <x v="173"/>
    <x v="173"/>
    <s v="Road 1002 - Finish Grading"/>
    <n v="8584"/>
    <n v="9617.6299999999992"/>
    <d v="2026-04-16T00:00:00"/>
    <d v="2026-04-29T00:00:00"/>
  </r>
  <r>
    <x v="513"/>
    <x v="255"/>
    <s v="Nehring"/>
    <x v="174"/>
    <x v="174"/>
    <s v="Substation Installation Contract - Contract Cost (Rolled up Cost)"/>
    <n v="3356968"/>
    <n v="3879697.47"/>
    <d v="2026-08-12T00:00:00"/>
    <d v="2028-08-10T00:00:00"/>
  </r>
  <r>
    <x v="514"/>
    <x v="255"/>
    <s v="Nehring"/>
    <x v="174"/>
    <x v="174"/>
    <s v="20 MVA transformer with OLTC - Installation by Contractor"/>
    <n v="40000"/>
    <n v="45847.32"/>
    <d v="2026-10-21T00:00:00"/>
    <d v="2026-11-18T00:00:00"/>
  </r>
  <r>
    <x v="515"/>
    <x v="255"/>
    <s v="Nehring"/>
    <x v="174"/>
    <x v="174"/>
    <s v="Substation Installation Contract - Mobilization"/>
    <n v="20000"/>
    <n v="22408.26"/>
    <d v="2026-08-12T00:00:00"/>
    <d v="2026-09-09T00:00:00"/>
  </r>
  <r>
    <x v="516"/>
    <x v="256"/>
    <s v="Nehring"/>
    <x v="174"/>
    <x v="174"/>
    <s v="20 MVA transformer with OLTC - Fabrication"/>
    <n v="2340000"/>
    <n v="2622520.19"/>
    <d v="2025-10-21T00:00:00"/>
    <d v="2026-10-05T00:00:00"/>
  </r>
  <r>
    <x v="517"/>
    <x v="257"/>
    <s v="Nehring"/>
    <x v="174"/>
    <x v="174"/>
    <s v="13.8 kV switchgear - Fabrication"/>
    <n v="798455"/>
    <n v="894599.36"/>
    <d v="2025-10-21T00:00:00"/>
    <d v="2026-08-07T00:00:00"/>
  </r>
  <r>
    <x v="518"/>
    <x v="258"/>
    <s v="Nehring"/>
    <x v="175"/>
    <x v="175"/>
    <s v="Overhead 13.8 kV lines, switch stations and duct bank- Electrical Construction - Overhead Lines (Material &amp; Labor)"/>
    <n v="4348563"/>
    <n v="4830316.92"/>
    <d v="2024-12-05T00:00:00"/>
    <d v="2026-11-03T00:00:00"/>
  </r>
  <r>
    <x v="519"/>
    <x v="258"/>
    <s v="Nehring"/>
    <x v="176"/>
    <x v="176"/>
    <s v="UNIT Substations w/Distribution Installation - Contract Cost, NonLabor"/>
    <n v="3319306"/>
    <n v="3804532.11"/>
    <d v="2026-11-04T00:00:00"/>
    <d v="2027-09-21T00:00:00"/>
  </r>
  <r>
    <x v="520"/>
    <x v="258"/>
    <s v="Nehring"/>
    <x v="176"/>
    <x v="176"/>
    <s v="UNIT Substations w/Distribution Installation - Distribution to Alcoves [1,3,5,9,11]"/>
    <n v="662659"/>
    <n v="759528.48"/>
    <d v="2026-11-04T00:00:00"/>
    <d v="2027-09-21T00:00:00"/>
  </r>
  <r>
    <x v="521"/>
    <x v="259"/>
    <s v="Nehring"/>
    <x v="176"/>
    <x v="176"/>
    <s v="UNIT Substations w/Distribution Unit substation - Fabrication (NYS Funded)"/>
    <n v="1484172"/>
    <n v="1644646.26"/>
    <d v="2024-10-04T00:00:00"/>
    <d v="2026-10-05T00:00:00"/>
  </r>
  <r>
    <x v="522"/>
    <x v="260"/>
    <s v="Nehring"/>
    <x v="177"/>
    <x v="177"/>
    <s v="Load centers 480V Switchboards &amp; Panelborards - Installation"/>
    <n v="1684350"/>
    <n v="2020399.72"/>
    <d v="2029-04-20T00:00:00"/>
    <d v="2029-09-11T00:00:00"/>
  </r>
  <r>
    <x v="523"/>
    <x v="260"/>
    <s v="Nehring"/>
    <x v="177"/>
    <x v="177"/>
    <s v="Load centers 480V Switchboards &amp; Panelborards - Vendor fabrication"/>
    <n v="1000000"/>
    <n v="1199513"/>
    <d v="2028-11-16T00:00:00"/>
    <d v="2029-04-12T00:00:00"/>
  </r>
  <r>
    <x v="524"/>
    <x v="260"/>
    <s v="Nehring"/>
    <x v="177"/>
    <x v="177"/>
    <s v="Load centers 480V - Vendor fabrication"/>
    <n v="900000"/>
    <n v="1079561.7"/>
    <d v="2028-11-01T00:00:00"/>
    <d v="2029-03-29T00:00:00"/>
  </r>
  <r>
    <x v="525"/>
    <x v="260"/>
    <s v="Nehring"/>
    <x v="177"/>
    <x v="177"/>
    <s v="Load centers 120/208V panelboard with Transformer - Installation - Installation"/>
    <n v="335100"/>
    <n v="402110.89"/>
    <d v="2029-04-13T00:00:00"/>
    <d v="2029-10-02T00:00:00"/>
  </r>
  <r>
    <x v="526"/>
    <x v="260"/>
    <s v="Nehring"/>
    <x v="177"/>
    <x v="177"/>
    <s v="Load centers 120/208V panelboard with Transformer - Vendor fabrication"/>
    <n v="274900"/>
    <n v="329746.12"/>
    <d v="2028-11-16T00:00:00"/>
    <d v="2029-04-12T00:00:00"/>
  </r>
  <r>
    <x v="527"/>
    <x v="260"/>
    <s v="Nehring"/>
    <x v="177"/>
    <x v="177"/>
    <s v="Load centers 480V - Installation - Installation"/>
    <n v="250000"/>
    <n v="299878.25"/>
    <d v="2029-03-30T00:00:00"/>
    <d v="2029-09-18T00:00:00"/>
  </r>
  <r>
    <x v="528"/>
    <x v="261"/>
    <s v="Nehring"/>
    <x v="177"/>
    <x v="177"/>
    <s v="Variable Frequency Drives - Vendor fabrication"/>
    <n v="1200000"/>
    <n v="1439415.6"/>
    <d v="2028-11-01T00:00:00"/>
    <d v="2029-03-29T00:00:00"/>
  </r>
  <r>
    <x v="529"/>
    <x v="262"/>
    <s v="Nehring"/>
    <x v="177"/>
    <x v="177"/>
    <s v="Variable Frequency Drives - Installation - Installation"/>
    <n v="1200000"/>
    <n v="1439415.6"/>
    <d v="2029-04-06T00:00:00"/>
    <d v="2029-05-17T00:00:00"/>
  </r>
  <r>
    <x v="530"/>
    <x v="263"/>
    <s v="Nehring"/>
    <x v="178"/>
    <x v="178"/>
    <s v="400 kW &amp; 150 kW Standby Gen &amp; 3-Position Auto Trans Switches - Vendor fabrication"/>
    <n v="1600000"/>
    <n v="1867334.88"/>
    <d v="2027-08-20T00:00:00"/>
    <d v="2028-03-15T00:00:00"/>
  </r>
  <r>
    <x v="531"/>
    <x v="263"/>
    <s v="Nehring"/>
    <x v="178"/>
    <x v="178"/>
    <s v="30 kVA 480V UPS - Vendor fabrication"/>
    <n v="1416800"/>
    <n v="1630759.52"/>
    <d v="2027-07-23T00:00:00"/>
    <d v="2027-10-18T00:00:00"/>
  </r>
  <r>
    <x v="532"/>
    <x v="264"/>
    <s v="Nehring"/>
    <x v="178"/>
    <x v="178"/>
    <s v="30 kVA 480V UPS and Bypass Switch Installation - Installation"/>
    <n v="1286600"/>
    <n v="1508596.4"/>
    <d v="2027-10-19T00:00:00"/>
    <d v="2028-04-12T00:00:00"/>
  </r>
  <r>
    <x v="533"/>
    <x v="265"/>
    <s v="Nehring"/>
    <x v="179"/>
    <x v="179"/>
    <s v="Cable Trays - Service Buildings -  Non Labor"/>
    <n v="386511"/>
    <n v="456415.43"/>
    <d v="2027-10-04T00:00:00"/>
    <d v="2029-03-15T00:00:00"/>
  </r>
  <r>
    <x v="534"/>
    <x v="265"/>
    <s v="Nehring"/>
    <x v="179"/>
    <x v="179"/>
    <s v="Cable Trays Installation - Tunnel - Non Labor"/>
    <n v="247113"/>
    <n v="289256.02"/>
    <d v="2027-09-03T00:00:00"/>
    <d v="2028-09-01T00:00:00"/>
  </r>
  <r>
    <x v="535"/>
    <x v="265"/>
    <s v="Nehring"/>
    <x v="179"/>
    <x v="179"/>
    <s v="Cable Trays Tunnel Material - Non Labor"/>
    <n v="70000"/>
    <n v="81790.28"/>
    <d v="2027-08-06T00:00:00"/>
    <d v="2028-08-04T00:00:00"/>
  </r>
  <r>
    <x v="536"/>
    <x v="266"/>
    <s v="Nehring"/>
    <x v="180"/>
    <x v="180"/>
    <s v="138kW Substation - PSEG Construction"/>
    <n v="11872000"/>
    <n v="14893464.560000001"/>
    <d v="2029-06-27T00:00:00"/>
    <d v="1933-01-26T00:00:00"/>
  </r>
  <r>
    <x v="537"/>
    <x v="266"/>
    <s v="Nehring"/>
    <x v="180"/>
    <x v="180"/>
    <s v="138kW Substation - PSEG Design Contract"/>
    <n v="1780801"/>
    <n v="1995232.59"/>
    <d v="2025-10-21T00:00:00"/>
    <d v="2026-04-14T00:00:00"/>
  </r>
  <r>
    <x v="538"/>
    <x v="266"/>
    <s v="Nehring"/>
    <x v="180"/>
    <x v="180"/>
    <s v="138kW Substation - PSEG Design Title 2"/>
    <n v="700000"/>
    <n v="812754.27"/>
    <d v="2027-05-28T00:00:00"/>
    <d v="2028-03-17T00:00:00"/>
  </r>
  <r>
    <x v="539"/>
    <x v="266"/>
    <s v="Nehring"/>
    <x v="180"/>
    <x v="180"/>
    <s v="138kW Substation - PSEG Design Title 1"/>
    <n v="300000"/>
    <n v="343854.9"/>
    <d v="2026-12-07T00:00:00"/>
    <d v="2027-05-27T00:00:00"/>
  </r>
  <r>
    <x v="540"/>
    <x v="266"/>
    <s v="Nehring"/>
    <x v="180"/>
    <x v="180"/>
    <s v="138kW Substation - PSEG Construction Engineering"/>
    <n v="180000"/>
    <n v="225810.62"/>
    <d v="2029-06-27T00:00:00"/>
    <d v="1933-01-26T00:00:00"/>
  </r>
  <r>
    <x v="541"/>
    <x v="266"/>
    <s v="Nehring"/>
    <x v="180"/>
    <x v="180"/>
    <s v="138kW Substation - PSEG Conceptual Design &amp; Cost Report"/>
    <n v="50000"/>
    <n v="56020.65"/>
    <d v="2025-11-19T00:00:00"/>
    <d v="2026-08-07T00:00:00"/>
  </r>
  <r>
    <x v="542"/>
    <x v="267"/>
    <s v="Ram"/>
    <x v="181"/>
    <x v="181"/>
    <s v="1007A - System Installations"/>
    <n v="700000"/>
    <n v="839659.1"/>
    <d v="2029-01-05T00:00:00"/>
    <d v="2029-04-30T00:00:00"/>
  </r>
  <r>
    <x v="543"/>
    <x v="267"/>
    <s v="Ram"/>
    <x v="181"/>
    <x v="181"/>
    <s v="1012C - System Installations"/>
    <n v="350000"/>
    <n v="413222.39"/>
    <d v="2028-06-02T00:00:00"/>
    <d v="2028-11-22T00:00:00"/>
  </r>
  <r>
    <x v="544"/>
    <x v="267"/>
    <s v="Ram"/>
    <x v="181"/>
    <x v="181"/>
    <s v="1002H - System Installations"/>
    <n v="350000"/>
    <n v="410390.75"/>
    <d v="2028-02-09T00:00:00"/>
    <d v="2028-06-01T00:00:00"/>
  </r>
  <r>
    <x v="545"/>
    <x v="267"/>
    <s v="Ram"/>
    <x v="181"/>
    <x v="181"/>
    <s v="1007A - Component manufacturing (Equipment and pump)"/>
    <n v="200000"/>
    <n v="224082.6"/>
    <d v="2025-10-21T00:00:00"/>
    <d v="2025-12-04T00:00:00"/>
  </r>
  <r>
    <x v="546"/>
    <x v="267"/>
    <s v="Ram"/>
    <x v="181"/>
    <x v="181"/>
    <s v="1002H - Component manufacturing (Equipment and pump)"/>
    <n v="100000"/>
    <n v="112041.3"/>
    <d v="2025-10-21T00:00:00"/>
    <d v="2025-12-04T00:00:00"/>
  </r>
  <r>
    <x v="547"/>
    <x v="267"/>
    <s v="Ram"/>
    <x v="181"/>
    <x v="181"/>
    <s v="1012C - Component manufacturing (Equipment and pump)"/>
    <n v="100000"/>
    <n v="112041.3"/>
    <d v="2025-10-21T00:00:00"/>
    <d v="2025-12-04T00:00:00"/>
  </r>
  <r>
    <x v="548"/>
    <x v="268"/>
    <s v="Ram"/>
    <x v="182"/>
    <x v="182"/>
    <s v="RHIC Tunnel DI Pipe - Pipe manufacturing [8&quot; Vacuum/ Magnet/ PS]"/>
    <n v="4350661"/>
    <n v="4895027.41"/>
    <d v="2025-10-21T00:00:00"/>
    <d v="2026-12-18T00:00:00"/>
  </r>
  <r>
    <x v="549"/>
    <x v="268"/>
    <s v="Ram"/>
    <x v="182"/>
    <x v="182"/>
    <s v="10 O'clock Bldg - Material Supply and Fabrication (Equipment and Piping)"/>
    <n v="3742165"/>
    <n v="4309552.67"/>
    <d v="2027-04-02T00:00:00"/>
    <d v="2027-11-18T00:00:00"/>
  </r>
  <r>
    <x v="550"/>
    <x v="268"/>
    <s v="Ram"/>
    <x v="182"/>
    <x v="182"/>
    <s v="10 O'clock Bldg - System Installation"/>
    <n v="2286964"/>
    <n v="2681568.2000000002"/>
    <d v="2028-01-28T00:00:00"/>
    <d v="2028-07-18T00:00:00"/>
  </r>
  <r>
    <x v="551"/>
    <x v="268"/>
    <s v="Ram"/>
    <x v="182"/>
    <x v="182"/>
    <s v="2 O'clock Bldg - Material Supply and Fabrication (Equipment and Piping)"/>
    <n v="1469615"/>
    <n v="1646575.75"/>
    <d v="2025-12-19T00:00:00"/>
    <d v="2026-08-07T00:00:00"/>
  </r>
  <r>
    <x v="552"/>
    <x v="268"/>
    <s v="Ram"/>
    <x v="182"/>
    <x v="182"/>
    <s v="6 O'clock Bldg - Material Supply and Fabrication (Equipment and Piping)"/>
    <n v="1278543"/>
    <n v="1457825.01"/>
    <d v="2026-08-10T00:00:00"/>
    <d v="2027-04-01T00:00:00"/>
  </r>
  <r>
    <x v="553"/>
    <x v="268"/>
    <s v="Ram"/>
    <x v="182"/>
    <x v="182"/>
    <s v="4 O'clock Bldg - Material Supply and Fabrication (Equipment and Piping)"/>
    <n v="1176369"/>
    <n v="1379345.59"/>
    <d v="2027-11-19T00:00:00"/>
    <d v="2028-07-11T00:00:00"/>
  </r>
  <r>
    <x v="554"/>
    <x v="268"/>
    <s v="Ram"/>
    <x v="182"/>
    <x v="182"/>
    <s v="RHIC Tunnel DI Pipe - Supply and Installation Arc 3/4"/>
    <n v="1135432"/>
    <n v="1331345.1100000001"/>
    <d v="2027-10-21T00:00:00"/>
    <d v="2028-02-03T00:00:00"/>
  </r>
  <r>
    <x v="555"/>
    <x v="268"/>
    <s v="Ram"/>
    <x v="182"/>
    <x v="182"/>
    <s v="RHIC Tunnel DI Pipe - Supply and Installation Arc 7/8"/>
    <n v="1135432"/>
    <n v="1331345.1100000001"/>
    <d v="2028-02-04T00:00:00"/>
    <d v="2028-05-12T00:00:00"/>
  </r>
  <r>
    <x v="556"/>
    <x v="268"/>
    <s v="Ram"/>
    <x v="182"/>
    <x v="182"/>
    <s v="RHIC Tunnel DI Pipe - Supply and Installation Arc 11/12"/>
    <n v="1135432"/>
    <n v="1331345.1100000001"/>
    <d v="2028-05-15T00:00:00"/>
    <d v="2028-08-22T00:00:00"/>
  </r>
  <r>
    <x v="557"/>
    <x v="268"/>
    <s v="Ram"/>
    <x v="182"/>
    <x v="182"/>
    <s v="RHIC Tunnel DI Pipe - Supply and Installation Arc 1/2"/>
    <n v="1135432"/>
    <n v="1306971.7"/>
    <d v="2027-07-13T00:00:00"/>
    <d v="2027-10-20T00:00:00"/>
  </r>
  <r>
    <x v="558"/>
    <x v="268"/>
    <s v="Ram"/>
    <x v="182"/>
    <x v="182"/>
    <s v="RHIC Tunnel DI Pipe - Supply and Installation Arc 5/6"/>
    <n v="1135432"/>
    <n v="1301412.8600000001"/>
    <d v="2026-12-21T00:00:00"/>
    <d v="2027-04-01T00:00:00"/>
  </r>
  <r>
    <x v="559"/>
    <x v="268"/>
    <s v="Ram"/>
    <x v="182"/>
    <x v="182"/>
    <s v="RHIC Tunnel DI Pipe - Supply and Installation Arc 9/10"/>
    <n v="1135432"/>
    <n v="1301412.8600000001"/>
    <d v="2027-04-02T00:00:00"/>
    <d v="2027-07-12T00:00:00"/>
  </r>
  <r>
    <x v="560"/>
    <x v="268"/>
    <s v="Ram"/>
    <x v="182"/>
    <x v="182"/>
    <s v="2 O'clock Bldg - System Installation (Mobilization/ Safety Orientation/ Traning)"/>
    <n v="925945"/>
    <n v="1061302.42"/>
    <d v="2027-02-11T00:00:00"/>
    <d v="2027-08-02T00:00:00"/>
  </r>
  <r>
    <x v="561"/>
    <x v="268"/>
    <s v="Ram"/>
    <x v="182"/>
    <x v="182"/>
    <s v="6 O'clock Bldg - System Installation - Installations"/>
    <n v="707716"/>
    <n v="848914.54"/>
    <d v="2028-11-03T00:00:00"/>
    <d v="2029-04-02T00:00:00"/>
  </r>
  <r>
    <x v="562"/>
    <x v="268"/>
    <s v="Ram"/>
    <x v="182"/>
    <x v="182"/>
    <s v="4 O'clock Bldg - System Installation - Installations"/>
    <n v="634474"/>
    <n v="757423.83"/>
    <d v="2028-09-07T00:00:00"/>
    <d v="2029-01-04T00:00:00"/>
  </r>
  <r>
    <x v="563"/>
    <x v="268"/>
    <s v="Ram"/>
    <x v="182"/>
    <x v="182"/>
    <s v="12 O'clock Bldg - Material Supply and Fabrication (Equipment and Piping)"/>
    <n v="427991"/>
    <n v="501838.71"/>
    <d v="2027-11-19T00:00:00"/>
    <d v="2028-07-11T00:00:00"/>
  </r>
  <r>
    <x v="564"/>
    <x v="268"/>
    <s v="Ram"/>
    <x v="182"/>
    <x v="182"/>
    <s v="2 O'clock Bldg - Cryo SCW - Material Fabrication"/>
    <n v="436581"/>
    <n v="497800"/>
    <d v="2026-08-10T00:00:00"/>
    <d v="2027-04-01T00:00:00"/>
  </r>
  <r>
    <x v="565"/>
    <x v="268"/>
    <s v="Ram"/>
    <x v="182"/>
    <x v="182"/>
    <s v="6 O'clock Bldg - Cryo SCW - Material Fabrication"/>
    <n v="430160"/>
    <n v="495380.93"/>
    <d v="2027-04-02T00:00:00"/>
    <d v="2027-11-18T00:00:00"/>
  </r>
  <r>
    <x v="566"/>
    <x v="268"/>
    <s v="Ram"/>
    <x v="182"/>
    <x v="182"/>
    <s v="10 O'clock Bldg - Cryo SCW - Material Fabrication"/>
    <n v="417553"/>
    <n v="489599.68"/>
    <d v="2027-11-19T00:00:00"/>
    <d v="2028-06-12T00:00:00"/>
  </r>
  <r>
    <x v="567"/>
    <x v="268"/>
    <s v="Ram"/>
    <x v="182"/>
    <x v="182"/>
    <s v="2 O'clock Bldg - Cryo SCW - Installation"/>
    <n v="387166"/>
    <n v="450397.29"/>
    <d v="2027-08-03T00:00:00"/>
    <d v="2028-01-27T00:00:00"/>
  </r>
  <r>
    <x v="568"/>
    <x v="268"/>
    <s v="Ram"/>
    <x v="182"/>
    <x v="182"/>
    <s v="12 O'clock Bldg - System Installation - Installations"/>
    <n v="257063"/>
    <n v="308350.40999999997"/>
    <d v="2029-02-05T00:00:00"/>
    <d v="2029-04-30T00:00:00"/>
  </r>
  <r>
    <x v="569"/>
    <x v="268"/>
    <s v="Ram"/>
    <x v="182"/>
    <x v="182"/>
    <s v="6 O'clock Bldg - Cryo SCW - Installation"/>
    <n v="218481"/>
    <n v="262070.8"/>
    <d v="2028-11-03T00:00:00"/>
    <d v="2029-02-02T00:00:00"/>
  </r>
  <r>
    <x v="570"/>
    <x v="268"/>
    <s v="Ram"/>
    <x v="182"/>
    <x v="182"/>
    <s v="10 O'clock Bldg - Cryo SCW - Installation"/>
    <n v="200359"/>
    <n v="234929.94"/>
    <d v="2028-06-13T00:00:00"/>
    <d v="2028-09-06T00:00:00"/>
  </r>
  <r>
    <x v="571"/>
    <x v="269"/>
    <s v="Ram"/>
    <x v="183"/>
    <x v="183"/>
    <s v="10 O'clock Bldg - Component manufacturing (Equipment and pump)"/>
    <n v="2270521"/>
    <n v="2543921.25"/>
    <d v="2025-10-21T00:00:00"/>
    <d v="2026-07-10T00:00:00"/>
  </r>
  <r>
    <x v="572"/>
    <x v="269"/>
    <s v="Ram"/>
    <x v="183"/>
    <x v="183"/>
    <s v="2 O'clock Bldg - Component manufacturing (Equipment and pump)"/>
    <n v="1866769"/>
    <n v="2091552.26"/>
    <d v="2025-10-21T00:00:00"/>
    <d v="2026-07-10T00:00:00"/>
  </r>
  <r>
    <x v="573"/>
    <x v="269"/>
    <s v="Ram"/>
    <x v="183"/>
    <x v="183"/>
    <s v="6 O'clock Bldg - Component manufacturing (Equipment and pump)"/>
    <n v="1698857.54"/>
    <n v="1903422.07"/>
    <d v="2025-10-21T00:00:00"/>
    <d v="2026-07-10T00:00:00"/>
  </r>
  <r>
    <x v="574"/>
    <x v="269"/>
    <s v="Ram"/>
    <x v="183"/>
    <x v="183"/>
    <s v="4 O'clock Bldg - Component manufacturing (Equipment and pump)"/>
    <n v="1409512"/>
    <n v="1579235.57"/>
    <d v="2025-10-21T00:00:00"/>
    <d v="2026-07-10T00:00:00"/>
  </r>
  <r>
    <x v="575"/>
    <x v="269"/>
    <s v="Ram"/>
    <x v="183"/>
    <x v="183"/>
    <s v="10 O'clock Bldg System Installations - Contract"/>
    <n v="900000"/>
    <n v="1023302.19"/>
    <d v="2026-07-13T00:00:00"/>
    <d v="2027-03-04T00:00:00"/>
  </r>
  <r>
    <x v="576"/>
    <x v="269"/>
    <s v="Ram"/>
    <x v="183"/>
    <x v="183"/>
    <s v="2 O'clock Bldg - System Installations - Contract"/>
    <n v="900000"/>
    <n v="1023302.19"/>
    <d v="2026-07-13T00:00:00"/>
    <d v="2027-03-04T00:00:00"/>
  </r>
  <r>
    <x v="577"/>
    <x v="269"/>
    <s v="Ram"/>
    <x v="183"/>
    <x v="183"/>
    <s v="4 O'clock Bldg - System Installations"/>
    <n v="900000"/>
    <n v="1023302.19"/>
    <d v="2026-07-13T00:00:00"/>
    <d v="2027-03-04T00:00:00"/>
  </r>
  <r>
    <x v="578"/>
    <x v="269"/>
    <s v="Ram"/>
    <x v="183"/>
    <x v="183"/>
    <s v="6 O'clock Bldg - System Installations"/>
    <n v="900000"/>
    <n v="1023302.19"/>
    <d v="2026-07-13T00:00:00"/>
    <d v="2027-03-04T00:00:00"/>
  </r>
  <r>
    <x v="579"/>
    <x v="269"/>
    <s v="Ram"/>
    <x v="183"/>
    <x v="183"/>
    <s v="12 O'clock Bldg - System Installations"/>
    <n v="900000"/>
    <n v="1023302.19"/>
    <d v="2026-07-13T00:00:00"/>
    <d v="2027-03-04T00:00:00"/>
  </r>
  <r>
    <x v="580"/>
    <x v="269"/>
    <s v="Ram"/>
    <x v="183"/>
    <x v="183"/>
    <s v="12 O'clock Bldg - Component manufacturing (Equipment and pump)"/>
    <n v="225020"/>
    <n v="252115.33"/>
    <d v="2025-10-21T00:00:00"/>
    <d v="2026-07-10T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5863F2-AF47-4882-AE7B-D938199C5A98}" name="PivotTable1" cacheId="1"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gridDropZones="1" multipleFieldFilters="0">
  <location ref="A3:D585" firstHeaderRow="2" firstDataRow="2" firstDataCol="3"/>
  <pivotFields count="10">
    <pivotField axis="axisRow" compact="0" outline="0" showAll="0" defaultSubtotal="0">
      <items count="581">
        <item x="338"/>
        <item x="342"/>
        <item x="353"/>
        <item x="349"/>
        <item x="339"/>
        <item x="340"/>
        <item x="352"/>
        <item x="346"/>
        <item x="344"/>
        <item x="332"/>
        <item x="330"/>
        <item x="335"/>
        <item x="350"/>
        <item x="348"/>
        <item x="345"/>
        <item x="329"/>
        <item x="333"/>
        <item x="336"/>
        <item x="337"/>
        <item x="341"/>
        <item x="254"/>
        <item x="248"/>
        <item x="249"/>
        <item x="255"/>
        <item x="256"/>
        <item x="250"/>
        <item x="253"/>
        <item x="252"/>
        <item x="251"/>
        <item x="356"/>
        <item x="354"/>
        <item x="355"/>
        <item x="357"/>
        <item x="358"/>
        <item x="359"/>
        <item x="360"/>
        <item x="362"/>
        <item x="361"/>
        <item x="363"/>
        <item x="367"/>
        <item x="366"/>
        <item x="364"/>
        <item x="365"/>
        <item x="368"/>
        <item x="372"/>
        <item x="369"/>
        <item x="373"/>
        <item x="370"/>
        <item x="371"/>
        <item x="376"/>
        <item x="375"/>
        <item x="374"/>
        <item x="377"/>
        <item x="379"/>
        <item x="378"/>
        <item x="380"/>
        <item x="381"/>
        <item x="382"/>
        <item x="34"/>
        <item x="32"/>
        <item x="33"/>
        <item x="24"/>
        <item x="22"/>
        <item x="23"/>
        <item x="27"/>
        <item x="25"/>
        <item x="26"/>
        <item x="28"/>
        <item x="29"/>
        <item x="30"/>
        <item x="31"/>
        <item x="38"/>
        <item x="35"/>
        <item x="36"/>
        <item x="37"/>
        <item x="39"/>
        <item x="42"/>
        <item x="40"/>
        <item x="41"/>
        <item x="267"/>
        <item x="268"/>
        <item x="295"/>
        <item x="296"/>
        <item x="312"/>
        <item x="313"/>
        <item x="277"/>
        <item x="302"/>
        <item x="303"/>
        <item x="278"/>
        <item x="304"/>
        <item x="43"/>
        <item x="44"/>
        <item x="45"/>
        <item x="46"/>
        <item x="47"/>
        <item x="48"/>
        <item x="62"/>
        <item x="63"/>
        <item x="64"/>
        <item x="65"/>
        <item x="66"/>
        <item x="67"/>
        <item x="68"/>
        <item x="69"/>
        <item x="70"/>
        <item x="71"/>
        <item x="244"/>
        <item x="245"/>
        <item x="81"/>
        <item x="78"/>
        <item x="82"/>
        <item x="80"/>
        <item x="79"/>
        <item x="83"/>
        <item x="84"/>
        <item x="85"/>
        <item x="86"/>
        <item x="87"/>
        <item x="74"/>
        <item x="75"/>
        <item x="72"/>
        <item x="76"/>
        <item x="73"/>
        <item x="77"/>
        <item x="88"/>
        <item x="121"/>
        <item x="120"/>
        <item x="126"/>
        <item x="122"/>
        <item x="125"/>
        <item x="127"/>
        <item x="123"/>
        <item x="128"/>
        <item x="129"/>
        <item x="124"/>
        <item x="132"/>
        <item x="131"/>
        <item x="130"/>
        <item x="279"/>
        <item x="280"/>
        <item x="316"/>
        <item x="317"/>
        <item x="281"/>
        <item x="282"/>
        <item x="305"/>
        <item x="306"/>
        <item x="283"/>
        <item x="284"/>
        <item x="307"/>
        <item x="308"/>
        <item x="285"/>
        <item x="286"/>
        <item x="318"/>
        <item x="319"/>
        <item x="270"/>
        <item x="297"/>
        <item x="261"/>
        <item x="262"/>
        <item x="133"/>
        <item x="141"/>
        <item x="145"/>
        <item x="142"/>
        <item x="146"/>
        <item x="147"/>
        <item x="138"/>
        <item x="144"/>
        <item x="149"/>
        <item x="139"/>
        <item x="148"/>
        <item x="150"/>
        <item x="136"/>
        <item x="137"/>
        <item x="134"/>
        <item x="143"/>
        <item x="135"/>
        <item x="151"/>
        <item x="140"/>
        <item x="152"/>
        <item x="154"/>
        <item x="153"/>
        <item x="156"/>
        <item x="157"/>
        <item x="160"/>
        <item x="158"/>
        <item x="159"/>
        <item x="155"/>
        <item x="161"/>
        <item x="162"/>
        <item x="164"/>
        <item x="163"/>
        <item x="165"/>
        <item x="247"/>
        <item x="166"/>
        <item x="168"/>
        <item x="167"/>
        <item x="169"/>
        <item x="170"/>
        <item x="171"/>
        <item x="172"/>
        <item x="174"/>
        <item x="173"/>
        <item x="269"/>
        <item x="294"/>
        <item x="293"/>
        <item x="322"/>
        <item x="323"/>
        <item x="271"/>
        <item x="272"/>
        <item x="309"/>
        <item x="310"/>
        <item x="287"/>
        <item x="291"/>
        <item x="292"/>
        <item x="320"/>
        <item x="321"/>
        <item x="276"/>
        <item x="311"/>
        <item x="175"/>
        <item x="176"/>
        <item x="177"/>
        <item x="178"/>
        <item x="351"/>
        <item x="347"/>
        <item x="343"/>
        <item x="328"/>
        <item x="331"/>
        <item x="334"/>
        <item x="181"/>
        <item x="182"/>
        <item x="179"/>
        <item x="183"/>
        <item x="180"/>
        <item x="184"/>
        <item x="185"/>
        <item x="403"/>
        <item x="402"/>
        <item x="401"/>
        <item x="404"/>
        <item x="421"/>
        <item x="420"/>
        <item x="419"/>
        <item x="418"/>
        <item x="417"/>
        <item x="416"/>
        <item x="415"/>
        <item x="422"/>
        <item x="430"/>
        <item x="424"/>
        <item x="423"/>
        <item x="428"/>
        <item x="427"/>
        <item x="426"/>
        <item x="425"/>
        <item x="429"/>
        <item x="408"/>
        <item x="414"/>
        <item x="407"/>
        <item x="406"/>
        <item x="405"/>
        <item x="412"/>
        <item x="411"/>
        <item x="410"/>
        <item x="409"/>
        <item x="413"/>
        <item x="434"/>
        <item x="432"/>
        <item x="433"/>
        <item x="431"/>
        <item x="437"/>
        <item x="435"/>
        <item x="436"/>
        <item x="441"/>
        <item x="440"/>
        <item x="439"/>
        <item x="438"/>
        <item x="445"/>
        <item x="444"/>
        <item x="443"/>
        <item x="442"/>
        <item x="449"/>
        <item x="448"/>
        <item x="447"/>
        <item x="446"/>
        <item x="453"/>
        <item x="451"/>
        <item x="452"/>
        <item x="450"/>
        <item x="457"/>
        <item x="456"/>
        <item x="455"/>
        <item x="454"/>
        <item x="461"/>
        <item x="459"/>
        <item x="460"/>
        <item x="458"/>
        <item x="465"/>
        <item x="463"/>
        <item x="464"/>
        <item x="462"/>
        <item x="467"/>
        <item x="466"/>
        <item x="468"/>
        <item x="472"/>
        <item x="471"/>
        <item x="470"/>
        <item x="469"/>
        <item x="476"/>
        <item x="475"/>
        <item x="474"/>
        <item x="473"/>
        <item x="480"/>
        <item x="479"/>
        <item x="478"/>
        <item x="477"/>
        <item x="484"/>
        <item x="483"/>
        <item x="482"/>
        <item x="481"/>
        <item x="488"/>
        <item x="487"/>
        <item x="486"/>
        <item x="485"/>
        <item x="492"/>
        <item x="491"/>
        <item x="490"/>
        <item x="489"/>
        <item x="496"/>
        <item x="495"/>
        <item x="494"/>
        <item x="493"/>
        <item x="500"/>
        <item x="499"/>
        <item x="498"/>
        <item x="497"/>
        <item x="503"/>
        <item x="504"/>
        <item x="501"/>
        <item x="505"/>
        <item x="502"/>
        <item x="506"/>
        <item x="508"/>
        <item x="510"/>
        <item x="512"/>
        <item x="507"/>
        <item x="511"/>
        <item x="509"/>
        <item x="516"/>
        <item x="514"/>
        <item x="517"/>
        <item x="513"/>
        <item x="515"/>
        <item x="518"/>
        <item x="521"/>
        <item x="519"/>
        <item x="520"/>
        <item x="528"/>
        <item x="529"/>
        <item x="523"/>
        <item x="522"/>
        <item x="524"/>
        <item x="527"/>
        <item x="526"/>
        <item x="525"/>
        <item x="530"/>
        <item x="531"/>
        <item x="532"/>
        <item x="535"/>
        <item x="534"/>
        <item x="533"/>
        <item x="537"/>
        <item x="541"/>
        <item x="539"/>
        <item x="538"/>
        <item x="536"/>
        <item x="540"/>
        <item x="546"/>
        <item x="544"/>
        <item x="545"/>
        <item x="542"/>
        <item x="547"/>
        <item x="543"/>
        <item x="551"/>
        <item x="560"/>
        <item x="564"/>
        <item x="567"/>
        <item x="549"/>
        <item x="550"/>
        <item x="566"/>
        <item x="570"/>
        <item x="553"/>
        <item x="562"/>
        <item x="552"/>
        <item x="561"/>
        <item x="565"/>
        <item x="569"/>
        <item x="563"/>
        <item x="568"/>
        <item x="571"/>
        <item x="575"/>
        <item x="572"/>
        <item x="576"/>
        <item x="574"/>
        <item x="577"/>
        <item x="573"/>
        <item x="578"/>
        <item x="580"/>
        <item x="579"/>
        <item x="390"/>
        <item x="391"/>
        <item x="398"/>
        <item x="394"/>
        <item x="393"/>
        <item x="392"/>
        <item x="399"/>
        <item x="397"/>
        <item x="396"/>
        <item x="395"/>
        <item x="400"/>
        <item x="548"/>
        <item x="558"/>
        <item x="559"/>
        <item x="557"/>
        <item x="554"/>
        <item x="555"/>
        <item x="556"/>
        <item x="228"/>
        <item x="229"/>
        <item x="233"/>
        <item x="231"/>
        <item x="234"/>
        <item x="232"/>
        <item x="230"/>
        <item x="235"/>
        <item x="236"/>
        <item x="246"/>
        <item x="264"/>
        <item x="273"/>
        <item x="298"/>
        <item x="299"/>
        <item x="324"/>
        <item x="325"/>
        <item x="274"/>
        <item x="275"/>
        <item x="300"/>
        <item x="301"/>
        <item x="326"/>
        <item x="327"/>
        <item x="237"/>
        <item x="239"/>
        <item x="238"/>
        <item x="241"/>
        <item x="240"/>
        <item x="243"/>
        <item x="242"/>
        <item x="197"/>
        <item x="193"/>
        <item x="204"/>
        <item x="199"/>
        <item x="196"/>
        <item x="207"/>
        <item x="203"/>
        <item x="200"/>
        <item x="210"/>
        <item x="187"/>
        <item x="186"/>
        <item x="188"/>
        <item x="211"/>
        <item x="208"/>
        <item x="216"/>
        <item x="198"/>
        <item x="194"/>
        <item x="206"/>
        <item x="195"/>
        <item x="192"/>
        <item x="202"/>
        <item x="213"/>
        <item x="209"/>
        <item x="217"/>
        <item x="214"/>
        <item x="215"/>
        <item x="218"/>
        <item x="201"/>
        <item x="205"/>
        <item x="212"/>
        <item x="189"/>
        <item x="190"/>
        <item x="191"/>
        <item x="219"/>
        <item x="220"/>
        <item x="221"/>
        <item x="222"/>
        <item x="223"/>
        <item x="224"/>
        <item x="225"/>
        <item x="226"/>
        <item x="227"/>
        <item x="385"/>
        <item x="384"/>
        <item x="383"/>
        <item x="388"/>
        <item x="387"/>
        <item x="386"/>
        <item x="389"/>
        <item x="53"/>
        <item x="56"/>
        <item x="54"/>
        <item x="49"/>
        <item x="57"/>
        <item x="51"/>
        <item x="59"/>
        <item x="52"/>
        <item x="58"/>
        <item x="55"/>
        <item x="60"/>
        <item x="50"/>
        <item x="61"/>
        <item x="0"/>
        <item x="1"/>
        <item x="2"/>
        <item x="260"/>
        <item x="263"/>
        <item x="258"/>
        <item x="257"/>
        <item x="259"/>
        <item x="4"/>
        <item x="5"/>
        <item x="3"/>
        <item x="6"/>
        <item x="16"/>
        <item x="15"/>
        <item x="14"/>
        <item x="12"/>
        <item x="10"/>
        <item x="9"/>
        <item x="8"/>
        <item x="11"/>
        <item x="13"/>
        <item x="17"/>
        <item x="18"/>
        <item x="19"/>
        <item x="7"/>
        <item x="20"/>
        <item x="21"/>
        <item x="90"/>
        <item x="89"/>
        <item x="94"/>
        <item x="95"/>
        <item x="91"/>
        <item x="92"/>
        <item x="96"/>
        <item x="93"/>
        <item x="99"/>
        <item x="100"/>
        <item x="101"/>
        <item x="97"/>
        <item x="105"/>
        <item x="103"/>
        <item x="106"/>
        <item x="102"/>
        <item x="104"/>
        <item x="98"/>
        <item x="107"/>
        <item x="108"/>
        <item x="109"/>
        <item x="110"/>
        <item x="111"/>
        <item x="112"/>
        <item x="113"/>
        <item x="114"/>
        <item x="265"/>
        <item x="266"/>
        <item x="288"/>
        <item x="289"/>
        <item x="290"/>
        <item x="314"/>
        <item x="315"/>
        <item x="117"/>
        <item x="115"/>
        <item x="116"/>
        <item x="118"/>
        <item x="119"/>
      </items>
    </pivotField>
    <pivotField axis="axisRow" compact="0" outline="0" showAll="0" sortType="ascending" defaultSubtotal="0">
      <items count="270">
        <item x="215"/>
        <item x="134"/>
        <item x="239"/>
        <item x="7"/>
        <item x="33"/>
        <item x="241"/>
        <item x="225"/>
        <item x="159"/>
        <item x="160"/>
        <item x="224"/>
        <item x="72"/>
        <item x="245"/>
        <item x="133"/>
        <item x="123"/>
        <item x="255"/>
        <item x="124"/>
        <item x="125"/>
        <item x="126"/>
        <item x="127"/>
        <item x="256"/>
        <item x="8"/>
        <item x="41"/>
        <item x="42"/>
        <item x="192"/>
        <item x="193"/>
        <item x="139"/>
        <item x="83"/>
        <item x="90"/>
        <item x="18"/>
        <item x="19"/>
        <item x="230"/>
        <item x="111"/>
        <item x="31"/>
        <item x="190"/>
        <item x="191"/>
        <item x="95"/>
        <item x="97"/>
        <item x="263"/>
        <item x="149"/>
        <item x="136"/>
        <item x="163"/>
        <item x="164"/>
        <item x="260"/>
        <item x="15"/>
        <item x="185"/>
        <item x="251"/>
        <item x="16"/>
        <item x="74"/>
        <item x="75"/>
        <item x="226"/>
        <item x="236"/>
        <item x="27"/>
        <item x="28"/>
        <item x="29"/>
        <item x="161"/>
        <item x="122"/>
        <item x="269"/>
        <item x="237"/>
        <item x="240"/>
        <item x="64"/>
        <item x="65"/>
        <item x="166"/>
        <item x="167"/>
        <item x="234"/>
        <item x="156"/>
        <item x="165"/>
        <item x="254"/>
        <item x="24"/>
        <item x="70"/>
        <item x="71"/>
        <item x="258"/>
        <item x="266"/>
        <item x="30"/>
        <item x="221"/>
        <item x="220"/>
        <item x="80"/>
        <item x="77"/>
        <item x="43"/>
        <item x="25"/>
        <item x="244"/>
        <item x="73"/>
        <item x="22"/>
        <item x="231"/>
        <item x="235"/>
        <item x="183"/>
        <item x="184"/>
        <item x="44"/>
        <item x="249"/>
        <item x="252"/>
        <item x="250"/>
        <item x="253"/>
        <item x="131"/>
        <item x="157"/>
        <item x="158"/>
        <item x="78"/>
        <item x="218"/>
        <item x="268"/>
        <item x="180"/>
        <item x="181"/>
        <item x="182"/>
        <item x="35"/>
        <item x="26"/>
        <item x="17"/>
        <item x="59"/>
        <item x="39"/>
        <item x="110"/>
        <item x="128"/>
        <item x="96"/>
        <item x="112"/>
        <item x="21"/>
        <item x="132"/>
        <item x="93"/>
        <item x="137"/>
        <item x="216"/>
        <item x="217"/>
        <item x="267"/>
        <item x="89"/>
        <item x="121"/>
        <item x="145"/>
        <item x="51"/>
        <item x="52"/>
        <item x="53"/>
        <item x="23"/>
        <item x="40"/>
        <item x="98"/>
        <item x="91"/>
        <item x="54"/>
        <item x="261"/>
        <item x="60"/>
        <item x="55"/>
        <item x="56"/>
        <item x="257"/>
        <item x="259"/>
        <item x="265"/>
        <item x="45"/>
        <item x="68"/>
        <item x="107"/>
        <item x="38"/>
        <item x="61"/>
        <item x="57"/>
        <item x="76"/>
        <item x="99"/>
        <item x="108"/>
        <item x="143"/>
        <item x="103"/>
        <item x="232"/>
        <item x="141"/>
        <item x="227"/>
        <item x="46"/>
        <item x="219"/>
        <item x="100"/>
        <item x="204"/>
        <item x="205"/>
        <item x="243"/>
        <item x="49"/>
        <item x="233"/>
        <item x="171"/>
        <item x="172"/>
        <item x="146"/>
        <item x="34"/>
        <item x="212"/>
        <item x="213"/>
        <item x="147"/>
        <item x="208"/>
        <item x="209"/>
        <item x="150"/>
        <item x="151"/>
        <item x="3"/>
        <item x="0"/>
        <item x="82"/>
        <item x="222"/>
        <item x="223"/>
        <item x="32"/>
        <item x="1"/>
        <item x="58"/>
        <item x="262"/>
        <item x="246"/>
        <item x="247"/>
        <item x="248"/>
        <item x="20"/>
        <item x="138"/>
        <item x="140"/>
        <item x="62"/>
        <item x="47"/>
        <item x="129"/>
        <item x="101"/>
        <item x="144"/>
        <item x="48"/>
        <item x="63"/>
        <item x="169"/>
        <item x="170"/>
        <item x="152"/>
        <item x="194"/>
        <item x="195"/>
        <item x="196"/>
        <item x="179"/>
        <item x="168"/>
        <item x="203"/>
        <item x="66"/>
        <item x="155"/>
        <item x="81"/>
        <item x="148"/>
        <item x="153"/>
        <item x="79"/>
        <item x="69"/>
        <item x="242"/>
        <item x="92"/>
        <item x="94"/>
        <item x="113"/>
        <item x="114"/>
        <item x="115"/>
        <item x="116"/>
        <item x="189"/>
        <item x="238"/>
        <item x="102"/>
        <item x="109"/>
        <item x="104"/>
        <item x="50"/>
        <item x="67"/>
        <item x="142"/>
        <item x="117"/>
        <item x="105"/>
        <item x="118"/>
        <item x="88"/>
        <item x="84"/>
        <item x="85"/>
        <item x="135"/>
        <item x="36"/>
        <item x="87"/>
        <item x="37"/>
        <item x="120"/>
        <item x="86"/>
        <item x="119"/>
        <item x="106"/>
        <item x="228"/>
        <item x="229"/>
        <item x="187"/>
        <item x="188"/>
        <item x="264"/>
        <item x="206"/>
        <item x="207"/>
        <item x="199"/>
        <item x="200"/>
        <item x="201"/>
        <item x="202"/>
        <item x="210"/>
        <item x="211"/>
        <item x="173"/>
        <item x="174"/>
        <item x="175"/>
        <item x="176"/>
        <item x="177"/>
        <item x="178"/>
        <item x="197"/>
        <item x="198"/>
        <item x="186"/>
        <item x="214"/>
        <item x="162"/>
        <item x="4"/>
        <item x="5"/>
        <item x="2"/>
        <item x="6"/>
        <item x="9"/>
        <item x="10"/>
        <item x="11"/>
        <item x="12"/>
        <item x="13"/>
        <item x="14"/>
        <item x="154"/>
        <item x="130"/>
      </items>
    </pivotField>
    <pivotField compact="0" outline="0" showAll="0" defaultSubtotal="0"/>
    <pivotField compact="0" outline="0" showAll="0" defaultSubtotal="0">
      <items count="1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s>
    </pivotField>
    <pivotField axis="axisRow" compact="0" outline="0" showAll="0" defaultSubtotal="0">
      <items count="184">
        <item x="164"/>
        <item x="160"/>
        <item x="159"/>
        <item x="156"/>
        <item x="165"/>
        <item x="166"/>
        <item x="157"/>
        <item x="167"/>
        <item x="168"/>
        <item x="162"/>
        <item x="161"/>
        <item x="158"/>
        <item x="171"/>
        <item x="180"/>
        <item x="100"/>
        <item x="109"/>
        <item x="108"/>
        <item x="107"/>
        <item x="85"/>
        <item x="102"/>
        <item x="101"/>
        <item x="99"/>
        <item x="29"/>
        <item x="26"/>
        <item x="28"/>
        <item x="27"/>
        <item x="30"/>
        <item x="104"/>
        <item x="103"/>
        <item x="106"/>
        <item x="105"/>
        <item x="173"/>
        <item x="169"/>
        <item x="170"/>
        <item x="179"/>
        <item x="77"/>
        <item x="181"/>
        <item x="95"/>
        <item x="96"/>
        <item x="97"/>
        <item x="91"/>
        <item x="93"/>
        <item x="69"/>
        <item x="79"/>
        <item x="163"/>
        <item x="44"/>
        <item x="81"/>
        <item x="80"/>
        <item x="84"/>
        <item x="82"/>
        <item x="83"/>
        <item x="3"/>
        <item x="127"/>
        <item x="154"/>
        <item x="138"/>
        <item x="94"/>
        <item x="89"/>
        <item x="92"/>
        <item x="90"/>
        <item x="98"/>
        <item x="146"/>
        <item x="147"/>
        <item x="2"/>
        <item x="144"/>
        <item x="139"/>
        <item x="68"/>
        <item x="142"/>
        <item x="38"/>
        <item x="1"/>
        <item x="145"/>
        <item x="126"/>
        <item x="86"/>
        <item x="45"/>
        <item x="32"/>
        <item x="34"/>
        <item x="25"/>
        <item x="24"/>
        <item x="78"/>
        <item x="37"/>
        <item x="35"/>
        <item x="36"/>
        <item x="33"/>
        <item x="47"/>
        <item x="46"/>
        <item x="39"/>
        <item x="42"/>
        <item x="41"/>
        <item x="43"/>
        <item x="40"/>
        <item x="124"/>
        <item x="151"/>
        <item x="57"/>
        <item x="55"/>
        <item x="56"/>
        <item x="48"/>
        <item x="49"/>
        <item x="143"/>
        <item x="87"/>
        <item x="88"/>
        <item x="50"/>
        <item x="51"/>
        <item x="53"/>
        <item x="52"/>
        <item x="54"/>
        <item x="125"/>
        <item x="153"/>
        <item x="152"/>
        <item x="130"/>
        <item x="131"/>
        <item x="132"/>
        <item x="75"/>
        <item x="148"/>
        <item x="71"/>
        <item x="0"/>
        <item x="73"/>
        <item x="72"/>
        <item x="74"/>
        <item x="70"/>
        <item x="150"/>
        <item x="149"/>
        <item x="182"/>
        <item x="174"/>
        <item x="76"/>
        <item x="177"/>
        <item x="155"/>
        <item x="175"/>
        <item x="141"/>
        <item x="31"/>
        <item x="129"/>
        <item x="133"/>
        <item x="135"/>
        <item x="136"/>
        <item x="137"/>
        <item x="128"/>
        <item x="15"/>
        <item x="6"/>
        <item x="9"/>
        <item x="22"/>
        <item x="23"/>
        <item x="7"/>
        <item x="21"/>
        <item x="8"/>
        <item x="10"/>
        <item x="4"/>
        <item x="5"/>
        <item x="16"/>
        <item x="11"/>
        <item x="14"/>
        <item x="13"/>
        <item x="12"/>
        <item x="123"/>
        <item x="134"/>
        <item x="62"/>
        <item x="60"/>
        <item x="61"/>
        <item x="63"/>
        <item x="67"/>
        <item x="59"/>
        <item x="58"/>
        <item x="66"/>
        <item x="64"/>
        <item x="65"/>
        <item x="110"/>
        <item x="115"/>
        <item x="116"/>
        <item x="122"/>
        <item x="111"/>
        <item x="112"/>
        <item x="121"/>
        <item x="119"/>
        <item x="120"/>
        <item x="114"/>
        <item x="117"/>
        <item x="118"/>
        <item x="113"/>
        <item x="178"/>
        <item x="20"/>
        <item x="183"/>
        <item x="140"/>
        <item x="17"/>
        <item x="18"/>
        <item x="19"/>
        <item x="172"/>
        <item x="176"/>
      </items>
    </pivotField>
    <pivotField compact="0" outline="0" showAll="0" defaultSubtotal="0"/>
    <pivotField compact="0" numFmtId="169" outline="0" showAll="0" defaultSubtotal="0"/>
    <pivotField dataField="1" compact="0" numFmtId="169" outline="0" showAll="0" defaultSubtotal="0"/>
    <pivotField compact="0" outline="0" showAll="0" defaultSubtotal="0"/>
    <pivotField compact="0" numFmtId="15" outline="0" showAll="0" defaultSubtotal="0"/>
  </pivotFields>
  <rowFields count="3">
    <field x="1"/>
    <field x="4"/>
    <field x="0"/>
  </rowFields>
  <rowItems count="581">
    <i>
      <x/>
      <x v="52"/>
      <x v="439"/>
    </i>
    <i>
      <x v="1"/>
      <x v="52"/>
      <x v="440"/>
    </i>
    <i r="1">
      <x v="116"/>
      <x v="433"/>
    </i>
    <i>
      <x v="2"/>
      <x v="60"/>
      <x v="55"/>
    </i>
    <i>
      <x v="3"/>
      <x v="51"/>
      <x v="540"/>
    </i>
    <i r="1">
      <x v="117"/>
      <x v="492"/>
    </i>
    <i>
      <x v="4"/>
      <x v="148"/>
      <x v="78"/>
    </i>
    <i>
      <x v="5"/>
      <x v="111"/>
      <x v="57"/>
    </i>
    <i>
      <x v="6"/>
      <x v="178"/>
      <x v="33"/>
    </i>
    <i>
      <x v="7"/>
      <x v="57"/>
      <x v="79"/>
    </i>
    <i>
      <x v="8"/>
      <x v="41"/>
      <x v="80"/>
    </i>
    <i>
      <x v="9"/>
      <x v="64"/>
      <x v="29"/>
    </i>
    <i r="2">
      <x v="30"/>
    </i>
    <i r="2">
      <x v="31"/>
    </i>
    <i>
      <x v="10"/>
      <x v="81"/>
      <x v="547"/>
    </i>
    <i r="2">
      <x v="548"/>
    </i>
    <i>
      <x v="11"/>
      <x v="105"/>
      <x v="234"/>
    </i>
    <i r="2">
      <x v="235"/>
    </i>
    <i r="2">
      <x v="236"/>
    </i>
    <i r="2">
      <x v="237"/>
    </i>
    <i>
      <x v="12"/>
      <x v="114"/>
      <x v="428"/>
    </i>
    <i r="2">
      <x v="431"/>
    </i>
    <i>
      <x v="13"/>
      <x v="42"/>
      <x v="487"/>
    </i>
    <i>
      <x v="14"/>
      <x v="121"/>
      <x v="347"/>
    </i>
    <i r="2">
      <x v="349"/>
    </i>
    <i r="2">
      <x v="350"/>
    </i>
    <i>
      <x v="15"/>
      <x v="42"/>
      <x v="488"/>
    </i>
    <i>
      <x v="16"/>
      <x v="42"/>
      <x v="489"/>
    </i>
    <i>
      <x v="17"/>
      <x v="42"/>
      <x v="490"/>
    </i>
    <i>
      <x v="18"/>
      <x v="42"/>
      <x v="491"/>
    </i>
    <i>
      <x v="19"/>
      <x v="121"/>
      <x v="346"/>
    </i>
    <i>
      <x v="20"/>
      <x v="51"/>
      <x v="531"/>
    </i>
    <i r="2">
      <x v="532"/>
    </i>
    <i r="2">
      <x v="533"/>
    </i>
    <i r="2">
      <x v="534"/>
    </i>
    <i r="2">
      <x v="535"/>
    </i>
    <i r="2">
      <x v="536"/>
    </i>
    <i>
      <x v="21"/>
      <x v="23"/>
      <x v="120"/>
    </i>
    <i r="1">
      <x v="67"/>
      <x v="554"/>
    </i>
    <i r="1">
      <x v="94"/>
      <x v="126"/>
    </i>
    <i r="1">
      <x v="100"/>
      <x v="172"/>
    </i>
    <i r="1">
      <x v="159"/>
      <x v="229"/>
    </i>
    <i r="1">
      <x v="180"/>
      <x v="506"/>
    </i>
    <i r="2">
      <x v="514"/>
    </i>
    <i>
      <x v="22"/>
      <x v="23"/>
      <x v="122"/>
    </i>
    <i r="1">
      <x v="67"/>
      <x v="560"/>
    </i>
    <i r="1">
      <x v="100"/>
      <x v="170"/>
    </i>
    <i r="2">
      <x v="174"/>
    </i>
    <i r="1">
      <x v="159"/>
      <x v="231"/>
    </i>
    <i r="1">
      <x v="180"/>
      <x v="508"/>
    </i>
    <i>
      <x v="23"/>
      <x v="164"/>
      <x v="443"/>
    </i>
    <i>
      <x v="24"/>
      <x v="164"/>
      <x v="444"/>
    </i>
    <i>
      <x v="25"/>
      <x v="77"/>
      <x v="106"/>
    </i>
    <i>
      <x v="26"/>
      <x v="45"/>
      <x v="568"/>
    </i>
    <i>
      <x v="27"/>
      <x v="95"/>
      <x v="137"/>
    </i>
    <i>
      <x v="28"/>
      <x v="144"/>
      <x v="65"/>
    </i>
    <i>
      <x v="29"/>
      <x v="144"/>
      <x v="66"/>
    </i>
    <i>
      <x v="30"/>
      <x v="126"/>
      <x v="41"/>
    </i>
    <i r="2">
      <x v="42"/>
    </i>
    <i>
      <x v="31"/>
      <x v="153"/>
      <x v="195"/>
    </i>
    <i>
      <x v="32"/>
      <x v="146"/>
      <x v="75"/>
    </i>
    <i>
      <x v="33"/>
      <x v="163"/>
      <x v="437"/>
    </i>
    <i>
      <x v="34"/>
      <x v="163"/>
      <x v="438"/>
    </i>
    <i>
      <x v="35"/>
      <x v="101"/>
      <x v="179"/>
    </i>
    <i>
      <x v="36"/>
      <x v="103"/>
      <x v="185"/>
    </i>
    <i>
      <x v="37"/>
      <x v="175"/>
      <x v="363"/>
    </i>
    <i r="2">
      <x v="364"/>
    </i>
    <i>
      <x v="38"/>
      <x v="48"/>
      <x v="20"/>
    </i>
    <i>
      <x v="39"/>
      <x v="122"/>
      <x v="448"/>
    </i>
    <i r="2">
      <x v="449"/>
    </i>
    <i r="2">
      <x v="450"/>
    </i>
    <i r="2">
      <x v="451"/>
    </i>
    <i>
      <x v="40"/>
      <x v="55"/>
      <x v="206"/>
    </i>
    <i>
      <x v="41"/>
      <x v="37"/>
      <x v="207"/>
    </i>
    <i>
      <x v="42"/>
      <x v="123"/>
      <x v="357"/>
    </i>
    <i r="2">
      <x v="358"/>
    </i>
    <i r="2">
      <x v="359"/>
    </i>
    <i r="2">
      <x v="360"/>
    </i>
    <i r="2">
      <x v="361"/>
    </i>
    <i r="2">
      <x v="362"/>
    </i>
    <i>
      <x v="43"/>
      <x v="143"/>
      <x v="62"/>
    </i>
    <i>
      <x v="44"/>
      <x v="167"/>
      <x v="203"/>
    </i>
    <i>
      <x v="45"/>
      <x v="124"/>
      <x v="268"/>
    </i>
    <i r="2">
      <x v="269"/>
    </i>
    <i r="2">
      <x v="270"/>
    </i>
    <i>
      <x v="46"/>
      <x v="143"/>
      <x v="63"/>
    </i>
    <i>
      <x v="47"/>
      <x v="79"/>
      <x v="545"/>
    </i>
    <i>
      <x v="48"/>
      <x v="80"/>
      <x v="546"/>
    </i>
    <i>
      <x v="49"/>
      <x v="178"/>
      <x v="34"/>
    </i>
    <i r="2">
      <x v="35"/>
    </i>
    <i>
      <x v="50"/>
      <x v="63"/>
      <x v="52"/>
    </i>
    <i>
      <x v="51"/>
      <x v="142"/>
      <x v="72"/>
    </i>
    <i>
      <x v="52"/>
      <x v="142"/>
      <x v="73"/>
    </i>
    <i>
      <x v="53"/>
      <x v="142"/>
      <x v="74"/>
    </i>
    <i>
      <x v="54"/>
      <x v="41"/>
      <x v="201"/>
    </i>
    <i>
      <x v="55"/>
      <x v="65"/>
      <x v="454"/>
    </i>
    <i r="2">
      <x v="455"/>
    </i>
    <i r="2">
      <x v="456"/>
    </i>
    <i r="2">
      <x v="457"/>
    </i>
    <i r="2">
      <x v="458"/>
    </i>
    <i r="2">
      <x v="459"/>
    </i>
    <i r="2">
      <x v="460"/>
    </i>
    <i r="2">
      <x v="461"/>
    </i>
    <i r="2">
      <x v="462"/>
    </i>
    <i r="2">
      <x v="463"/>
    </i>
    <i r="2">
      <x v="464"/>
    </i>
    <i r="2">
      <x v="465"/>
    </i>
    <i r="2">
      <x v="466"/>
    </i>
    <i r="2">
      <x v="467"/>
    </i>
    <i r="2">
      <x v="468"/>
    </i>
    <i r="2">
      <x v="469"/>
    </i>
    <i r="2">
      <x v="470"/>
    </i>
    <i r="2">
      <x v="471"/>
    </i>
    <i r="2">
      <x v="472"/>
    </i>
    <i r="2">
      <x v="473"/>
    </i>
    <i r="2">
      <x v="474"/>
    </i>
    <i r="2">
      <x v="475"/>
    </i>
    <i r="2">
      <x v="476"/>
    </i>
    <i r="2">
      <x v="477"/>
    </i>
    <i r="2">
      <x v="478"/>
    </i>
    <i r="2">
      <x v="479"/>
    </i>
    <i r="2">
      <x v="480"/>
    </i>
    <i r="2">
      <x v="481"/>
    </i>
    <i r="2">
      <x v="482"/>
    </i>
    <i r="2">
      <x v="483"/>
    </i>
    <i r="2">
      <x v="484"/>
    </i>
    <i r="2">
      <x v="485"/>
    </i>
    <i r="2">
      <x v="486"/>
    </i>
    <i>
      <x v="56"/>
      <x v="177"/>
      <x v="397"/>
    </i>
    <i r="2">
      <x v="398"/>
    </i>
    <i r="2">
      <x v="399"/>
    </i>
    <i r="2">
      <x v="400"/>
    </i>
    <i r="2">
      <x v="401"/>
    </i>
    <i r="2">
      <x v="402"/>
    </i>
    <i r="2">
      <x v="403"/>
    </i>
    <i r="2">
      <x v="404"/>
    </i>
    <i r="2">
      <x v="405"/>
    </i>
    <i r="2">
      <x v="406"/>
    </i>
    <i>
      <x v="57"/>
      <x v="69"/>
      <x v="54"/>
    </i>
    <i>
      <x v="58"/>
      <x v="61"/>
      <x v="56"/>
    </i>
    <i>
      <x v="59"/>
      <x v="24"/>
      <x v="113"/>
    </i>
    <i>
      <x v="60"/>
      <x v="24"/>
      <x v="114"/>
    </i>
    <i>
      <x v="61"/>
      <x v="39"/>
      <x v="441"/>
    </i>
    <i>
      <x v="62"/>
      <x v="39"/>
      <x v="442"/>
    </i>
    <i>
      <x v="63"/>
      <x v="66"/>
      <x v="44"/>
    </i>
    <i r="2">
      <x v="45"/>
    </i>
    <i r="2">
      <x v="47"/>
    </i>
    <i r="2">
      <x v="48"/>
    </i>
    <i>
      <x v="64"/>
      <x v="56"/>
      <x v="435"/>
    </i>
    <i>
      <x v="65"/>
      <x v="38"/>
      <x v="436"/>
    </i>
    <i>
      <x v="66"/>
      <x v="182"/>
      <x v="334"/>
    </i>
    <i r="2">
      <x v="335"/>
    </i>
    <i r="2">
      <x v="336"/>
    </i>
    <i r="2">
      <x v="337"/>
    </i>
    <i r="2">
      <x v="338"/>
    </i>
    <i>
      <x v="67"/>
      <x v="136"/>
      <x v="59"/>
    </i>
    <i>
      <x v="68"/>
      <x v="73"/>
      <x v="544"/>
    </i>
    <i>
      <x v="69"/>
      <x v="73"/>
      <x v="543"/>
    </i>
    <i>
      <x v="70"/>
      <x v="125"/>
      <x v="351"/>
    </i>
    <i r="1">
      <x v="183"/>
      <x v="353"/>
    </i>
    <i r="2">
      <x v="354"/>
    </i>
    <i>
      <x v="71"/>
      <x v="13"/>
      <x v="369"/>
    </i>
    <i r="2">
      <x v="370"/>
    </i>
    <i r="2">
      <x v="371"/>
    </i>
    <i r="2">
      <x v="372"/>
    </i>
    <i r="2">
      <x v="373"/>
    </i>
    <i r="2">
      <x v="374"/>
    </i>
    <i>
      <x v="72"/>
      <x v="142"/>
      <x v="71"/>
    </i>
    <i>
      <x v="73"/>
      <x v="129"/>
      <x/>
    </i>
    <i r="2">
      <x v="18"/>
    </i>
    <i r="1">
      <x v="130"/>
      <x v="223"/>
    </i>
    <i r="1">
      <x v="131"/>
      <x v="8"/>
    </i>
    <i r="1">
      <x v="132"/>
      <x v="14"/>
    </i>
    <i r="1">
      <x v="151"/>
      <x v="4"/>
    </i>
    <i>
      <x v="74"/>
      <x v="107"/>
      <x v="226"/>
    </i>
    <i r="1">
      <x v="108"/>
      <x v="11"/>
    </i>
    <i r="1">
      <x v="109"/>
      <x v="17"/>
    </i>
    <i r="1">
      <x v="151"/>
      <x v="1"/>
    </i>
    <i r="2">
      <x v="5"/>
    </i>
    <i r="2">
      <x v="19"/>
    </i>
    <i>
      <x v="75"/>
      <x v="86"/>
      <x v="565"/>
    </i>
    <i>
      <x v="76"/>
      <x v="67"/>
      <x v="551"/>
    </i>
    <i r="2">
      <x v="552"/>
    </i>
    <i r="2">
      <x v="553"/>
    </i>
    <i r="1">
      <x v="114"/>
      <x v="430"/>
    </i>
    <i>
      <x v="77"/>
      <x v="23"/>
      <x v="118"/>
    </i>
    <i r="1">
      <x v="67"/>
      <x v="558"/>
    </i>
    <i r="1">
      <x v="100"/>
      <x v="164"/>
    </i>
    <i r="2">
      <x v="171"/>
    </i>
    <i r="1">
      <x v="114"/>
      <x v="427"/>
    </i>
    <i r="1">
      <x v="159"/>
      <x v="227"/>
    </i>
    <i r="1">
      <x v="180"/>
      <x v="503"/>
    </i>
    <i r="2">
      <x v="510"/>
    </i>
    <i>
      <x v="78"/>
      <x v="136"/>
      <x v="60"/>
    </i>
    <i>
      <x v="79"/>
      <x v="106"/>
      <x v="407"/>
    </i>
    <i r="2">
      <x v="408"/>
    </i>
    <i r="2">
      <x v="409"/>
    </i>
    <i r="2">
      <x v="410"/>
    </i>
    <i r="2">
      <x v="411"/>
    </i>
    <i r="2">
      <x v="412"/>
    </i>
    <i r="2">
      <x v="413"/>
    </i>
    <i r="2">
      <x v="414"/>
    </i>
    <i r="2">
      <x v="415"/>
    </i>
    <i r="2">
      <x v="416"/>
    </i>
    <i r="2">
      <x v="417"/>
    </i>
    <i>
      <x v="80"/>
      <x v="74"/>
      <x v="550"/>
    </i>
    <i>
      <x v="81"/>
      <x v="139"/>
      <x v="68"/>
    </i>
    <i r="2">
      <x v="69"/>
    </i>
    <i>
      <x v="82"/>
      <x v="126"/>
      <x v="40"/>
    </i>
    <i>
      <x v="83"/>
      <x v="96"/>
      <x v="49"/>
    </i>
    <i r="2">
      <x v="50"/>
    </i>
    <i r="2">
      <x v="51"/>
    </i>
    <i>
      <x v="84"/>
      <x v="166"/>
      <x v="211"/>
    </i>
    <i>
      <x v="85"/>
      <x v="166"/>
      <x v="212"/>
    </i>
    <i>
      <x v="86"/>
      <x v="67"/>
      <x v="556"/>
    </i>
    <i r="1">
      <x v="94"/>
      <x v="125"/>
    </i>
    <i r="2">
      <x v="128"/>
    </i>
    <i r="2">
      <x v="131"/>
    </i>
    <i r="1">
      <x v="100"/>
      <x v="159"/>
    </i>
    <i r="2">
      <x v="161"/>
    </i>
    <i r="2">
      <x v="167"/>
    </i>
    <i r="2">
      <x v="176"/>
    </i>
    <i r="1">
      <x v="180"/>
      <x v="505"/>
    </i>
    <i>
      <x v="87"/>
      <x v="1"/>
      <x v="290"/>
    </i>
    <i r="1">
      <x v="2"/>
      <x v="286"/>
    </i>
    <i r="1">
      <x v="3"/>
      <x v="274"/>
    </i>
    <i r="1">
      <x v="6"/>
      <x v="278"/>
    </i>
    <i r="1">
      <x v="9"/>
      <x v="298"/>
    </i>
    <i r="1">
      <x v="10"/>
      <x v="294"/>
    </i>
    <i r="1">
      <x v="11"/>
      <x v="282"/>
    </i>
    <i r="1">
      <x v="31"/>
      <x v="339"/>
    </i>
    <i r="1">
      <x v="53"/>
      <x v="267"/>
    </i>
    <i>
      <x v="88"/>
      <x/>
      <x v="305"/>
    </i>
    <i r="1">
      <x v="4"/>
      <x v="309"/>
    </i>
    <i r="1">
      <x v="5"/>
      <x v="313"/>
    </i>
    <i r="1">
      <x v="7"/>
      <x v="317"/>
    </i>
    <i r="1">
      <x v="8"/>
      <x v="321"/>
    </i>
    <i r="1">
      <x v="12"/>
      <x v="333"/>
    </i>
    <i r="1">
      <x v="32"/>
      <x v="325"/>
    </i>
    <i r="1">
      <x v="33"/>
      <x v="329"/>
    </i>
    <i>
      <x v="89"/>
      <x v="1"/>
      <x v="287"/>
    </i>
    <i r="2">
      <x v="288"/>
    </i>
    <i r="2">
      <x v="289"/>
    </i>
    <i r="1">
      <x v="2"/>
      <x v="283"/>
    </i>
    <i r="2">
      <x v="284"/>
    </i>
    <i r="2">
      <x v="285"/>
    </i>
    <i r="1">
      <x v="3"/>
      <x v="271"/>
    </i>
    <i r="2">
      <x v="272"/>
    </i>
    <i r="2">
      <x v="273"/>
    </i>
    <i r="1">
      <x v="6"/>
      <x v="275"/>
    </i>
    <i r="2">
      <x v="276"/>
    </i>
    <i r="2">
      <x v="277"/>
    </i>
    <i r="1">
      <x v="9"/>
      <x v="295"/>
    </i>
    <i r="2">
      <x v="296"/>
    </i>
    <i r="2">
      <x v="297"/>
    </i>
    <i r="1">
      <x v="10"/>
      <x v="291"/>
    </i>
    <i r="2">
      <x v="292"/>
    </i>
    <i r="2">
      <x v="293"/>
    </i>
    <i r="1">
      <x v="11"/>
      <x v="279"/>
    </i>
    <i r="2">
      <x v="280"/>
    </i>
    <i r="2">
      <x v="281"/>
    </i>
    <i r="1">
      <x v="44"/>
      <x v="299"/>
    </i>
    <i r="2">
      <x v="300"/>
    </i>
    <i r="2">
      <x v="301"/>
    </i>
    <i r="1">
      <x v="53"/>
      <x v="264"/>
    </i>
    <i r="2">
      <x v="265"/>
    </i>
    <i r="2">
      <x v="266"/>
    </i>
    <i>
      <x v="90"/>
      <x/>
      <x v="302"/>
    </i>
    <i r="2">
      <x v="303"/>
    </i>
    <i r="2">
      <x v="304"/>
    </i>
    <i r="1">
      <x v="4"/>
      <x v="306"/>
    </i>
    <i r="2">
      <x v="307"/>
    </i>
    <i r="2">
      <x v="308"/>
    </i>
    <i r="1">
      <x v="5"/>
      <x v="310"/>
    </i>
    <i r="2">
      <x v="311"/>
    </i>
    <i r="2">
      <x v="312"/>
    </i>
    <i r="1">
      <x v="7"/>
      <x v="314"/>
    </i>
    <i r="2">
      <x v="315"/>
    </i>
    <i r="2">
      <x v="316"/>
    </i>
    <i r="1">
      <x v="8"/>
      <x v="318"/>
    </i>
    <i r="2">
      <x v="319"/>
    </i>
    <i r="2">
      <x v="320"/>
    </i>
    <i r="1">
      <x v="12"/>
      <x v="330"/>
    </i>
    <i r="2">
      <x v="331"/>
    </i>
    <i r="2">
      <x v="332"/>
    </i>
    <i r="1">
      <x v="31"/>
      <x v="340"/>
    </i>
    <i r="2">
      <x v="341"/>
    </i>
    <i r="2">
      <x v="342"/>
    </i>
    <i r="2">
      <x v="343"/>
    </i>
    <i r="2">
      <x v="344"/>
    </i>
    <i r="2">
      <x v="345"/>
    </i>
    <i r="1">
      <x v="32"/>
      <x v="322"/>
    </i>
    <i r="2">
      <x v="323"/>
    </i>
    <i r="2">
      <x v="324"/>
    </i>
    <i r="1">
      <x v="33"/>
      <x v="326"/>
    </i>
    <i r="2">
      <x v="327"/>
    </i>
    <i r="2">
      <x v="328"/>
    </i>
    <i>
      <x v="91"/>
      <x v="115"/>
      <x v="425"/>
    </i>
    <i>
      <x v="92"/>
      <x v="58"/>
      <x v="569"/>
    </i>
    <i>
      <x v="93"/>
      <x v="40"/>
      <x v="570"/>
    </i>
    <i>
      <x v="94"/>
      <x v="84"/>
      <x v="563"/>
    </i>
    <i>
      <x v="95"/>
      <x v="133"/>
      <x v="10"/>
    </i>
    <i r="2">
      <x v="15"/>
    </i>
    <i r="2">
      <x v="224"/>
    </i>
    <i>
      <x v="96"/>
      <x v="120"/>
      <x v="381"/>
    </i>
    <i r="2">
      <x v="382"/>
    </i>
    <i r="2">
      <x v="383"/>
    </i>
    <i r="2">
      <x v="384"/>
    </i>
    <i r="2">
      <x v="385"/>
    </i>
    <i r="2">
      <x v="386"/>
    </i>
    <i r="2">
      <x v="387"/>
    </i>
    <i r="2">
      <x v="388"/>
    </i>
    <i r="2">
      <x v="389"/>
    </i>
    <i r="2">
      <x v="390"/>
    </i>
    <i r="2">
      <x v="391"/>
    </i>
    <i r="2">
      <x v="392"/>
    </i>
    <i r="2">
      <x v="393"/>
    </i>
    <i r="2">
      <x v="394"/>
    </i>
    <i r="2">
      <x v="395"/>
    </i>
    <i r="2">
      <x v="396"/>
    </i>
    <i r="2">
      <x v="418"/>
    </i>
    <i r="2">
      <x v="419"/>
    </i>
    <i r="2">
      <x v="420"/>
    </i>
    <i r="2">
      <x v="421"/>
    </i>
    <i r="2">
      <x v="422"/>
    </i>
    <i r="2">
      <x v="423"/>
    </i>
    <i r="2">
      <x v="424"/>
    </i>
    <i>
      <x v="97"/>
      <x v="162"/>
      <x v="571"/>
    </i>
    <i>
      <x v="98"/>
      <x v="162"/>
      <x v="572"/>
    </i>
    <i>
      <x v="99"/>
      <x v="162"/>
      <x v="573"/>
    </i>
    <i>
      <x v="100"/>
      <x v="134"/>
      <x v="90"/>
    </i>
    <i>
      <x v="101"/>
      <x v="136"/>
      <x v="58"/>
    </i>
    <i>
      <x v="102"/>
      <x v="143"/>
      <x v="61"/>
    </i>
    <i>
      <x v="103"/>
      <x v="25"/>
      <x v="109"/>
    </i>
    <i>
      <x v="104"/>
      <x v="179"/>
      <x v="94"/>
    </i>
    <i>
      <x v="105"/>
      <x v="64"/>
      <x v="32"/>
    </i>
    <i r="1">
      <x v="157"/>
      <x v="193"/>
    </i>
    <i>
      <x v="106"/>
      <x v="112"/>
      <x v="493"/>
    </i>
    <i>
      <x v="107"/>
      <x v="101"/>
      <x v="178"/>
    </i>
    <i>
      <x v="108"/>
      <x v="153"/>
      <x v="196"/>
    </i>
    <i>
      <x v="109"/>
      <x v="135"/>
      <x v="67"/>
    </i>
    <i>
      <x v="110"/>
      <x v="115"/>
      <x v="426"/>
    </i>
    <i>
      <x v="111"/>
      <x v="99"/>
      <x v="158"/>
    </i>
    <i>
      <x v="112"/>
      <x v="35"/>
      <x v="453"/>
    </i>
    <i>
      <x v="113"/>
      <x v="52"/>
      <x v="445"/>
    </i>
    <i>
      <x v="114"/>
      <x v="52"/>
      <x v="446"/>
    </i>
    <i>
      <x v="115"/>
      <x v="36"/>
      <x v="375"/>
    </i>
    <i r="2">
      <x v="376"/>
    </i>
    <i r="2">
      <x v="377"/>
    </i>
    <i r="2">
      <x v="378"/>
    </i>
    <i r="2">
      <x v="379"/>
    </i>
    <i r="2">
      <x v="380"/>
    </i>
    <i>
      <x v="116"/>
      <x v="94"/>
      <x v="134"/>
    </i>
    <i>
      <x v="117"/>
      <x v="156"/>
      <x v="233"/>
    </i>
    <i>
      <x v="118"/>
      <x v="46"/>
      <x v="25"/>
    </i>
    <i>
      <x v="119"/>
      <x v="140"/>
      <x v="98"/>
    </i>
    <i>
      <x v="120"/>
      <x v="137"/>
      <x v="99"/>
    </i>
    <i>
      <x v="121"/>
      <x v="138"/>
      <x v="100"/>
    </i>
    <i>
      <x v="122"/>
      <x v="141"/>
      <x v="70"/>
    </i>
    <i>
      <x v="123"/>
      <x v="179"/>
      <x v="95"/>
    </i>
    <i>
      <x v="124"/>
      <x v="103"/>
      <x v="180"/>
    </i>
    <i>
      <x v="125"/>
      <x v="95"/>
      <x v="136"/>
    </i>
    <i>
      <x v="126"/>
      <x v="138"/>
      <x v="101"/>
    </i>
    <i>
      <x v="127"/>
      <x v="123"/>
      <x v="355"/>
    </i>
    <i>
      <x v="128"/>
      <x v="25"/>
      <x v="112"/>
    </i>
    <i>
      <x v="129"/>
      <x v="76"/>
      <x v="102"/>
    </i>
    <i>
      <x v="130"/>
      <x v="76"/>
      <x v="103"/>
    </i>
    <i>
      <x v="131"/>
      <x v="121"/>
      <x v="348"/>
    </i>
    <i>
      <x v="132"/>
      <x v="183"/>
      <x v="352"/>
    </i>
    <i>
      <x v="133"/>
      <x v="34"/>
      <x v="366"/>
    </i>
    <i r="2">
      <x v="367"/>
    </i>
    <i r="2">
      <x v="368"/>
    </i>
    <i>
      <x v="134"/>
      <x v="23"/>
      <x v="119"/>
    </i>
    <i r="1">
      <x v="67"/>
      <x v="555"/>
    </i>
    <i r="2">
      <x v="557"/>
    </i>
    <i r="2">
      <x v="559"/>
    </i>
    <i r="1">
      <x v="94"/>
      <x v="127"/>
    </i>
    <i r="2">
      <x v="129"/>
    </i>
    <i r="2">
      <x v="130"/>
    </i>
    <i r="1">
      <x v="100"/>
      <x v="160"/>
    </i>
    <i r="2">
      <x v="162"/>
    </i>
    <i r="2">
      <x v="163"/>
    </i>
    <i r="2">
      <x v="165"/>
    </i>
    <i r="2">
      <x v="173"/>
    </i>
    <i r="1">
      <x v="114"/>
      <x v="429"/>
    </i>
    <i r="2">
      <x v="432"/>
    </i>
    <i r="1">
      <x v="159"/>
      <x v="228"/>
    </i>
    <i r="2">
      <x v="230"/>
    </i>
    <i r="1">
      <x v="180"/>
      <x v="504"/>
    </i>
    <i r="2">
      <x v="507"/>
    </i>
    <i r="2">
      <x v="512"/>
    </i>
    <i>
      <x v="135"/>
      <x v="26"/>
      <x v="117"/>
    </i>
    <i>
      <x v="136"/>
      <x v="93"/>
      <x v="190"/>
    </i>
    <i>
      <x v="137"/>
      <x v="145"/>
      <x v="93"/>
    </i>
    <i>
      <x v="138"/>
      <x v="25"/>
      <x v="111"/>
    </i>
    <i>
      <x v="139"/>
      <x v="75"/>
      <x v="104"/>
    </i>
    <i>
      <x v="140"/>
      <x v="78"/>
      <x v="549"/>
    </i>
    <i>
      <x v="141"/>
      <x v="103"/>
      <x v="181"/>
    </i>
    <i>
      <x v="142"/>
      <x v="91"/>
      <x v="192"/>
    </i>
    <i>
      <x v="143"/>
      <x v="47"/>
      <x v="21"/>
    </i>
    <i>
      <x v="144"/>
      <x v="66"/>
      <x v="46"/>
    </i>
    <i r="1">
      <x v="92"/>
      <x v="186"/>
    </i>
    <i>
      <x v="145"/>
      <x v="126"/>
      <x v="39"/>
    </i>
    <i>
      <x v="146"/>
      <x v="43"/>
      <x v="434"/>
    </i>
    <i>
      <x v="147"/>
      <x v="178"/>
      <x v="37"/>
    </i>
    <i>
      <x v="148"/>
      <x v="94"/>
      <x v="132"/>
    </i>
    <i r="1">
      <x v="100"/>
      <x v="166"/>
    </i>
    <i r="2">
      <x v="168"/>
    </i>
    <i r="1">
      <x v="180"/>
      <x v="511"/>
    </i>
    <i>
      <x v="149"/>
      <x v="128"/>
      <x v="9"/>
    </i>
    <i r="2">
      <x v="16"/>
    </i>
    <i r="2">
      <x v="225"/>
    </i>
    <i>
      <x v="150"/>
      <x v="103"/>
      <x v="183"/>
    </i>
    <i>
      <x v="151"/>
      <x v="150"/>
      <x v="83"/>
    </i>
    <i>
      <x v="152"/>
      <x v="150"/>
      <x v="84"/>
    </i>
    <i>
      <x v="153"/>
      <x v="90"/>
      <x v="502"/>
    </i>
    <i>
      <x v="154"/>
      <x v="181"/>
      <x v="96"/>
    </i>
    <i>
      <x v="155"/>
      <x v="126"/>
      <x v="43"/>
    </i>
    <i>
      <x v="156"/>
      <x v="20"/>
      <x v="138"/>
    </i>
    <i>
      <x v="157"/>
      <x v="19"/>
      <x v="139"/>
    </i>
    <i>
      <x v="158"/>
      <x v="46"/>
      <x v="28"/>
    </i>
    <i>
      <x v="159"/>
      <x v="147"/>
      <x v="76"/>
    </i>
    <i>
      <x v="160"/>
      <x v="70"/>
      <x v="213"/>
    </i>
    <i>
      <x v="161"/>
      <x v="70"/>
      <x v="214"/>
    </i>
    <i>
      <x v="162"/>
      <x v="49"/>
      <x v="27"/>
    </i>
    <i>
      <x v="163"/>
      <x v="104"/>
      <x v="140"/>
    </i>
    <i>
      <x v="164"/>
      <x v="104"/>
      <x v="141"/>
    </i>
    <i>
      <x v="165"/>
      <x v="18"/>
      <x v="522"/>
    </i>
    <i>
      <x v="166"/>
      <x v="18"/>
      <x v="521"/>
    </i>
    <i>
      <x v="167"/>
      <x v="68"/>
      <x v="526"/>
    </i>
    <i>
      <x v="168"/>
      <x v="113"/>
      <x v="516"/>
    </i>
    <i>
      <x v="169"/>
      <x v="87"/>
      <x v="567"/>
    </i>
    <i>
      <x v="170"/>
      <x v="54"/>
      <x v="3"/>
    </i>
    <i r="2">
      <x v="7"/>
    </i>
    <i r="2">
      <x v="13"/>
    </i>
    <i r="2">
      <x v="222"/>
    </i>
    <i>
      <x v="171"/>
      <x v="54"/>
      <x v="2"/>
    </i>
    <i r="2">
      <x v="6"/>
    </i>
    <i r="2">
      <x v="12"/>
    </i>
    <i r="2">
      <x v="221"/>
    </i>
    <i>
      <x v="172"/>
      <x v="149"/>
      <x v="77"/>
    </i>
    <i>
      <x v="173"/>
      <x v="113"/>
      <x v="517"/>
    </i>
    <i>
      <x v="174"/>
      <x v="75"/>
      <x v="105"/>
    </i>
    <i>
      <x v="175"/>
      <x v="123"/>
      <x v="356"/>
    </i>
    <i>
      <x v="176"/>
      <x v="105"/>
      <x v="254"/>
    </i>
    <i r="2">
      <x v="255"/>
    </i>
    <i r="2">
      <x v="256"/>
    </i>
    <i r="2">
      <x v="257"/>
    </i>
    <i r="2">
      <x v="258"/>
    </i>
    <i r="2">
      <x v="259"/>
    </i>
    <i r="2">
      <x v="260"/>
    </i>
    <i r="2">
      <x v="261"/>
    </i>
    <i r="2">
      <x v="262"/>
    </i>
    <i r="2">
      <x v="263"/>
    </i>
    <i>
      <x v="177"/>
      <x v="105"/>
      <x v="238"/>
    </i>
    <i r="2">
      <x v="239"/>
    </i>
    <i r="2">
      <x v="240"/>
    </i>
    <i r="2">
      <x v="241"/>
    </i>
    <i r="2">
      <x v="242"/>
    </i>
    <i r="2">
      <x v="243"/>
    </i>
    <i r="2">
      <x v="244"/>
    </i>
    <i r="2">
      <x v="245"/>
    </i>
    <i>
      <x v="178"/>
      <x v="105"/>
      <x v="246"/>
    </i>
    <i r="2">
      <x v="247"/>
    </i>
    <i r="2">
      <x v="248"/>
    </i>
    <i r="2">
      <x v="249"/>
    </i>
    <i r="2">
      <x v="250"/>
    </i>
    <i r="2">
      <x v="251"/>
    </i>
    <i r="2">
      <x v="252"/>
    </i>
    <i r="2">
      <x v="253"/>
    </i>
    <i>
      <x v="179"/>
      <x v="144"/>
      <x v="64"/>
    </i>
    <i>
      <x v="180"/>
      <x v="35"/>
      <x v="452"/>
    </i>
    <i>
      <x v="181"/>
      <x v="77"/>
      <x v="107"/>
    </i>
    <i>
      <x v="182"/>
      <x v="25"/>
      <x v="108"/>
    </i>
    <i>
      <x v="183"/>
      <x v="23"/>
      <x v="121"/>
    </i>
    <i r="1">
      <x v="67"/>
      <x v="561"/>
    </i>
    <i r="1">
      <x v="94"/>
      <x v="133"/>
    </i>
    <i r="1">
      <x v="100"/>
      <x v="169"/>
    </i>
    <i r="2">
      <x v="175"/>
    </i>
    <i r="1">
      <x v="159"/>
      <x v="232"/>
    </i>
    <i r="1">
      <x v="180"/>
      <x v="509"/>
    </i>
    <i r="2">
      <x v="513"/>
    </i>
    <i>
      <x v="184"/>
      <x v="112"/>
      <x v="494"/>
    </i>
    <i>
      <x v="185"/>
      <x v="103"/>
      <x v="184"/>
    </i>
    <i>
      <x v="186"/>
      <x v="47"/>
      <x v="22"/>
    </i>
    <i r="1">
      <x v="48"/>
      <x v="23"/>
    </i>
    <i r="2">
      <x v="24"/>
    </i>
    <i>
      <x v="187"/>
      <x v="23"/>
      <x v="123"/>
    </i>
    <i r="1">
      <x v="67"/>
      <x v="562"/>
    </i>
    <i r="1">
      <x v="180"/>
      <x v="515"/>
    </i>
    <i>
      <x v="188"/>
      <x v="25"/>
      <x v="110"/>
    </i>
    <i>
      <x v="189"/>
      <x v="21"/>
      <x v="85"/>
    </i>
    <i>
      <x v="190"/>
      <x v="14"/>
      <x v="88"/>
    </i>
    <i>
      <x v="191"/>
      <x v="71"/>
      <x v="523"/>
    </i>
    <i>
      <x v="192"/>
      <x v="172"/>
      <x v="86"/>
    </i>
    <i>
      <x v="193"/>
      <x v="172"/>
      <x v="87"/>
    </i>
    <i>
      <x v="194"/>
      <x v="173"/>
      <x v="89"/>
    </i>
    <i>
      <x v="195"/>
      <x v="15"/>
      <x v="210"/>
    </i>
    <i>
      <x v="196"/>
      <x v="59"/>
      <x v="215"/>
    </i>
    <i>
      <x v="197"/>
      <x v="165"/>
      <x v="216"/>
    </i>
    <i>
      <x v="198"/>
      <x v="24"/>
      <x v="115"/>
    </i>
    <i>
      <x v="199"/>
      <x v="98"/>
      <x v="520"/>
    </i>
    <i>
      <x v="200"/>
      <x v="85"/>
      <x v="566"/>
    </i>
    <i>
      <x v="201"/>
      <x v="50"/>
      <x v="26"/>
    </i>
    <i>
      <x v="202"/>
      <x v="97"/>
      <x v="519"/>
    </i>
    <i>
      <x v="203"/>
      <x v="88"/>
      <x v="564"/>
    </i>
    <i>
      <x v="204"/>
      <x v="127"/>
      <x v="124"/>
    </i>
    <i>
      <x v="205"/>
      <x v="118"/>
      <x v="499"/>
    </i>
    <i r="2">
      <x v="500"/>
    </i>
    <i r="2">
      <x v="501"/>
    </i>
    <i r="1">
      <x v="119"/>
      <x v="496"/>
    </i>
    <i r="2">
      <x v="497"/>
    </i>
    <i r="2">
      <x v="498"/>
    </i>
    <i>
      <x v="206"/>
      <x v="95"/>
      <x v="135"/>
    </i>
    <i>
      <x v="207"/>
      <x v="102"/>
      <x v="177"/>
    </i>
    <i>
      <x v="208"/>
      <x v="154"/>
      <x v="197"/>
    </i>
    <i>
      <x v="209"/>
      <x v="154"/>
      <x v="198"/>
    </i>
    <i>
      <x v="210"/>
      <x v="154"/>
      <x v="200"/>
    </i>
    <i>
      <x v="211"/>
      <x v="154"/>
      <x v="199"/>
    </i>
    <i>
      <x v="212"/>
      <x v="171"/>
      <x v="155"/>
    </i>
    <i>
      <x v="213"/>
      <x v="69"/>
      <x v="53"/>
    </i>
    <i>
      <x v="214"/>
      <x v="103"/>
      <x v="182"/>
    </i>
    <i>
      <x v="215"/>
      <x v="158"/>
      <x v="194"/>
    </i>
    <i>
      <x v="216"/>
      <x v="92"/>
      <x v="187"/>
    </i>
    <i>
      <x v="217"/>
      <x v="176"/>
      <x v="97"/>
    </i>
    <i>
      <x v="218"/>
      <x v="22"/>
      <x v="116"/>
    </i>
    <i>
      <x v="219"/>
      <x v="43"/>
      <x v="191"/>
    </i>
    <i>
      <x v="220"/>
      <x v="152"/>
      <x v="217"/>
    </i>
    <i>
      <x v="221"/>
      <x v="92"/>
      <x v="189"/>
    </i>
    <i>
      <x v="222"/>
      <x v="155"/>
      <x v="218"/>
    </i>
    <i>
      <x v="223"/>
      <x v="82"/>
      <x v="580"/>
    </i>
    <i>
      <x v="224"/>
      <x v="72"/>
      <x v="577"/>
    </i>
    <i>
      <x v="225"/>
      <x v="72"/>
      <x v="578"/>
    </i>
    <i>
      <x v="226"/>
      <x v="110"/>
      <x v="447"/>
    </i>
    <i>
      <x v="227"/>
      <x v="134"/>
      <x v="91"/>
    </i>
    <i>
      <x v="228"/>
      <x v="83"/>
      <x v="579"/>
    </i>
    <i>
      <x v="229"/>
      <x v="134"/>
      <x v="92"/>
    </i>
    <i>
      <x v="230"/>
      <x v="161"/>
      <x v="220"/>
    </i>
    <i>
      <x v="231"/>
      <x v="72"/>
      <x v="576"/>
    </i>
    <i>
      <x v="232"/>
      <x v="160"/>
      <x v="219"/>
    </i>
    <i>
      <x v="233"/>
      <x v="92"/>
      <x v="188"/>
    </i>
    <i>
      <x v="234"/>
      <x v="178"/>
      <x v="36"/>
    </i>
    <i>
      <x v="235"/>
      <x v="178"/>
      <x v="38"/>
    </i>
    <i>
      <x v="236"/>
      <x v="174"/>
      <x v="81"/>
    </i>
    <i>
      <x v="237"/>
      <x v="174"/>
      <x v="82"/>
    </i>
    <i>
      <x v="238"/>
      <x v="175"/>
      <x v="365"/>
    </i>
    <i>
      <x v="239"/>
      <x v="89"/>
      <x v="574"/>
    </i>
    <i>
      <x v="240"/>
      <x v="89"/>
      <x v="575"/>
    </i>
    <i>
      <x v="241"/>
      <x v="170"/>
      <x v="148"/>
    </i>
    <i>
      <x v="242"/>
      <x v="170"/>
      <x v="149"/>
    </i>
    <i>
      <x v="243"/>
      <x v="168"/>
      <x v="208"/>
    </i>
    <i>
      <x v="244"/>
      <x v="168"/>
      <x v="209"/>
    </i>
    <i>
      <x v="245"/>
      <x v="104"/>
      <x v="152"/>
    </i>
    <i>
      <x v="246"/>
      <x v="104"/>
      <x v="153"/>
    </i>
    <i>
      <x v="247"/>
      <x v="28"/>
      <x v="142"/>
    </i>
    <i>
      <x v="248"/>
      <x v="27"/>
      <x v="143"/>
    </i>
    <i>
      <x v="249"/>
      <x v="30"/>
      <x v="146"/>
    </i>
    <i>
      <x v="250"/>
      <x v="29"/>
      <x v="147"/>
    </i>
    <i>
      <x v="251"/>
      <x v="17"/>
      <x v="150"/>
    </i>
    <i>
      <x v="252"/>
      <x v="16"/>
      <x v="151"/>
    </i>
    <i>
      <x v="253"/>
      <x v="169"/>
      <x v="144"/>
    </i>
    <i>
      <x v="254"/>
      <x v="169"/>
      <x v="145"/>
    </i>
    <i>
      <x v="255"/>
      <x v="70"/>
      <x v="204"/>
    </i>
    <i r="1">
      <x v="167"/>
      <x v="202"/>
    </i>
    <i>
      <x v="256"/>
      <x v="70"/>
      <x v="205"/>
    </i>
    <i>
      <x v="257"/>
      <x v="41"/>
      <x v="154"/>
    </i>
    <i>
      <x v="258"/>
      <x v="68"/>
      <x v="524"/>
    </i>
    <i>
      <x v="259"/>
      <x v="68"/>
      <x v="525"/>
    </i>
    <i>
      <x v="260"/>
      <x v="113"/>
      <x v="518"/>
    </i>
    <i>
      <x v="261"/>
      <x v="62"/>
      <x v="527"/>
    </i>
    <i>
      <x v="262"/>
      <x v="51"/>
      <x v="528"/>
    </i>
    <i r="2">
      <x v="529"/>
    </i>
    <i r="2">
      <x v="530"/>
    </i>
    <i>
      <x v="263"/>
      <x v="51"/>
      <x v="537"/>
    </i>
    <i>
      <x v="264"/>
      <x v="51"/>
      <x v="538"/>
    </i>
    <i>
      <x v="265"/>
      <x v="51"/>
      <x v="539"/>
    </i>
    <i>
      <x v="266"/>
      <x v="51"/>
      <x v="541"/>
    </i>
    <i>
      <x v="267"/>
      <x v="51"/>
      <x v="542"/>
    </i>
    <i>
      <x v="268"/>
      <x v="97"/>
      <x v="156"/>
    </i>
    <i>
      <x v="269"/>
      <x v="97"/>
      <x v="157"/>
    </i>
    <i r="1">
      <x v="112"/>
      <x v="495"/>
    </i>
  </rowItems>
  <colItems count="1">
    <i/>
  </colItems>
  <dataFields count="1">
    <dataField name="Sum of Budgeted Material Cost" fld="7" baseField="0" baseItem="0" numFmtId="169"/>
  </dataFields>
  <formats count="72">
    <format dxfId="561">
      <pivotArea collapsedLevelsAreSubtotals="1" fieldPosition="0">
        <references count="1">
          <reference field="1" count="0"/>
        </references>
      </pivotArea>
    </format>
    <format dxfId="560">
      <pivotArea outline="0" collapsedLevelsAreSubtotals="1" fieldPosition="0"/>
    </format>
    <format dxfId="559">
      <pivotArea outline="0" fieldPosition="0">
        <references count="1">
          <reference field="1" count="1" selected="0" defaultSubtotal="1">
            <x v="99"/>
          </reference>
        </references>
      </pivotArea>
    </format>
    <format dxfId="558">
      <pivotArea outline="0" fieldPosition="0">
        <references count="1">
          <reference field="1" count="1" selected="0" defaultSubtotal="1">
            <x v="98"/>
          </reference>
        </references>
      </pivotArea>
    </format>
    <format dxfId="557">
      <pivotArea outline="0" fieldPosition="0">
        <references count="1">
          <reference field="1" count="1" selected="0" defaultSubtotal="1">
            <x v="97"/>
          </reference>
        </references>
      </pivotArea>
    </format>
    <format dxfId="556">
      <pivotArea outline="0" fieldPosition="0">
        <references count="1">
          <reference field="1" count="1" selected="0" defaultSubtotal="1">
            <x v="96"/>
          </reference>
        </references>
      </pivotArea>
    </format>
    <format dxfId="555">
      <pivotArea outline="0" fieldPosition="0">
        <references count="1">
          <reference field="1" count="1" selected="0" defaultSubtotal="1">
            <x v="95"/>
          </reference>
        </references>
      </pivotArea>
    </format>
    <format dxfId="554">
      <pivotArea outline="0" fieldPosition="0">
        <references count="1">
          <reference field="1" count="1" selected="0" defaultSubtotal="1">
            <x v="94"/>
          </reference>
        </references>
      </pivotArea>
    </format>
    <format dxfId="553">
      <pivotArea outline="0" fieldPosition="0">
        <references count="1">
          <reference field="1" count="1" selected="0" defaultSubtotal="1">
            <x v="93"/>
          </reference>
        </references>
      </pivotArea>
    </format>
    <format dxfId="552">
      <pivotArea outline="0" fieldPosition="0">
        <references count="1">
          <reference field="1" count="1" selected="0" defaultSubtotal="1">
            <x v="91"/>
          </reference>
        </references>
      </pivotArea>
    </format>
    <format dxfId="551">
      <pivotArea outline="0" fieldPosition="0">
        <references count="1">
          <reference field="1" count="1" selected="0" defaultSubtotal="1">
            <x v="90"/>
          </reference>
        </references>
      </pivotArea>
    </format>
    <format dxfId="550">
      <pivotArea outline="0" fieldPosition="0">
        <references count="1">
          <reference field="1" count="1" selected="0" defaultSubtotal="1">
            <x v="89"/>
          </reference>
        </references>
      </pivotArea>
    </format>
    <format dxfId="549">
      <pivotArea outline="0" fieldPosition="0">
        <references count="1">
          <reference field="1" count="1" selected="0" defaultSubtotal="1">
            <x v="88"/>
          </reference>
        </references>
      </pivotArea>
    </format>
    <format dxfId="548">
      <pivotArea outline="0" fieldPosition="0">
        <references count="1">
          <reference field="1" count="1" selected="0" defaultSubtotal="1">
            <x v="87"/>
          </reference>
        </references>
      </pivotArea>
    </format>
    <format dxfId="547">
      <pivotArea outline="0" fieldPosition="0">
        <references count="1">
          <reference field="1" count="1" selected="0" defaultSubtotal="1">
            <x v="86"/>
          </reference>
        </references>
      </pivotArea>
    </format>
    <format dxfId="546">
      <pivotArea outline="0" fieldPosition="0">
        <references count="1">
          <reference field="1" count="1" selected="0" defaultSubtotal="1">
            <x v="85"/>
          </reference>
        </references>
      </pivotArea>
    </format>
    <format dxfId="545">
      <pivotArea outline="0" fieldPosition="0">
        <references count="1">
          <reference field="1" count="1" selected="0" defaultSubtotal="1">
            <x v="83"/>
          </reference>
        </references>
      </pivotArea>
    </format>
    <format dxfId="544">
      <pivotArea outline="0" fieldPosition="0">
        <references count="1">
          <reference field="1" count="1" selected="0" defaultSubtotal="1">
            <x v="82"/>
          </reference>
        </references>
      </pivotArea>
    </format>
    <format dxfId="543">
      <pivotArea outline="0" fieldPosition="0">
        <references count="1">
          <reference field="1" count="1" selected="0" defaultSubtotal="1">
            <x v="81"/>
          </reference>
        </references>
      </pivotArea>
    </format>
    <format dxfId="542">
      <pivotArea outline="0" fieldPosition="0">
        <references count="1">
          <reference field="1" count="1" selected="0" defaultSubtotal="1">
            <x v="80"/>
          </reference>
        </references>
      </pivotArea>
    </format>
    <format dxfId="541">
      <pivotArea outline="0" fieldPosition="0">
        <references count="1">
          <reference field="1" count="1" selected="0" defaultSubtotal="1">
            <x v="79"/>
          </reference>
        </references>
      </pivotArea>
    </format>
    <format dxfId="540">
      <pivotArea outline="0" fieldPosition="0">
        <references count="1">
          <reference field="1" count="1" selected="0" defaultSubtotal="1">
            <x v="78"/>
          </reference>
        </references>
      </pivotArea>
    </format>
    <format dxfId="539">
      <pivotArea outline="0" fieldPosition="0">
        <references count="1">
          <reference field="1" count="1" selected="0" defaultSubtotal="1">
            <x v="77"/>
          </reference>
        </references>
      </pivotArea>
    </format>
    <format dxfId="538">
      <pivotArea outline="0" fieldPosition="0">
        <references count="1">
          <reference field="1" count="1" selected="0" defaultSubtotal="1">
            <x v="76"/>
          </reference>
        </references>
      </pivotArea>
    </format>
    <format dxfId="537">
      <pivotArea outline="0" fieldPosition="0">
        <references count="1">
          <reference field="1" count="1" selected="0" defaultSubtotal="1">
            <x v="75"/>
          </reference>
        </references>
      </pivotArea>
    </format>
    <format dxfId="536">
      <pivotArea outline="0" fieldPosition="0">
        <references count="1">
          <reference field="1" count="1" selected="0" defaultSubtotal="1">
            <x v="74"/>
          </reference>
        </references>
      </pivotArea>
    </format>
    <format dxfId="535">
      <pivotArea outline="0" fieldPosition="0">
        <references count="1">
          <reference field="1" count="1" selected="0" defaultSubtotal="1">
            <x v="73"/>
          </reference>
        </references>
      </pivotArea>
    </format>
    <format dxfId="534">
      <pivotArea outline="0" fieldPosition="0">
        <references count="1">
          <reference field="1" count="1" selected="0" defaultSubtotal="1">
            <x v="72"/>
          </reference>
        </references>
      </pivotArea>
    </format>
    <format dxfId="533">
      <pivotArea outline="0" fieldPosition="0">
        <references count="1">
          <reference field="1" count="1" selected="0" defaultSubtotal="1">
            <x v="71"/>
          </reference>
        </references>
      </pivotArea>
    </format>
    <format dxfId="532">
      <pivotArea outline="0" fieldPosition="0">
        <references count="1">
          <reference field="1" count="1" selected="0" defaultSubtotal="1">
            <x v="70"/>
          </reference>
        </references>
      </pivotArea>
    </format>
    <format dxfId="531">
      <pivotArea outline="0" fieldPosition="0">
        <references count="1">
          <reference field="1" count="1" selected="0" defaultSubtotal="1">
            <x v="69"/>
          </reference>
        </references>
      </pivotArea>
    </format>
    <format dxfId="530">
      <pivotArea outline="0" fieldPosition="0">
        <references count="1">
          <reference field="1" count="1" selected="0" defaultSubtotal="1">
            <x v="68"/>
          </reference>
        </references>
      </pivotArea>
    </format>
    <format dxfId="529">
      <pivotArea outline="0" fieldPosition="0">
        <references count="1">
          <reference field="1" count="1" selected="0" defaultSubtotal="1">
            <x v="67"/>
          </reference>
        </references>
      </pivotArea>
    </format>
    <format dxfId="528">
      <pivotArea outline="0" fieldPosition="0">
        <references count="1">
          <reference field="1" count="1" selected="0" defaultSubtotal="1">
            <x v="66"/>
          </reference>
        </references>
      </pivotArea>
    </format>
    <format dxfId="527">
      <pivotArea outline="0" fieldPosition="0">
        <references count="1">
          <reference field="1" count="1" selected="0" defaultSubtotal="1">
            <x v="65"/>
          </reference>
        </references>
      </pivotArea>
    </format>
    <format dxfId="526">
      <pivotArea outline="0" fieldPosition="0">
        <references count="1">
          <reference field="1" count="1" selected="0" defaultSubtotal="1">
            <x v="63"/>
          </reference>
        </references>
      </pivotArea>
    </format>
    <format dxfId="525">
      <pivotArea outline="0" fieldPosition="0">
        <references count="1">
          <reference field="1" count="1" selected="0" defaultSubtotal="1">
            <x v="60"/>
          </reference>
        </references>
      </pivotArea>
    </format>
    <format dxfId="524">
      <pivotArea outline="0" fieldPosition="0">
        <references count="1">
          <reference field="1" count="1" selected="0" defaultSubtotal="1">
            <x v="62"/>
          </reference>
        </references>
      </pivotArea>
    </format>
    <format dxfId="523">
      <pivotArea outline="0" fieldPosition="0">
        <references count="1">
          <reference field="1" count="1" selected="0" defaultSubtotal="1">
            <x v="58"/>
          </reference>
        </references>
      </pivotArea>
    </format>
    <format dxfId="522">
      <pivotArea outline="0" fieldPosition="0">
        <references count="1">
          <reference field="1" count="1" selected="0" defaultSubtotal="1">
            <x v="57"/>
          </reference>
        </references>
      </pivotArea>
    </format>
    <format dxfId="521">
      <pivotArea outline="0" fieldPosition="0">
        <references count="1">
          <reference field="1" count="1" selected="0" defaultSubtotal="1">
            <x v="56"/>
          </reference>
        </references>
      </pivotArea>
    </format>
    <format dxfId="520">
      <pivotArea outline="0" fieldPosition="0">
        <references count="1">
          <reference field="1" count="1" selected="0" defaultSubtotal="1">
            <x v="55"/>
          </reference>
        </references>
      </pivotArea>
    </format>
    <format dxfId="519">
      <pivotArea outline="0" fieldPosition="0">
        <references count="1">
          <reference field="1" count="1" selected="0" defaultSubtotal="1">
            <x v="54"/>
          </reference>
        </references>
      </pivotArea>
    </format>
    <format dxfId="518">
      <pivotArea outline="0" fieldPosition="0">
        <references count="1">
          <reference field="1" count="1" selected="0" defaultSubtotal="1">
            <x v="53"/>
          </reference>
        </references>
      </pivotArea>
    </format>
    <format dxfId="517">
      <pivotArea outline="0" fieldPosition="0">
        <references count="1">
          <reference field="1" count="1" selected="0" defaultSubtotal="1">
            <x v="52"/>
          </reference>
        </references>
      </pivotArea>
    </format>
    <format dxfId="516">
      <pivotArea outline="0" fieldPosition="0">
        <references count="1">
          <reference field="1" count="1" selected="0" defaultSubtotal="1">
            <x v="51"/>
          </reference>
        </references>
      </pivotArea>
    </format>
    <format dxfId="515">
      <pivotArea outline="0" fieldPosition="0">
        <references count="1">
          <reference field="1" count="1" selected="0" defaultSubtotal="1">
            <x v="50"/>
          </reference>
        </references>
      </pivotArea>
    </format>
    <format dxfId="514">
      <pivotArea outline="0" fieldPosition="0">
        <references count="1">
          <reference field="1" count="1" selected="0" defaultSubtotal="1">
            <x v="42"/>
          </reference>
        </references>
      </pivotArea>
    </format>
    <format dxfId="513">
      <pivotArea outline="0" fieldPosition="0">
        <references count="1">
          <reference field="1" count="1" selected="0" defaultSubtotal="1">
            <x v="39"/>
          </reference>
        </references>
      </pivotArea>
    </format>
    <format dxfId="512">
      <pivotArea outline="0" fieldPosition="0">
        <references count="1">
          <reference field="1" count="1" selected="0" defaultSubtotal="1">
            <x v="31"/>
          </reference>
        </references>
      </pivotArea>
    </format>
    <format dxfId="511">
      <pivotArea outline="0" fieldPosition="0">
        <references count="1">
          <reference field="1" count="1" selected="0" defaultSubtotal="1">
            <x v="10"/>
          </reference>
        </references>
      </pivotArea>
    </format>
    <format dxfId="510">
      <pivotArea dataOnly="0" outline="0" fieldPosition="0">
        <references count="1">
          <reference field="0" count="1">
            <x v="389"/>
          </reference>
        </references>
      </pivotArea>
    </format>
    <format dxfId="509">
      <pivotArea dataOnly="0" labelOnly="1" outline="0" fieldPosition="0">
        <references count="3">
          <reference field="0" count="1">
            <x v="136"/>
          </reference>
          <reference field="1" count="1" selected="0">
            <x v="125"/>
          </reference>
          <reference field="4" count="1" selected="0">
            <x v="95"/>
          </reference>
        </references>
      </pivotArea>
    </format>
    <format dxfId="508">
      <pivotArea dataOnly="0" labelOnly="1" outline="0" fieldPosition="0">
        <references count="3">
          <reference field="0" count="1">
            <x v="52"/>
          </reference>
          <reference field="1" count="1" selected="0">
            <x v="50"/>
          </reference>
          <reference field="4" count="1" selected="0">
            <x v="63"/>
          </reference>
        </references>
      </pivotArea>
    </format>
    <format dxfId="507">
      <pivotArea dataOnly="0" labelOnly="1" outline="0" fieldPosition="0">
        <references count="3">
          <reference field="0" count="1">
            <x v="471"/>
          </reference>
          <reference field="1" count="1" selected="0">
            <x v="55"/>
          </reference>
          <reference field="4" count="1" selected="0">
            <x v="65"/>
          </reference>
        </references>
      </pivotArea>
    </format>
    <format dxfId="506">
      <pivotArea dataOnly="0" labelOnly="1" outline="0" fieldPosition="0">
        <references count="3">
          <reference field="0" count="1">
            <x v="481"/>
          </reference>
          <reference field="1" count="1" selected="0">
            <x v="55"/>
          </reference>
          <reference field="4" count="1" selected="0">
            <x v="65"/>
          </reference>
        </references>
      </pivotArea>
    </format>
    <format dxfId="505">
      <pivotArea dataOnly="0" labelOnly="1" outline="0" fieldPosition="0">
        <references count="3">
          <reference field="0" count="1">
            <x v="483"/>
          </reference>
          <reference field="1" count="1" selected="0">
            <x v="55"/>
          </reference>
          <reference field="4" count="1" selected="0">
            <x v="65"/>
          </reference>
        </references>
      </pivotArea>
    </format>
    <format dxfId="504">
      <pivotArea dataOnly="0" labelOnly="1" outline="0" fieldPosition="0">
        <references count="3">
          <reference field="0" count="1">
            <x v="485"/>
          </reference>
          <reference field="1" count="1" selected="0">
            <x v="55"/>
          </reference>
          <reference field="4" count="1" selected="0">
            <x v="65"/>
          </reference>
        </references>
      </pivotArea>
    </format>
    <format dxfId="503">
      <pivotArea dataOnly="0" labelOnly="1" outline="0" fieldPosition="0">
        <references count="3">
          <reference field="0" count="1">
            <x v="44"/>
          </reference>
          <reference field="1" count="1" selected="0">
            <x v="63"/>
          </reference>
          <reference field="4" count="1" selected="0">
            <x v="66"/>
          </reference>
        </references>
      </pivotArea>
    </format>
    <format dxfId="502">
      <pivotArea dataOnly="0" labelOnly="1" outline="0" fieldPosition="0">
        <references count="3">
          <reference field="0" count="1">
            <x v="47"/>
          </reference>
          <reference field="1" count="1" selected="0">
            <x v="63"/>
          </reference>
          <reference field="4" count="1" selected="0">
            <x v="66"/>
          </reference>
        </references>
      </pivotArea>
    </format>
    <format dxfId="501">
      <pivotArea dataOnly="0" labelOnly="1" outline="0" fieldPosition="0">
        <references count="3">
          <reference field="0" count="1">
            <x v="435"/>
          </reference>
          <reference field="1" count="1" selected="0">
            <x v="64"/>
          </reference>
          <reference field="4" count="1" selected="0">
            <x v="56"/>
          </reference>
        </references>
      </pivotArea>
    </format>
    <format dxfId="500">
      <pivotArea dataOnly="0" outline="0" fieldPosition="0">
        <references count="1">
          <reference field="0" count="1">
            <x v="59"/>
          </reference>
        </references>
      </pivotArea>
    </format>
    <format dxfId="499">
      <pivotArea dataOnly="0" labelOnly="1" outline="0" fieldPosition="0">
        <references count="3">
          <reference field="0" count="1">
            <x v="0"/>
          </reference>
          <reference field="1" count="1" selected="0">
            <x v="73"/>
          </reference>
          <reference field="4" count="1" selected="0">
            <x v="129"/>
          </reference>
        </references>
      </pivotArea>
    </format>
    <format dxfId="498">
      <pivotArea dataOnly="0" labelOnly="1" outline="0" fieldPosition="0">
        <references count="3">
          <reference field="0" count="1">
            <x v="552"/>
          </reference>
          <reference field="1" count="1" selected="0">
            <x v="76"/>
          </reference>
          <reference field="4" count="1" selected="0">
            <x v="67"/>
          </reference>
        </references>
      </pivotArea>
    </format>
    <format dxfId="497">
      <pivotArea dataOnly="0" labelOnly="1" outline="0" fieldPosition="0">
        <references count="3">
          <reference field="0" count="1">
            <x v="51"/>
          </reference>
          <reference field="1" count="1" selected="0">
            <x v="83"/>
          </reference>
          <reference field="4" count="1" selected="0">
            <x v="96"/>
          </reference>
        </references>
      </pivotArea>
    </format>
    <format dxfId="496">
      <pivotArea dataOnly="0" labelOnly="1" outline="0" fieldPosition="0">
        <references count="3">
          <reference field="0" count="1">
            <x v="167"/>
          </reference>
          <reference field="1" count="1" selected="0">
            <x v="86"/>
          </reference>
          <reference field="4" count="1" selected="0">
            <x v="100"/>
          </reference>
        </references>
      </pivotArea>
    </format>
    <format dxfId="495">
      <pivotArea dataOnly="0" labelOnly="1" outline="0" fieldPosition="0">
        <references count="3">
          <reference field="0" count="1">
            <x v="167"/>
          </reference>
          <reference field="1" count="1" selected="0">
            <x v="86"/>
          </reference>
          <reference field="4" count="1" selected="0">
            <x v="100"/>
          </reference>
        </references>
      </pivotArea>
    </format>
    <format dxfId="494">
      <pivotArea dataOnly="0" labelOnly="1" outline="0" fieldPosition="0">
        <references count="3">
          <reference field="0" count="1">
            <x v="471"/>
          </reference>
          <reference field="1" count="1" selected="0">
            <x v="55"/>
          </reference>
          <reference field="4" count="1" selected="0">
            <x v="65"/>
          </reference>
        </references>
      </pivotArea>
    </format>
    <format dxfId="493">
      <pivotArea dataOnly="0" labelOnly="1" outline="0" fieldPosition="0">
        <references count="3">
          <reference field="0" count="1">
            <x v="481"/>
          </reference>
          <reference field="1" count="1" selected="0">
            <x v="55"/>
          </reference>
          <reference field="4" count="1" selected="0">
            <x v="65"/>
          </reference>
        </references>
      </pivotArea>
    </format>
    <format dxfId="492">
      <pivotArea dataOnly="0" labelOnly="1" outline="0" fieldPosition="0">
        <references count="3">
          <reference field="0" count="1">
            <x v="483"/>
          </reference>
          <reference field="1" count="1" selected="0">
            <x v="55"/>
          </reference>
          <reference field="4" count="1" selected="0">
            <x v="65"/>
          </reference>
        </references>
      </pivotArea>
    </format>
    <format dxfId="491">
      <pivotArea dataOnly="0" labelOnly="1" outline="0" fieldPosition="0">
        <references count="3">
          <reference field="0" count="1">
            <x v="485"/>
          </reference>
          <reference field="1" count="1" selected="0">
            <x v="55"/>
          </reference>
          <reference field="4" count="1" selected="0">
            <x v="65"/>
          </reference>
        </references>
      </pivotArea>
    </format>
    <format dxfId="490">
      <pivotArea dataOnly="0" labelOnly="1" outline="0" fieldPosition="0">
        <references count="3">
          <reference field="0" count="1">
            <x v="44"/>
          </reference>
          <reference field="1" count="1" selected="0">
            <x v="63"/>
          </reference>
          <reference field="4" count="1" selected="0">
            <x v="6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239" dT="2021-08-06T15:17:16.60" personId="{699E7F08-CA67-4B82-900B-1678E708905A}" id="{9FAA0C94-1624-440F-83F4-7217D4232EF2}">
    <text>Cost estimate is based on installing one set of DI system and cooling tower. The estimate of the DI and cooling tower cost at 4 O Clock location.</text>
  </threadedComment>
  <threadedComment ref="P239" dT="2021-08-06T21:50:12.52" personId="{699E7F08-CA67-4B82-900B-1678E708905A}" id="{332162B2-95D1-4434-9F2F-139F8665E944}">
    <text>based on 6 months engineering and 6 months construciton</text>
  </threadedComment>
  <threadedComment ref="N240" dT="2021-08-06T17:48:38.13" personId="{699E7F08-CA67-4B82-900B-1678E708905A}" id="{151F6EAE-0E8D-4DD6-94D3-BDCE691343CC}">
    <text>based on white paper</text>
  </threadedComment>
  <threadedComment ref="N241" dT="2021-08-06T17:48:38.13" personId="{699E7F08-CA67-4B82-900B-1678E708905A}" id="{1C4A2BF7-4E2A-4FEC-B447-F9B665205365}">
    <text>based on white paper</text>
  </threadedComment>
  <threadedComment ref="N242" dT="2021-08-06T14:55:46.82" personId="{699E7F08-CA67-4B82-900B-1678E708905A}" id="{4C5A8E0C-87B0-4C5F-9786-6D01AF580A71}">
    <text>Cost is based on RS MEans 2021 comparison of 1000 ton centrifugal chiller and absorption chiller and applying the factor to the CD-1 chilled water estimate.</text>
  </threadedComment>
  <threadedComment ref="P242" dT="2021-08-06T21:49:38.01" personId="{699E7F08-CA67-4B82-900B-1678E708905A}" id="{9B766F2A-20E3-41F4-B44E-087D3DD2BAD3}">
    <text>based on 6 months engineering and 6 months construciton</text>
  </threadedComment>
  <threadedComment ref="N243" dT="2021-08-06T21:04:20.79" personId="{699E7F08-CA67-4B82-900B-1678E708905A}" id="{64F51060-8CA7-4DA2-9CA2-A06E594D886C}">
    <text>Costs are based on 4 inch header supply and return for magnet and ps based on RS MEans and LIRO estimate 2021</text>
  </threadedComment>
  <threadedComment ref="N244" dT="2021-08-06T15:24:19.98" personId="{699E7F08-CA67-4B82-900B-1678E708905A}" id="{67F59761-662B-4C3F-84A7-5C0622C6737B}">
    <text>New cost is a plug in number.</text>
  </threadedComment>
  <threadedComment ref="N259" dT="2021-08-06T15:23:20.84" personId="{699E7F08-CA67-4B82-900B-1678E708905A}" id="{9A6E99A1-FB2D-4E63-A34B-A0893D071395}">
    <text>Cost based on labor for installing 6000 feet of 8" pipe. and schedule based on 4 man crew for the same. Numbers are based on RS Means Adjusted for current conditions.</text>
  </threadedComment>
  <threadedComment ref="P259" dT="2021-08-06T21:48:11.27" personId="{699E7F08-CA67-4B82-900B-1678E708905A}" id="{37BAA59B-03CC-4E0B-87D3-070FDD8D52C3}">
    <text>Cost based on labor for installing 6000 feet of 8" pipe. and schedule based on 4 man crew for the same. Numbers are based on RS Means Adjusted for current conditions.</text>
  </threadedComment>
  <threadedComment ref="N266" dT="2021-08-06T15:17:08.02" personId="{699E7F08-CA67-4B82-900B-1678E708905A}" id="{F1E0CF95-8A14-4552-BFD3-D25172379201}">
    <text>Cost estimate is based on installing one set of DI system and cooling tower. The estimate of the DI and cooling tower cost at 4 O Clock location.</text>
  </threadedComment>
  <threadedComment ref="P266" dT="2021-08-06T21:50:20.98" personId="{699E7F08-CA67-4B82-900B-1678E708905A}" id="{9DEF63A9-FFFF-4D2A-A138-A5814D82E92F}">
    <text>based on 6 months engineering and 6 months construciton</text>
  </threadedComment>
</ThreadedComment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7/10/relationships/threadedComment" Target="../threadedComments/threadedComment1.xml"/><Relationship Id="rId2" Type="http://schemas.openxmlformats.org/officeDocument/2006/relationships/hyperlink" Target="https://brookhavenlab.sharepoint.com/:b:/r/sites/DOEOfficeofProjectAssessmentCD-3ALongLead-Procurement/Project%20Documents/Accelerator%20(SC1,%20SC2,%20SC3)/Review%20Closeouts%20-%20Strong%20Hadron%20Cooling%20Reviews/EIC-HDR-PLN-019-The%20Roadmap%20of%20Electron%20Cooler%20for%20EIC_update_Oct2023_final.pdf?csf=1&amp;web=1&amp;e=oRLNfj" TargetMode="External"/><Relationship Id="rId1" Type="http://schemas.openxmlformats.org/officeDocument/2006/relationships/hyperlink" Target="https://www.statista.com/statistics/527845/warehouse-primary-rent-cost-logistics-market-netherlands-europe/Assume%20Rotterdam,%2073%20Euro/sq.meter%20x%20250%20sq.meter%20-%20monthly%20rateExchange%20rate%20from%20Google%20is%201.06%20USD%20=%201%20Euro%20(date%20-%2010/25/2023)"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P2"/>
  <sheetViews>
    <sheetView workbookViewId="0"/>
  </sheetViews>
  <sheetFormatPr baseColWidth="10" defaultColWidth="8.83203125" defaultRowHeight="15" x14ac:dyDescent="0.2"/>
  <sheetData>
    <row r="2" spans="16:16" x14ac:dyDescent="0.2">
      <c r="P2" t="e">
        <f ca="1">CB.RecalcCounterFN()</f>
        <v>#NAME?</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B6838-6FEA-456D-90D6-9CEE01B694D7}">
  <sheetPr codeName="Sheet10"/>
  <dimension ref="A1:C6"/>
  <sheetViews>
    <sheetView workbookViewId="0">
      <selection activeCell="C10" sqref="C10"/>
    </sheetView>
  </sheetViews>
  <sheetFormatPr baseColWidth="10" defaultColWidth="9.1640625" defaultRowHeight="15" x14ac:dyDescent="0.2"/>
  <cols>
    <col min="1" max="1" width="18.33203125" customWidth="1"/>
    <col min="2" max="2" width="18.1640625" customWidth="1"/>
    <col min="3" max="3" width="49.5" customWidth="1"/>
  </cols>
  <sheetData>
    <row r="1" spans="1:3" ht="16" x14ac:dyDescent="0.2">
      <c r="A1" s="251" t="s">
        <v>50</v>
      </c>
      <c r="B1" s="251" t="s">
        <v>56</v>
      </c>
      <c r="C1" s="252" t="s">
        <v>2058</v>
      </c>
    </row>
    <row r="2" spans="1:3" ht="80" x14ac:dyDescent="0.2">
      <c r="A2" s="97">
        <v>207</v>
      </c>
      <c r="B2" s="98" t="s">
        <v>2059</v>
      </c>
      <c r="C2" s="95" t="s">
        <v>1614</v>
      </c>
    </row>
    <row r="3" spans="1:3" ht="80" x14ac:dyDescent="0.2">
      <c r="A3" s="97">
        <v>208</v>
      </c>
      <c r="B3" s="98" t="s">
        <v>2060</v>
      </c>
      <c r="C3" s="95" t="s">
        <v>1614</v>
      </c>
    </row>
    <row r="4" spans="1:3" ht="34" x14ac:dyDescent="0.2">
      <c r="A4" s="97">
        <v>212</v>
      </c>
      <c r="B4" s="98" t="s">
        <v>1768</v>
      </c>
      <c r="C4" s="253" t="s">
        <v>1605</v>
      </c>
    </row>
    <row r="5" spans="1:3" ht="34" x14ac:dyDescent="0.2">
      <c r="A5" s="97">
        <v>213</v>
      </c>
      <c r="B5" s="98" t="s">
        <v>1600</v>
      </c>
      <c r="C5" s="253" t="s">
        <v>1605</v>
      </c>
    </row>
    <row r="6" spans="1:3" ht="34" x14ac:dyDescent="0.2">
      <c r="A6" s="97">
        <v>214</v>
      </c>
      <c r="B6" s="98" t="s">
        <v>1623</v>
      </c>
      <c r="C6" s="253" t="s">
        <v>1627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81CE4-1E4F-4D06-B333-DAAF6CCDB4A3}">
  <sheetPr codeName="Sheet11">
    <pageSetUpPr fitToPage="1"/>
  </sheetPr>
  <dimension ref="A1:G90"/>
  <sheetViews>
    <sheetView topLeftCell="A68" zoomScale="64" zoomScaleNormal="64" workbookViewId="0">
      <selection activeCell="D82" sqref="D82"/>
    </sheetView>
  </sheetViews>
  <sheetFormatPr baseColWidth="10" defaultColWidth="8.83203125" defaultRowHeight="15" x14ac:dyDescent="0.2"/>
  <cols>
    <col min="2" max="2" width="25.83203125" customWidth="1"/>
    <col min="3" max="3" width="45.33203125" style="250" customWidth="1"/>
    <col min="4" max="4" width="83.33203125" customWidth="1"/>
    <col min="6" max="6" width="10.1640625" customWidth="1"/>
    <col min="7" max="7" width="16" customWidth="1"/>
  </cols>
  <sheetData>
    <row r="1" spans="1:7" ht="16" x14ac:dyDescent="0.2">
      <c r="A1" s="3" t="s">
        <v>2061</v>
      </c>
      <c r="B1" s="3" t="s">
        <v>1965</v>
      </c>
      <c r="C1" s="237" t="s">
        <v>2062</v>
      </c>
      <c r="D1" s="3" t="s">
        <v>2063</v>
      </c>
      <c r="E1" s="3" t="s">
        <v>1942</v>
      </c>
      <c r="F1" s="3" t="s">
        <v>2064</v>
      </c>
      <c r="G1" s="3" t="s">
        <v>2065</v>
      </c>
    </row>
    <row r="2" spans="1:7" ht="125.25" customHeight="1" x14ac:dyDescent="0.2">
      <c r="A2" s="238">
        <v>3</v>
      </c>
      <c r="B2" s="238" t="s">
        <v>2066</v>
      </c>
      <c r="C2" s="239" t="s">
        <v>2067</v>
      </c>
      <c r="D2" s="239" t="s">
        <v>201</v>
      </c>
      <c r="E2" s="241"/>
      <c r="F2" s="241"/>
      <c r="G2" s="241"/>
    </row>
    <row r="3" spans="1:7" ht="16" x14ac:dyDescent="0.2">
      <c r="A3" s="238"/>
      <c r="B3" s="238"/>
      <c r="C3" s="239" t="s">
        <v>2068</v>
      </c>
      <c r="D3" s="241" t="s">
        <v>2069</v>
      </c>
      <c r="E3" s="241"/>
      <c r="F3" s="241"/>
      <c r="G3" s="241"/>
    </row>
    <row r="4" spans="1:7" ht="32" x14ac:dyDescent="0.2">
      <c r="A4" s="238"/>
      <c r="B4" s="238"/>
      <c r="C4" s="239" t="s">
        <v>2070</v>
      </c>
      <c r="D4" s="241" t="s">
        <v>2071</v>
      </c>
      <c r="E4" s="241">
        <f>(2.2*3)+2</f>
        <v>8.6000000000000014</v>
      </c>
      <c r="F4" s="242" t="s">
        <v>2072</v>
      </c>
      <c r="G4" s="241" t="s">
        <v>2073</v>
      </c>
    </row>
    <row r="5" spans="1:7" ht="16" x14ac:dyDescent="0.2">
      <c r="A5" s="238"/>
      <c r="B5" s="238"/>
      <c r="C5" s="239" t="s">
        <v>2074</v>
      </c>
      <c r="D5" s="241" t="s">
        <v>2075</v>
      </c>
      <c r="E5" s="241">
        <f>(2.2*6)+5</f>
        <v>18.200000000000003</v>
      </c>
      <c r="F5" s="241" t="s">
        <v>2076</v>
      </c>
      <c r="G5" s="241" t="s">
        <v>2077</v>
      </c>
    </row>
    <row r="6" spans="1:7" x14ac:dyDescent="0.2">
      <c r="A6" s="238"/>
      <c r="B6" s="238"/>
      <c r="C6" s="239"/>
      <c r="D6" s="241" t="s">
        <v>2078</v>
      </c>
      <c r="E6" s="241">
        <f>(2.2*9)+8</f>
        <v>27.8</v>
      </c>
      <c r="F6" s="242" t="s">
        <v>2079</v>
      </c>
      <c r="G6" s="241" t="s">
        <v>2080</v>
      </c>
    </row>
    <row r="7" spans="1:7" ht="40.5" customHeight="1" x14ac:dyDescent="0.2">
      <c r="A7" s="97">
        <v>116</v>
      </c>
      <c r="B7" s="97" t="s">
        <v>2081</v>
      </c>
      <c r="C7" s="95" t="s">
        <v>2082</v>
      </c>
      <c r="D7" s="243" t="s">
        <v>2083</v>
      </c>
      <c r="E7" s="244">
        <v>0.1</v>
      </c>
      <c r="F7" s="245"/>
      <c r="G7" s="243" t="s">
        <v>2073</v>
      </c>
    </row>
    <row r="8" spans="1:7" x14ac:dyDescent="0.2">
      <c r="A8" s="97"/>
      <c r="B8" s="97"/>
      <c r="C8" s="95"/>
      <c r="D8" s="243"/>
      <c r="E8" s="244">
        <v>0.2</v>
      </c>
      <c r="F8" s="245"/>
      <c r="G8" s="243" t="s">
        <v>2077</v>
      </c>
    </row>
    <row r="9" spans="1:7" x14ac:dyDescent="0.2">
      <c r="A9" s="97"/>
      <c r="B9" s="97"/>
      <c r="C9" s="95"/>
      <c r="D9" s="243"/>
      <c r="E9" s="244">
        <v>0.3</v>
      </c>
      <c r="F9" s="245"/>
      <c r="G9" s="243" t="s">
        <v>2080</v>
      </c>
    </row>
    <row r="10" spans="1:7" ht="64" x14ac:dyDescent="0.2">
      <c r="A10" s="238">
        <v>4</v>
      </c>
      <c r="B10" s="238" t="s">
        <v>2084</v>
      </c>
      <c r="C10" s="246" t="s">
        <v>2085</v>
      </c>
      <c r="D10" s="240" t="s">
        <v>2086</v>
      </c>
      <c r="E10" s="241" t="s">
        <v>2087</v>
      </c>
      <c r="F10" s="241">
        <v>6</v>
      </c>
      <c r="G10" s="241" t="s">
        <v>2073</v>
      </c>
    </row>
    <row r="11" spans="1:7" x14ac:dyDescent="0.2">
      <c r="A11" s="238"/>
      <c r="B11" s="238"/>
      <c r="C11" s="239"/>
      <c r="D11" s="241"/>
      <c r="E11" s="241"/>
      <c r="F11" s="241">
        <v>12</v>
      </c>
      <c r="G11" s="241" t="s">
        <v>2077</v>
      </c>
    </row>
    <row r="12" spans="1:7" x14ac:dyDescent="0.2">
      <c r="A12" s="238"/>
      <c r="B12" s="238"/>
      <c r="C12" s="239"/>
      <c r="D12" s="241"/>
      <c r="E12" s="241"/>
      <c r="F12" s="241">
        <v>24</v>
      </c>
      <c r="G12" s="241" t="s">
        <v>2080</v>
      </c>
    </row>
    <row r="13" spans="1:7" ht="16" x14ac:dyDescent="0.2">
      <c r="A13" s="97">
        <v>9</v>
      </c>
      <c r="B13" s="97" t="s">
        <v>2088</v>
      </c>
      <c r="C13" s="95" t="s">
        <v>2089</v>
      </c>
      <c r="D13" s="243" t="s">
        <v>2090</v>
      </c>
      <c r="E13" s="243"/>
      <c r="F13" s="243">
        <v>3</v>
      </c>
      <c r="G13" s="243" t="s">
        <v>2073</v>
      </c>
    </row>
    <row r="14" spans="1:7" ht="16" x14ac:dyDescent="0.2">
      <c r="A14" s="97"/>
      <c r="B14" s="97"/>
      <c r="C14" s="95" t="s">
        <v>2091</v>
      </c>
      <c r="D14" s="243" t="s">
        <v>2092</v>
      </c>
      <c r="E14" s="243"/>
      <c r="F14" s="243">
        <v>6</v>
      </c>
      <c r="G14" s="243" t="s">
        <v>2077</v>
      </c>
    </row>
    <row r="15" spans="1:7" ht="16" x14ac:dyDescent="0.2">
      <c r="A15" s="97"/>
      <c r="B15" s="97"/>
      <c r="C15" s="95" t="s">
        <v>2093</v>
      </c>
      <c r="D15" s="243" t="s">
        <v>2094</v>
      </c>
      <c r="E15" s="243"/>
      <c r="F15" s="243">
        <v>12</v>
      </c>
      <c r="G15" s="243" t="s">
        <v>2080</v>
      </c>
    </row>
    <row r="16" spans="1:7" ht="16" x14ac:dyDescent="0.2">
      <c r="A16" s="97"/>
      <c r="B16" s="97"/>
      <c r="C16" s="95" t="s">
        <v>2095</v>
      </c>
      <c r="D16" s="243"/>
      <c r="E16" s="243"/>
      <c r="F16" s="243"/>
      <c r="G16" s="243"/>
    </row>
    <row r="17" spans="1:7" ht="32" x14ac:dyDescent="0.2">
      <c r="A17" s="238">
        <v>159</v>
      </c>
      <c r="B17" s="238" t="s">
        <v>2096</v>
      </c>
      <c r="C17" s="239" t="s">
        <v>2097</v>
      </c>
      <c r="D17" s="240" t="s">
        <v>2098</v>
      </c>
      <c r="E17" s="241"/>
      <c r="F17" s="241"/>
      <c r="G17" s="241"/>
    </row>
    <row r="18" spans="1:7" ht="16" x14ac:dyDescent="0.2">
      <c r="A18" s="238"/>
      <c r="B18" s="238"/>
      <c r="C18" s="239" t="s">
        <v>2099</v>
      </c>
      <c r="D18" s="241"/>
      <c r="E18" s="247">
        <v>0.01</v>
      </c>
      <c r="F18" s="241"/>
      <c r="G18" s="241" t="s">
        <v>2073</v>
      </c>
    </row>
    <row r="19" spans="1:7" ht="16" x14ac:dyDescent="0.2">
      <c r="A19" s="238"/>
      <c r="B19" s="238"/>
      <c r="C19" s="239" t="s">
        <v>2100</v>
      </c>
      <c r="D19" s="241"/>
      <c r="E19" s="247">
        <v>0.02</v>
      </c>
      <c r="F19" s="241"/>
      <c r="G19" s="241" t="s">
        <v>2077</v>
      </c>
    </row>
    <row r="20" spans="1:7" ht="16" x14ac:dyDescent="0.2">
      <c r="A20" s="238"/>
      <c r="B20" s="238"/>
      <c r="C20" s="239" t="s">
        <v>2101</v>
      </c>
      <c r="D20" s="241"/>
      <c r="E20" s="247">
        <v>0.03</v>
      </c>
      <c r="F20" s="241"/>
      <c r="G20" s="241" t="s">
        <v>2080</v>
      </c>
    </row>
    <row r="21" spans="1:7" ht="16" x14ac:dyDescent="0.2">
      <c r="A21" s="97">
        <v>160</v>
      </c>
      <c r="B21" s="97" t="s">
        <v>2102</v>
      </c>
      <c r="C21" s="95" t="s">
        <v>2095</v>
      </c>
      <c r="D21" s="243" t="s">
        <v>2103</v>
      </c>
      <c r="E21" s="248">
        <f>177.5-(177.5/1.6)</f>
        <v>66.5625</v>
      </c>
      <c r="F21" s="243"/>
      <c r="G21" s="243" t="s">
        <v>2073</v>
      </c>
    </row>
    <row r="22" spans="1:7" ht="20.25" customHeight="1" x14ac:dyDescent="0.2">
      <c r="A22" s="97"/>
      <c r="B22" s="97"/>
      <c r="C22" s="95" t="s">
        <v>2104</v>
      </c>
      <c r="D22" s="243" t="s">
        <v>2105</v>
      </c>
      <c r="E22" s="248">
        <f>177.5-(177.5/1.754)</f>
        <v>76.302736602052448</v>
      </c>
      <c r="F22" s="243"/>
      <c r="G22" s="243" t="s">
        <v>2077</v>
      </c>
    </row>
    <row r="23" spans="1:7" ht="16" x14ac:dyDescent="0.2">
      <c r="A23" s="97"/>
      <c r="B23" s="97"/>
      <c r="C23" s="95" t="s">
        <v>2106</v>
      </c>
      <c r="D23" s="243" t="s">
        <v>2107</v>
      </c>
      <c r="E23" s="248">
        <f>177.5-(177.5/1.8)</f>
        <v>78.888888888888886</v>
      </c>
      <c r="F23" s="243"/>
      <c r="G23" s="243" t="s">
        <v>2080</v>
      </c>
    </row>
    <row r="24" spans="1:7" ht="16" x14ac:dyDescent="0.2">
      <c r="A24" s="97"/>
      <c r="B24" s="97"/>
      <c r="C24" s="95" t="s">
        <v>2108</v>
      </c>
      <c r="D24" s="243"/>
      <c r="E24" s="243"/>
      <c r="F24" s="243"/>
      <c r="G24" s="243"/>
    </row>
    <row r="25" spans="1:7" x14ac:dyDescent="0.2">
      <c r="A25" s="97"/>
      <c r="B25" s="97"/>
      <c r="C25" s="95"/>
      <c r="D25" s="243"/>
      <c r="E25" s="243"/>
      <c r="F25" s="243"/>
      <c r="G25" s="243"/>
    </row>
    <row r="26" spans="1:7" x14ac:dyDescent="0.2">
      <c r="A26" s="97"/>
      <c r="B26" s="97"/>
      <c r="C26" s="95"/>
      <c r="D26" s="243"/>
      <c r="E26" s="243"/>
      <c r="F26" s="243"/>
      <c r="G26" s="243"/>
    </row>
    <row r="27" spans="1:7" x14ac:dyDescent="0.2">
      <c r="A27" s="97"/>
      <c r="B27" s="97"/>
      <c r="C27" s="95"/>
      <c r="D27" s="243"/>
      <c r="E27" s="243"/>
      <c r="F27" s="243"/>
      <c r="G27" s="243"/>
    </row>
    <row r="28" spans="1:7" x14ac:dyDescent="0.2">
      <c r="A28" s="97"/>
      <c r="B28" s="97"/>
      <c r="C28" s="95"/>
      <c r="D28" s="243"/>
      <c r="E28" s="243"/>
      <c r="F28" s="243"/>
      <c r="G28" s="243"/>
    </row>
    <row r="29" spans="1:7" x14ac:dyDescent="0.2">
      <c r="A29" s="97"/>
      <c r="B29" s="97"/>
      <c r="C29" s="95"/>
      <c r="D29" s="243"/>
      <c r="E29" s="243"/>
      <c r="F29" s="243"/>
      <c r="G29" s="243"/>
    </row>
    <row r="30" spans="1:7" x14ac:dyDescent="0.2">
      <c r="A30" s="97"/>
      <c r="B30" s="97"/>
      <c r="C30" s="95"/>
      <c r="D30" s="243"/>
      <c r="E30" s="243"/>
      <c r="F30" s="243"/>
      <c r="G30" s="243"/>
    </row>
    <row r="31" spans="1:7" x14ac:dyDescent="0.2">
      <c r="A31" s="97"/>
      <c r="B31" s="97"/>
      <c r="C31" s="95"/>
      <c r="D31" s="243"/>
      <c r="E31" s="243"/>
      <c r="F31" s="243"/>
      <c r="G31" s="243"/>
    </row>
    <row r="32" spans="1:7" x14ac:dyDescent="0.2">
      <c r="A32" s="97"/>
      <c r="B32" s="97"/>
      <c r="C32" s="95"/>
      <c r="D32" s="243"/>
      <c r="E32" s="243"/>
      <c r="F32" s="243"/>
      <c r="G32" s="243"/>
    </row>
    <row r="33" spans="1:7" x14ac:dyDescent="0.2">
      <c r="A33" s="97"/>
      <c r="B33" s="97"/>
      <c r="C33" s="95"/>
      <c r="D33" s="243"/>
      <c r="E33" s="243"/>
      <c r="F33" s="243"/>
      <c r="G33" s="243"/>
    </row>
    <row r="34" spans="1:7" x14ac:dyDescent="0.2">
      <c r="A34" s="97"/>
      <c r="B34" s="97"/>
      <c r="C34" s="95"/>
      <c r="D34" s="243"/>
      <c r="E34" s="243"/>
      <c r="F34" s="243"/>
      <c r="G34" s="243"/>
    </row>
    <row r="35" spans="1:7" x14ac:dyDescent="0.2">
      <c r="A35" s="97"/>
      <c r="B35" s="97"/>
      <c r="C35" s="95"/>
      <c r="D35" s="243"/>
      <c r="E35" s="243"/>
      <c r="F35" s="243"/>
      <c r="G35" s="243"/>
    </row>
    <row r="36" spans="1:7" x14ac:dyDescent="0.2">
      <c r="A36" s="97"/>
      <c r="B36" s="97"/>
      <c r="C36" s="95"/>
      <c r="D36" s="243"/>
      <c r="E36" s="243"/>
      <c r="F36" s="243"/>
      <c r="G36" s="243"/>
    </row>
    <row r="37" spans="1:7" x14ac:dyDescent="0.2">
      <c r="A37" s="97"/>
      <c r="B37" s="97"/>
      <c r="C37" s="95"/>
      <c r="D37" s="243"/>
      <c r="E37" s="243"/>
      <c r="F37" s="243"/>
      <c r="G37" s="243"/>
    </row>
    <row r="38" spans="1:7" x14ac:dyDescent="0.2">
      <c r="A38" s="97"/>
      <c r="B38" s="97"/>
      <c r="C38" s="95"/>
      <c r="D38" s="243"/>
      <c r="E38" s="243"/>
      <c r="F38" s="243"/>
      <c r="G38" s="243"/>
    </row>
    <row r="39" spans="1:7" x14ac:dyDescent="0.2">
      <c r="A39" s="97"/>
      <c r="B39" s="97"/>
      <c r="C39" s="95"/>
      <c r="D39" s="243"/>
      <c r="E39" s="243"/>
      <c r="F39" s="243"/>
      <c r="G39" s="243"/>
    </row>
    <row r="40" spans="1:7" ht="16" x14ac:dyDescent="0.2">
      <c r="A40" s="238">
        <v>175</v>
      </c>
      <c r="B40" s="238" t="s">
        <v>2109</v>
      </c>
      <c r="C40" s="239" t="s">
        <v>2110</v>
      </c>
      <c r="D40" s="241"/>
      <c r="E40" s="241"/>
      <c r="F40" s="241"/>
      <c r="G40" s="241"/>
    </row>
    <row r="41" spans="1:7" ht="16" x14ac:dyDescent="0.2">
      <c r="A41" s="238"/>
      <c r="B41" s="238"/>
      <c r="C41" s="239" t="s">
        <v>2111</v>
      </c>
      <c r="D41" s="241" t="s">
        <v>2112</v>
      </c>
      <c r="E41" s="241">
        <f>50 -(3/0.05)</f>
        <v>-10</v>
      </c>
      <c r="F41" s="241"/>
      <c r="G41" s="241" t="s">
        <v>2073</v>
      </c>
    </row>
    <row r="42" spans="1:7" x14ac:dyDescent="0.2">
      <c r="A42" s="238"/>
      <c r="B42" s="238"/>
      <c r="C42" s="239"/>
      <c r="D42" s="241"/>
      <c r="E42" s="241">
        <f>50-(4/0.05)</f>
        <v>-30</v>
      </c>
      <c r="F42" s="241"/>
      <c r="G42" s="241" t="s">
        <v>2077</v>
      </c>
    </row>
    <row r="43" spans="1:7" x14ac:dyDescent="0.2">
      <c r="A43" s="238"/>
      <c r="B43" s="238"/>
      <c r="C43" s="239"/>
      <c r="D43" s="241"/>
      <c r="E43" s="241">
        <f>50-(5/0.05)</f>
        <v>-50</v>
      </c>
      <c r="F43" s="241"/>
      <c r="G43" s="241" t="s">
        <v>2080</v>
      </c>
    </row>
    <row r="44" spans="1:7" ht="16" x14ac:dyDescent="0.2">
      <c r="A44" s="238"/>
      <c r="B44" s="238"/>
      <c r="C44" s="239" t="s">
        <v>2113</v>
      </c>
      <c r="D44" s="241" t="s">
        <v>2114</v>
      </c>
      <c r="E44" s="249">
        <f>100-(35/0.3)</f>
        <v>-16.666666666666671</v>
      </c>
      <c r="F44" s="241"/>
      <c r="G44" s="241" t="s">
        <v>2073</v>
      </c>
    </row>
    <row r="45" spans="1:7" x14ac:dyDescent="0.2">
      <c r="A45" s="238"/>
      <c r="B45" s="238"/>
      <c r="C45" s="239"/>
      <c r="D45" s="241"/>
      <c r="E45" s="249">
        <f>100-(40/0.3)</f>
        <v>-33.333333333333343</v>
      </c>
      <c r="F45" s="241"/>
      <c r="G45" s="241" t="s">
        <v>2077</v>
      </c>
    </row>
    <row r="46" spans="1:7" x14ac:dyDescent="0.2">
      <c r="A46" s="238"/>
      <c r="B46" s="238"/>
      <c r="C46" s="239"/>
      <c r="D46" s="241"/>
      <c r="E46" s="249">
        <f>100-(45/0.3)</f>
        <v>-50</v>
      </c>
      <c r="F46" s="241"/>
      <c r="G46" s="241" t="s">
        <v>2080</v>
      </c>
    </row>
    <row r="47" spans="1:7" x14ac:dyDescent="0.2">
      <c r="A47" s="238"/>
      <c r="B47" s="238"/>
      <c r="C47" s="239"/>
      <c r="D47" s="241"/>
      <c r="E47" s="249"/>
      <c r="F47" s="241"/>
      <c r="G47" s="241"/>
    </row>
    <row r="48" spans="1:7" x14ac:dyDescent="0.2">
      <c r="A48" s="238"/>
      <c r="B48" s="238"/>
      <c r="C48" s="239"/>
      <c r="D48" s="241"/>
      <c r="E48" s="249"/>
      <c r="F48" s="241"/>
      <c r="G48" s="241"/>
    </row>
    <row r="49" spans="1:7" x14ac:dyDescent="0.2">
      <c r="A49" s="238"/>
      <c r="B49" s="238"/>
      <c r="C49" s="239"/>
      <c r="D49" s="241" t="s">
        <v>2115</v>
      </c>
      <c r="E49" s="249">
        <f>+E44+E41</f>
        <v>-26.666666666666671</v>
      </c>
      <c r="F49" s="241"/>
      <c r="G49" s="241" t="s">
        <v>2073</v>
      </c>
    </row>
    <row r="50" spans="1:7" x14ac:dyDescent="0.2">
      <c r="A50" s="238"/>
      <c r="B50" s="238"/>
      <c r="C50" s="239"/>
      <c r="D50" s="241"/>
      <c r="E50" s="249">
        <f>+E42+E45</f>
        <v>-63.333333333333343</v>
      </c>
      <c r="F50" s="241"/>
      <c r="G50" s="241" t="s">
        <v>2077</v>
      </c>
    </row>
    <row r="51" spans="1:7" x14ac:dyDescent="0.2">
      <c r="A51" s="238"/>
      <c r="B51" s="238"/>
      <c r="C51" s="239"/>
      <c r="D51" s="241"/>
      <c r="E51" s="249">
        <f>+E43+E46</f>
        <v>-100</v>
      </c>
      <c r="F51" s="241"/>
      <c r="G51" s="241" t="s">
        <v>2080</v>
      </c>
    </row>
    <row r="52" spans="1:7" ht="16" x14ac:dyDescent="0.2">
      <c r="A52" s="97">
        <v>176</v>
      </c>
      <c r="B52" s="97" t="s">
        <v>2116</v>
      </c>
      <c r="C52" s="95" t="s">
        <v>2117</v>
      </c>
      <c r="D52" s="243"/>
      <c r="E52" s="244">
        <f>-E17</f>
        <v>0</v>
      </c>
      <c r="F52" s="243"/>
      <c r="G52" s="243" t="s">
        <v>2073</v>
      </c>
    </row>
    <row r="53" spans="1:7" x14ac:dyDescent="0.2">
      <c r="A53" s="97"/>
      <c r="B53" s="97"/>
      <c r="C53" s="95"/>
      <c r="D53" s="243"/>
      <c r="E53" s="244">
        <f>-E18</f>
        <v>-0.01</v>
      </c>
      <c r="F53" s="243"/>
      <c r="G53" s="243" t="s">
        <v>2077</v>
      </c>
    </row>
    <row r="54" spans="1:7" x14ac:dyDescent="0.2">
      <c r="A54" s="97"/>
      <c r="B54" s="97"/>
      <c r="C54" s="95"/>
      <c r="D54" s="243"/>
      <c r="E54" s="244">
        <f>-E19</f>
        <v>-0.02</v>
      </c>
      <c r="F54" s="243"/>
      <c r="G54" s="243" t="s">
        <v>2080</v>
      </c>
    </row>
    <row r="55" spans="1:7" ht="64" x14ac:dyDescent="0.2">
      <c r="A55" s="238">
        <v>10</v>
      </c>
      <c r="B55" s="238" t="s">
        <v>261</v>
      </c>
      <c r="C55" s="239" t="s">
        <v>2118</v>
      </c>
      <c r="D55" s="240" t="s">
        <v>2119</v>
      </c>
      <c r="E55" s="247" t="s">
        <v>2120</v>
      </c>
      <c r="F55" s="241" t="s">
        <v>2072</v>
      </c>
      <c r="G55" s="241" t="s">
        <v>2073</v>
      </c>
    </row>
    <row r="56" spans="1:7" x14ac:dyDescent="0.2">
      <c r="A56" s="238"/>
      <c r="B56" s="238"/>
      <c r="C56" s="239"/>
      <c r="D56" s="240"/>
      <c r="E56" s="247" t="s">
        <v>2121</v>
      </c>
      <c r="F56" s="241" t="s">
        <v>2076</v>
      </c>
      <c r="G56" s="241" t="s">
        <v>2077</v>
      </c>
    </row>
    <row r="57" spans="1:7" x14ac:dyDescent="0.2">
      <c r="A57" s="238"/>
      <c r="B57" s="238"/>
      <c r="C57" s="239"/>
      <c r="D57" s="240"/>
      <c r="E57" s="247" t="s">
        <v>2122</v>
      </c>
      <c r="F57" s="241" t="s">
        <v>2079</v>
      </c>
      <c r="G57" s="241" t="s">
        <v>2080</v>
      </c>
    </row>
    <row r="58" spans="1:7" ht="48" x14ac:dyDescent="0.2">
      <c r="A58" s="97" t="s">
        <v>211</v>
      </c>
      <c r="B58" s="97" t="s">
        <v>204</v>
      </c>
      <c r="C58" s="95" t="s">
        <v>2123</v>
      </c>
      <c r="D58" s="5" t="s">
        <v>2124</v>
      </c>
      <c r="E58" s="244"/>
      <c r="F58" s="243"/>
      <c r="G58" s="243"/>
    </row>
    <row r="59" spans="1:7" ht="48" x14ac:dyDescent="0.2">
      <c r="A59" s="238" t="s">
        <v>275</v>
      </c>
      <c r="B59" s="238" t="s">
        <v>2125</v>
      </c>
      <c r="C59" s="239" t="s">
        <v>2126</v>
      </c>
      <c r="D59" s="240" t="s">
        <v>272</v>
      </c>
      <c r="E59" s="241">
        <v>0</v>
      </c>
      <c r="F59" s="241"/>
      <c r="G59" s="241" t="s">
        <v>2073</v>
      </c>
    </row>
    <row r="60" spans="1:7" x14ac:dyDescent="0.2">
      <c r="A60" s="238"/>
      <c r="B60" s="238"/>
      <c r="C60" s="239"/>
      <c r="D60" s="240"/>
      <c r="E60" s="241" t="s">
        <v>2127</v>
      </c>
      <c r="F60" s="241"/>
      <c r="G60" s="241" t="s">
        <v>2077</v>
      </c>
    </row>
    <row r="61" spans="1:7" x14ac:dyDescent="0.2">
      <c r="A61" s="238"/>
      <c r="B61" s="238"/>
      <c r="C61" s="239"/>
      <c r="D61" s="240"/>
      <c r="E61" s="241" t="s">
        <v>2128</v>
      </c>
      <c r="F61" s="241"/>
      <c r="G61" s="241" t="s">
        <v>2080</v>
      </c>
    </row>
    <row r="62" spans="1:7" ht="32" x14ac:dyDescent="0.2">
      <c r="A62" s="97">
        <v>1</v>
      </c>
      <c r="B62" s="97" t="s">
        <v>2129</v>
      </c>
      <c r="C62" s="95" t="s">
        <v>2130</v>
      </c>
      <c r="D62" s="291" t="s">
        <v>2131</v>
      </c>
      <c r="E62" s="243"/>
      <c r="F62" s="243" t="s">
        <v>2072</v>
      </c>
      <c r="G62" s="243" t="s">
        <v>2073</v>
      </c>
    </row>
    <row r="63" spans="1:7" x14ac:dyDescent="0.2">
      <c r="A63" s="97"/>
      <c r="B63" s="97"/>
      <c r="C63" s="95"/>
      <c r="D63" s="291"/>
      <c r="E63" s="243"/>
      <c r="F63" s="243" t="s">
        <v>2132</v>
      </c>
      <c r="G63" s="243" t="s">
        <v>2077</v>
      </c>
    </row>
    <row r="64" spans="1:7" x14ac:dyDescent="0.2">
      <c r="A64" s="97"/>
      <c r="B64" s="97"/>
      <c r="C64" s="95"/>
      <c r="D64" s="291"/>
      <c r="E64" s="243"/>
      <c r="F64" s="243" t="s">
        <v>2076</v>
      </c>
      <c r="G64" s="243" t="s">
        <v>2080</v>
      </c>
    </row>
    <row r="65" spans="1:7" x14ac:dyDescent="0.2">
      <c r="A65" s="238">
        <v>11</v>
      </c>
      <c r="B65" s="238" t="s">
        <v>2133</v>
      </c>
      <c r="C65" s="239"/>
      <c r="D65" s="241" t="s">
        <v>2134</v>
      </c>
      <c r="E65" s="241"/>
      <c r="F65" s="241"/>
      <c r="G65" s="241"/>
    </row>
    <row r="66" spans="1:7" ht="64" x14ac:dyDescent="0.2">
      <c r="A66" s="97">
        <v>123</v>
      </c>
      <c r="B66" s="93" t="s">
        <v>2135</v>
      </c>
      <c r="C66" s="95" t="s">
        <v>2136</v>
      </c>
      <c r="D66" s="291" t="s">
        <v>2137</v>
      </c>
      <c r="E66" s="243"/>
      <c r="F66" s="243">
        <v>3</v>
      </c>
      <c r="G66" s="243" t="s">
        <v>2073</v>
      </c>
    </row>
    <row r="67" spans="1:7" x14ac:dyDescent="0.2">
      <c r="A67" s="97"/>
      <c r="B67" s="93"/>
      <c r="C67" s="95"/>
      <c r="D67" s="291"/>
      <c r="E67" s="243"/>
      <c r="F67" s="243">
        <v>6</v>
      </c>
      <c r="G67" s="243" t="s">
        <v>2077</v>
      </c>
    </row>
    <row r="68" spans="1:7" x14ac:dyDescent="0.2">
      <c r="A68" s="97"/>
      <c r="B68" s="93"/>
      <c r="C68" s="95"/>
      <c r="D68" s="291"/>
      <c r="E68" s="243"/>
      <c r="F68" s="243">
        <v>12</v>
      </c>
      <c r="G68" s="243" t="s">
        <v>2080</v>
      </c>
    </row>
    <row r="69" spans="1:7" ht="32" x14ac:dyDescent="0.2">
      <c r="A69" s="238">
        <v>167</v>
      </c>
      <c r="B69" s="238" t="s">
        <v>2138</v>
      </c>
      <c r="C69" s="239" t="s">
        <v>2139</v>
      </c>
      <c r="D69" s="240" t="s">
        <v>2140</v>
      </c>
      <c r="E69" s="241"/>
      <c r="F69" s="241">
        <v>3</v>
      </c>
      <c r="G69" s="241" t="s">
        <v>2073</v>
      </c>
    </row>
    <row r="70" spans="1:7" x14ac:dyDescent="0.2">
      <c r="A70" s="238"/>
      <c r="B70" s="238"/>
      <c r="C70" s="239"/>
      <c r="D70" s="240"/>
      <c r="E70" s="241"/>
      <c r="F70" s="241">
        <v>6</v>
      </c>
      <c r="G70" s="241" t="s">
        <v>2077</v>
      </c>
    </row>
    <row r="71" spans="1:7" x14ac:dyDescent="0.2">
      <c r="A71" s="238"/>
      <c r="B71" s="238"/>
      <c r="C71" s="239"/>
      <c r="D71" s="240"/>
      <c r="E71" s="241"/>
      <c r="F71" s="241">
        <v>9</v>
      </c>
      <c r="G71" s="241" t="s">
        <v>2080</v>
      </c>
    </row>
    <row r="72" spans="1:7" ht="16" x14ac:dyDescent="0.2">
      <c r="A72" s="97">
        <v>174</v>
      </c>
      <c r="B72" s="97" t="s">
        <v>2141</v>
      </c>
      <c r="C72" s="95" t="s">
        <v>2139</v>
      </c>
      <c r="D72" s="291" t="s">
        <v>2142</v>
      </c>
      <c r="E72" s="243"/>
      <c r="F72" s="243">
        <v>3</v>
      </c>
      <c r="G72" s="243"/>
    </row>
    <row r="73" spans="1:7" x14ac:dyDescent="0.2">
      <c r="A73" s="97"/>
      <c r="B73" s="97"/>
      <c r="C73" s="95"/>
      <c r="D73" s="291"/>
      <c r="E73" s="243"/>
      <c r="F73" s="243">
        <v>6</v>
      </c>
      <c r="G73" s="243"/>
    </row>
    <row r="74" spans="1:7" x14ac:dyDescent="0.2">
      <c r="A74" s="97"/>
      <c r="B74" s="97"/>
      <c r="C74" s="95"/>
      <c r="D74" s="243"/>
      <c r="E74" s="243"/>
      <c r="F74" s="243">
        <v>9</v>
      </c>
      <c r="G74" s="243"/>
    </row>
    <row r="75" spans="1:7" ht="56.25" customHeight="1" x14ac:dyDescent="0.2">
      <c r="A75" s="238">
        <v>177</v>
      </c>
      <c r="B75" s="238" t="s">
        <v>2143</v>
      </c>
      <c r="C75" s="239" t="s">
        <v>2144</v>
      </c>
      <c r="D75" s="240" t="s">
        <v>2145</v>
      </c>
      <c r="E75" s="241" t="s">
        <v>2127</v>
      </c>
      <c r="F75" s="241"/>
      <c r="G75" s="241" t="s">
        <v>2073</v>
      </c>
    </row>
    <row r="76" spans="1:7" ht="22.25" customHeight="1" x14ac:dyDescent="0.2">
      <c r="A76" s="238"/>
      <c r="B76" s="238"/>
      <c r="C76" s="239"/>
      <c r="D76" s="240"/>
      <c r="E76" s="241" t="s">
        <v>2128</v>
      </c>
      <c r="F76" s="241"/>
      <c r="G76" s="241" t="s">
        <v>2077</v>
      </c>
    </row>
    <row r="77" spans="1:7" ht="19.5" customHeight="1" x14ac:dyDescent="0.2">
      <c r="A77" s="238"/>
      <c r="B77" s="238"/>
      <c r="C77" s="239"/>
      <c r="D77" s="240"/>
      <c r="E77" s="241" t="s">
        <v>2146</v>
      </c>
      <c r="F77" s="241"/>
      <c r="G77" s="241" t="s">
        <v>2080</v>
      </c>
    </row>
    <row r="78" spans="1:7" ht="32" x14ac:dyDescent="0.2">
      <c r="A78" s="97">
        <v>178</v>
      </c>
      <c r="B78" s="97" t="s">
        <v>2147</v>
      </c>
      <c r="C78" s="95" t="s">
        <v>2144</v>
      </c>
      <c r="D78" s="243" t="s">
        <v>2148</v>
      </c>
      <c r="E78" s="243" t="s">
        <v>2127</v>
      </c>
      <c r="F78" s="243"/>
      <c r="G78" s="243" t="s">
        <v>2073</v>
      </c>
    </row>
    <row r="79" spans="1:7" x14ac:dyDescent="0.2">
      <c r="A79" s="97"/>
      <c r="B79" s="97"/>
      <c r="C79" s="95"/>
      <c r="D79" s="243"/>
      <c r="E79" s="243" t="s">
        <v>2128</v>
      </c>
      <c r="F79" s="243"/>
      <c r="G79" s="243" t="s">
        <v>2077</v>
      </c>
    </row>
    <row r="80" spans="1:7" x14ac:dyDescent="0.2">
      <c r="A80" s="97"/>
      <c r="B80" s="97"/>
      <c r="C80" s="95"/>
      <c r="D80" s="243"/>
      <c r="E80" s="243" t="s">
        <v>2146</v>
      </c>
      <c r="F80" s="243"/>
      <c r="G80" s="243" t="s">
        <v>2080</v>
      </c>
    </row>
    <row r="81" spans="1:7" ht="32" x14ac:dyDescent="0.2">
      <c r="A81" s="238" t="s">
        <v>253</v>
      </c>
      <c r="B81" s="292" t="s">
        <v>2149</v>
      </c>
      <c r="C81" s="239"/>
      <c r="D81" s="240" t="s">
        <v>2150</v>
      </c>
      <c r="E81" s="241"/>
      <c r="F81" s="241"/>
      <c r="G81" s="241"/>
    </row>
    <row r="82" spans="1:7" ht="32" x14ac:dyDescent="0.2">
      <c r="A82" s="97" t="s">
        <v>258</v>
      </c>
      <c r="B82" s="93" t="s">
        <v>2151</v>
      </c>
      <c r="C82" s="95"/>
      <c r="D82" s="291" t="s">
        <v>257</v>
      </c>
      <c r="E82" s="243" t="s">
        <v>2152</v>
      </c>
      <c r="F82" s="243"/>
      <c r="G82" s="243" t="s">
        <v>2073</v>
      </c>
    </row>
    <row r="83" spans="1:7" x14ac:dyDescent="0.2">
      <c r="A83" s="97"/>
      <c r="B83" s="93"/>
      <c r="C83" s="95"/>
      <c r="D83" s="291"/>
      <c r="E83" s="243" t="s">
        <v>2153</v>
      </c>
      <c r="F83" s="243"/>
      <c r="G83" s="243" t="s">
        <v>2077</v>
      </c>
    </row>
    <row r="84" spans="1:7" x14ac:dyDescent="0.2">
      <c r="A84" s="97"/>
      <c r="B84" s="93"/>
      <c r="C84" s="95"/>
      <c r="D84" s="291"/>
      <c r="E84" s="243" t="s">
        <v>2154</v>
      </c>
      <c r="F84" s="243"/>
      <c r="G84" s="243" t="s">
        <v>2080</v>
      </c>
    </row>
    <row r="85" spans="1:7" ht="48" x14ac:dyDescent="0.2">
      <c r="A85" s="238">
        <v>179</v>
      </c>
      <c r="B85" s="238" t="s">
        <v>2155</v>
      </c>
      <c r="C85" s="239"/>
      <c r="D85" s="240" t="s">
        <v>344</v>
      </c>
      <c r="E85" s="241" t="s">
        <v>2128</v>
      </c>
      <c r="F85" s="241">
        <v>3</v>
      </c>
      <c r="G85" s="241" t="s">
        <v>2073</v>
      </c>
    </row>
    <row r="86" spans="1:7" x14ac:dyDescent="0.2">
      <c r="A86" s="238"/>
      <c r="B86" s="238"/>
      <c r="C86" s="239"/>
      <c r="D86" s="240"/>
      <c r="E86" s="241" t="s">
        <v>2156</v>
      </c>
      <c r="F86" s="241">
        <v>6</v>
      </c>
      <c r="G86" s="241" t="s">
        <v>2077</v>
      </c>
    </row>
    <row r="87" spans="1:7" x14ac:dyDescent="0.2">
      <c r="A87" s="238"/>
      <c r="B87" s="238"/>
      <c r="C87" s="239"/>
      <c r="D87" s="240"/>
      <c r="E87" s="241" t="s">
        <v>2120</v>
      </c>
      <c r="F87" s="241">
        <v>12</v>
      </c>
      <c r="G87" s="241" t="s">
        <v>2080</v>
      </c>
    </row>
    <row r="88" spans="1:7" ht="48" x14ac:dyDescent="0.2">
      <c r="A88" s="243">
        <v>5</v>
      </c>
      <c r="B88" s="243" t="s">
        <v>2157</v>
      </c>
      <c r="C88" s="95" t="s">
        <v>2158</v>
      </c>
      <c r="D88" s="243" t="s">
        <v>2159</v>
      </c>
      <c r="E88" s="243"/>
      <c r="F88" s="243" t="s">
        <v>2160</v>
      </c>
      <c r="G88" s="243" t="s">
        <v>2077</v>
      </c>
    </row>
    <row r="89" spans="1:7" x14ac:dyDescent="0.2">
      <c r="A89" s="243"/>
      <c r="B89" s="243"/>
      <c r="C89" s="95"/>
      <c r="D89" s="243"/>
      <c r="E89" s="243"/>
      <c r="F89" s="243" t="s">
        <v>2160</v>
      </c>
      <c r="G89" s="243" t="s">
        <v>2073</v>
      </c>
    </row>
    <row r="90" spans="1:7" ht="32" x14ac:dyDescent="0.2">
      <c r="A90" s="243"/>
      <c r="B90" s="243"/>
      <c r="C90" s="95"/>
      <c r="D90" s="243"/>
      <c r="E90" s="243"/>
      <c r="F90" s="291" t="s">
        <v>2161</v>
      </c>
      <c r="G90" s="243" t="s">
        <v>2080</v>
      </c>
    </row>
  </sheetData>
  <pageMargins left="0.25" right="0.25" top="0.75" bottom="0.75" header="0.3" footer="0.3"/>
  <pageSetup scale="68" fitToHeight="4" orientation="landscape"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530D-6F95-4FCF-AD60-00DEB6971300}">
  <sheetPr codeName="Sheet12" filterMode="1"/>
  <dimension ref="A1:M639"/>
  <sheetViews>
    <sheetView zoomScaleNormal="100" workbookViewId="0">
      <pane ySplit="1" topLeftCell="A11" activePane="bottomLeft" state="frozen"/>
      <selection pane="bottomLeft" activeCell="F353" sqref="F353"/>
    </sheetView>
  </sheetViews>
  <sheetFormatPr baseColWidth="10" defaultColWidth="9.1640625" defaultRowHeight="15" x14ac:dyDescent="0.2"/>
  <cols>
    <col min="1" max="1" width="10.5" customWidth="1"/>
    <col min="2" max="2" width="15" bestFit="1" customWidth="1"/>
    <col min="3" max="3" width="14.83203125" bestFit="1" customWidth="1"/>
    <col min="4" max="4" width="13.6640625" bestFit="1" customWidth="1"/>
    <col min="5" max="5" width="11.6640625" bestFit="1" customWidth="1"/>
    <col min="6" max="6" width="92.1640625" customWidth="1"/>
    <col min="7" max="7" width="10.33203125" hidden="1" customWidth="1"/>
    <col min="8" max="8" width="20.1640625" style="366" bestFit="1" customWidth="1"/>
    <col min="9" max="9" width="7.33203125" hidden="1" customWidth="1"/>
    <col min="10" max="10" width="13.33203125" bestFit="1" customWidth="1"/>
    <col min="11" max="11" width="14.83203125" bestFit="1" customWidth="1"/>
    <col min="12" max="12" width="22.33203125" style="3" customWidth="1"/>
    <col min="13" max="13" width="59" bestFit="1" customWidth="1"/>
  </cols>
  <sheetData>
    <row r="1" spans="1:13" s="270" customFormat="1" ht="16" thickBot="1" x14ac:dyDescent="0.25">
      <c r="A1" s="685" t="s">
        <v>2162</v>
      </c>
      <c r="B1" s="685" t="s">
        <v>2163</v>
      </c>
      <c r="C1" s="685" t="s">
        <v>2164</v>
      </c>
      <c r="D1" s="685" t="s">
        <v>2165</v>
      </c>
      <c r="E1" s="687" t="s">
        <v>2166</v>
      </c>
      <c r="F1" s="685" t="s">
        <v>1987</v>
      </c>
      <c r="G1" s="685" t="s">
        <v>2167</v>
      </c>
      <c r="H1" s="686" t="s">
        <v>2168</v>
      </c>
      <c r="I1" s="685" t="s">
        <v>2169</v>
      </c>
      <c r="J1" s="685" t="s">
        <v>1989</v>
      </c>
      <c r="K1" s="685" t="s">
        <v>2170</v>
      </c>
      <c r="L1" s="684" t="s">
        <v>2171</v>
      </c>
    </row>
    <row r="2" spans="1:13" s="3" customFormat="1" ht="16" hidden="1" thickBot="1" x14ac:dyDescent="0.25">
      <c r="A2" s="402" t="s">
        <v>2172</v>
      </c>
      <c r="B2" s="399" t="s">
        <v>2173</v>
      </c>
      <c r="C2" s="399" t="s">
        <v>2174</v>
      </c>
      <c r="D2" s="399" t="s">
        <v>2175</v>
      </c>
      <c r="E2" s="401" t="s">
        <v>2176</v>
      </c>
      <c r="F2" s="399" t="s">
        <v>2177</v>
      </c>
      <c r="G2" s="399" t="s">
        <v>2178</v>
      </c>
      <c r="H2" s="400">
        <v>441487</v>
      </c>
      <c r="I2" s="399">
        <v>500</v>
      </c>
      <c r="J2" s="429">
        <v>46850</v>
      </c>
      <c r="K2" s="398" t="s">
        <v>2179</v>
      </c>
    </row>
    <row r="3" spans="1:13" s="3" customFormat="1" ht="16" hidden="1" thickBot="1" x14ac:dyDescent="0.25">
      <c r="A3" s="402" t="s">
        <v>2180</v>
      </c>
      <c r="B3" s="399" t="s">
        <v>2181</v>
      </c>
      <c r="C3" s="399" t="s">
        <v>2182</v>
      </c>
      <c r="D3" s="399"/>
      <c r="E3" s="401" t="s">
        <v>2183</v>
      </c>
      <c r="F3" s="399" t="s">
        <v>2184</v>
      </c>
      <c r="G3" s="399" t="s">
        <v>2178</v>
      </c>
      <c r="H3" s="400">
        <v>3600000</v>
      </c>
      <c r="I3" s="399">
        <v>400</v>
      </c>
      <c r="J3" s="429">
        <v>46308</v>
      </c>
      <c r="K3" s="398" t="s">
        <v>2185</v>
      </c>
    </row>
    <row r="4" spans="1:13" ht="16" hidden="1" thickBot="1" x14ac:dyDescent="0.25">
      <c r="A4" s="683" t="s">
        <v>2172</v>
      </c>
      <c r="B4" s="680" t="s">
        <v>2186</v>
      </c>
      <c r="C4" s="680" t="s">
        <v>2187</v>
      </c>
      <c r="D4" s="680" t="s">
        <v>2188</v>
      </c>
      <c r="E4" s="682" t="s">
        <v>2189</v>
      </c>
      <c r="F4" s="680" t="s">
        <v>2190</v>
      </c>
      <c r="G4" s="680" t="s">
        <v>2178</v>
      </c>
      <c r="H4" s="681">
        <v>540000</v>
      </c>
      <c r="I4" s="680">
        <v>300</v>
      </c>
      <c r="J4" s="679">
        <v>44986</v>
      </c>
      <c r="K4" s="678" t="s">
        <v>2191</v>
      </c>
      <c r="L4" s="1119" t="s">
        <v>2192</v>
      </c>
    </row>
    <row r="5" spans="1:13" ht="16" hidden="1" thickBot="1" x14ac:dyDescent="0.25">
      <c r="A5" s="677" t="s">
        <v>2172</v>
      </c>
      <c r="B5" s="674" t="s">
        <v>2186</v>
      </c>
      <c r="C5" s="674" t="s">
        <v>2193</v>
      </c>
      <c r="D5" s="674" t="s">
        <v>2188</v>
      </c>
      <c r="E5" s="676" t="s">
        <v>2189</v>
      </c>
      <c r="F5" s="674" t="s">
        <v>2194</v>
      </c>
      <c r="G5" s="674" t="s">
        <v>2178</v>
      </c>
      <c r="H5" s="675">
        <v>11761249</v>
      </c>
      <c r="I5" s="674">
        <v>100</v>
      </c>
      <c r="J5" s="673">
        <v>45891</v>
      </c>
      <c r="K5" s="672" t="s">
        <v>2191</v>
      </c>
      <c r="L5" s="1120"/>
    </row>
    <row r="6" spans="1:13" s="3" customFormat="1" ht="16" hidden="1" thickBot="1" x14ac:dyDescent="0.25">
      <c r="A6" s="677" t="s">
        <v>2172</v>
      </c>
      <c r="B6" s="674" t="s">
        <v>2195</v>
      </c>
      <c r="C6" s="674" t="s">
        <v>2196</v>
      </c>
      <c r="D6" s="674" t="s">
        <v>2188</v>
      </c>
      <c r="E6" s="676" t="s">
        <v>2189</v>
      </c>
      <c r="F6" s="674" t="s">
        <v>2197</v>
      </c>
      <c r="G6" s="674" t="s">
        <v>2178</v>
      </c>
      <c r="H6" s="675">
        <v>632000</v>
      </c>
      <c r="I6" s="674">
        <v>100</v>
      </c>
      <c r="J6" s="673">
        <v>45890</v>
      </c>
      <c r="K6" s="672" t="s">
        <v>2191</v>
      </c>
      <c r="L6" s="1120"/>
    </row>
    <row r="7" spans="1:13" ht="16" hidden="1" thickBot="1" x14ac:dyDescent="0.25">
      <c r="A7" s="677" t="s">
        <v>2172</v>
      </c>
      <c r="B7" s="674" t="s">
        <v>2195</v>
      </c>
      <c r="C7" s="674" t="s">
        <v>2198</v>
      </c>
      <c r="D7" s="674" t="s">
        <v>2188</v>
      </c>
      <c r="E7" s="676" t="s">
        <v>2189</v>
      </c>
      <c r="F7" s="674" t="s">
        <v>2199</v>
      </c>
      <c r="G7" s="674" t="s">
        <v>2178</v>
      </c>
      <c r="H7" s="675">
        <v>833333</v>
      </c>
      <c r="I7" s="674">
        <v>100</v>
      </c>
      <c r="J7" s="673">
        <v>45890</v>
      </c>
      <c r="K7" s="672" t="s">
        <v>2191</v>
      </c>
      <c r="L7" s="1120"/>
    </row>
    <row r="8" spans="1:13" ht="16" hidden="1" thickBot="1" x14ac:dyDescent="0.25">
      <c r="A8" s="677" t="s">
        <v>2172</v>
      </c>
      <c r="B8" s="674" t="s">
        <v>2195</v>
      </c>
      <c r="C8" s="674" t="s">
        <v>2200</v>
      </c>
      <c r="D8" s="674" t="s">
        <v>2188</v>
      </c>
      <c r="E8" s="676" t="s">
        <v>2189</v>
      </c>
      <c r="F8" s="674" t="s">
        <v>2201</v>
      </c>
      <c r="G8" s="674" t="s">
        <v>2178</v>
      </c>
      <c r="H8" s="675">
        <v>3384708</v>
      </c>
      <c r="I8" s="674">
        <v>100</v>
      </c>
      <c r="J8" s="673">
        <v>45890</v>
      </c>
      <c r="K8" s="672" t="s">
        <v>2191</v>
      </c>
      <c r="L8" s="1120"/>
    </row>
    <row r="9" spans="1:13" ht="16" hidden="1" thickBot="1" x14ac:dyDescent="0.25">
      <c r="A9" s="677" t="s">
        <v>2172</v>
      </c>
      <c r="B9" s="674" t="s">
        <v>2202</v>
      </c>
      <c r="C9" s="674" t="s">
        <v>2203</v>
      </c>
      <c r="D9" s="674" t="s">
        <v>2188</v>
      </c>
      <c r="E9" s="676" t="s">
        <v>2189</v>
      </c>
      <c r="F9" s="674" t="s">
        <v>2204</v>
      </c>
      <c r="G9" s="674" t="s">
        <v>2178</v>
      </c>
      <c r="H9" s="675">
        <v>1323707</v>
      </c>
      <c r="I9" s="674">
        <v>100</v>
      </c>
      <c r="J9" s="673">
        <v>45750</v>
      </c>
      <c r="K9" s="672" t="s">
        <v>2191</v>
      </c>
      <c r="L9" s="1120"/>
    </row>
    <row r="10" spans="1:13" ht="16" hidden="1" thickBot="1" x14ac:dyDescent="0.25">
      <c r="A10" s="677" t="s">
        <v>2172</v>
      </c>
      <c r="B10" s="674" t="s">
        <v>2205</v>
      </c>
      <c r="C10" s="674" t="s">
        <v>2206</v>
      </c>
      <c r="D10" s="674" t="s">
        <v>2188</v>
      </c>
      <c r="E10" s="676" t="s">
        <v>2189</v>
      </c>
      <c r="F10" s="674" t="s">
        <v>2207</v>
      </c>
      <c r="G10" s="674" t="s">
        <v>2178</v>
      </c>
      <c r="H10" s="675">
        <v>4669574</v>
      </c>
      <c r="I10" s="674">
        <v>100</v>
      </c>
      <c r="J10" s="673">
        <v>45756</v>
      </c>
      <c r="K10" s="672" t="s">
        <v>2191</v>
      </c>
      <c r="L10" s="1121"/>
    </row>
    <row r="11" spans="1:13" ht="16" thickBot="1" x14ac:dyDescent="0.25">
      <c r="A11" s="671" t="s">
        <v>2172</v>
      </c>
      <c r="B11" s="668" t="s">
        <v>2202</v>
      </c>
      <c r="C11" s="668" t="s">
        <v>2208</v>
      </c>
      <c r="D11" s="668" t="s">
        <v>2209</v>
      </c>
      <c r="E11" s="670" t="s">
        <v>2189</v>
      </c>
      <c r="F11" s="668" t="s">
        <v>2210</v>
      </c>
      <c r="G11" s="668" t="s">
        <v>2178</v>
      </c>
      <c r="H11" s="669">
        <v>1997760</v>
      </c>
      <c r="I11" s="668">
        <v>100</v>
      </c>
      <c r="J11" s="667">
        <v>45750</v>
      </c>
      <c r="K11" s="666" t="s">
        <v>2191</v>
      </c>
      <c r="L11" s="665" t="s">
        <v>2211</v>
      </c>
      <c r="M11" t="s">
        <v>2212</v>
      </c>
    </row>
    <row r="12" spans="1:13" s="3" customFormat="1" ht="16" thickBot="1" x14ac:dyDescent="0.25">
      <c r="A12" s="671" t="s">
        <v>2172</v>
      </c>
      <c r="B12" s="668" t="s">
        <v>2186</v>
      </c>
      <c r="C12" s="668" t="s">
        <v>2213</v>
      </c>
      <c r="D12" s="668" t="s">
        <v>2214</v>
      </c>
      <c r="E12" s="670" t="s">
        <v>2189</v>
      </c>
      <c r="F12" s="668" t="s">
        <v>2215</v>
      </c>
      <c r="G12" s="668" t="s">
        <v>2178</v>
      </c>
      <c r="H12" s="669">
        <v>1394805</v>
      </c>
      <c r="I12" s="668">
        <v>100</v>
      </c>
      <c r="J12" s="667">
        <v>45891</v>
      </c>
      <c r="K12" s="666" t="s">
        <v>2191</v>
      </c>
      <c r="L12" s="665" t="s">
        <v>2211</v>
      </c>
      <c r="M12" s="3" t="s">
        <v>2216</v>
      </c>
    </row>
    <row r="13" spans="1:13" ht="16" thickBot="1" x14ac:dyDescent="0.25">
      <c r="A13" s="390" t="s">
        <v>2172</v>
      </c>
      <c r="B13" s="387" t="s">
        <v>2217</v>
      </c>
      <c r="C13" s="387" t="s">
        <v>2218</v>
      </c>
      <c r="D13" s="387" t="s">
        <v>2219</v>
      </c>
      <c r="E13" s="389" t="s">
        <v>2220</v>
      </c>
      <c r="F13" s="387" t="s">
        <v>2221</v>
      </c>
      <c r="G13" s="387" t="s">
        <v>2178</v>
      </c>
      <c r="H13" s="388">
        <v>5772500</v>
      </c>
      <c r="I13" s="387">
        <v>520</v>
      </c>
      <c r="J13" s="386">
        <v>46309</v>
      </c>
      <c r="K13" s="385" t="s">
        <v>2179</v>
      </c>
      <c r="L13" s="664" t="s">
        <v>2211</v>
      </c>
    </row>
    <row r="14" spans="1:13" ht="16" hidden="1" thickBot="1" x14ac:dyDescent="0.25">
      <c r="A14" s="390" t="s">
        <v>2172</v>
      </c>
      <c r="B14" s="387" t="s">
        <v>2217</v>
      </c>
      <c r="C14" s="387" t="s">
        <v>2222</v>
      </c>
      <c r="D14" s="387" t="s">
        <v>2223</v>
      </c>
      <c r="E14" s="389" t="s">
        <v>2220</v>
      </c>
      <c r="F14" s="387" t="s">
        <v>2224</v>
      </c>
      <c r="G14" s="387" t="s">
        <v>2178</v>
      </c>
      <c r="H14" s="388">
        <v>8250000</v>
      </c>
      <c r="I14" s="387">
        <v>520</v>
      </c>
      <c r="J14" s="386">
        <v>46309</v>
      </c>
      <c r="K14" s="385" t="s">
        <v>2179</v>
      </c>
      <c r="L14" s="664" t="s">
        <v>2192</v>
      </c>
    </row>
    <row r="15" spans="1:13" ht="16" hidden="1" thickBot="1" x14ac:dyDescent="0.25">
      <c r="A15" s="390" t="s">
        <v>2172</v>
      </c>
      <c r="B15" s="387" t="s">
        <v>2217</v>
      </c>
      <c r="C15" s="387" t="s">
        <v>2225</v>
      </c>
      <c r="D15" s="387" t="s">
        <v>2226</v>
      </c>
      <c r="E15" s="389" t="s">
        <v>2220</v>
      </c>
      <c r="F15" s="387" t="s">
        <v>2227</v>
      </c>
      <c r="G15" s="387" t="s">
        <v>2178</v>
      </c>
      <c r="H15" s="388">
        <v>7801220</v>
      </c>
      <c r="I15" s="387">
        <v>260</v>
      </c>
      <c r="J15" s="386">
        <v>46309</v>
      </c>
      <c r="K15" s="385" t="s">
        <v>2179</v>
      </c>
      <c r="L15" s="664" t="s">
        <v>2192</v>
      </c>
    </row>
    <row r="16" spans="1:13" ht="16" thickBot="1" x14ac:dyDescent="0.25">
      <c r="A16" s="390" t="s">
        <v>2172</v>
      </c>
      <c r="B16" s="387" t="s">
        <v>2217</v>
      </c>
      <c r="C16" s="387" t="s">
        <v>2228</v>
      </c>
      <c r="D16" s="387" t="s">
        <v>2229</v>
      </c>
      <c r="E16" s="389" t="s">
        <v>2220</v>
      </c>
      <c r="F16" s="387" t="s">
        <v>2230</v>
      </c>
      <c r="G16" s="387" t="s">
        <v>2178</v>
      </c>
      <c r="H16" s="388">
        <v>11250000</v>
      </c>
      <c r="I16" s="387">
        <v>520</v>
      </c>
      <c r="J16" s="386">
        <v>46309</v>
      </c>
      <c r="K16" s="385" t="s">
        <v>2179</v>
      </c>
      <c r="L16" s="664" t="s">
        <v>2211</v>
      </c>
    </row>
    <row r="17" spans="1:12" ht="16" hidden="1" thickBot="1" x14ac:dyDescent="0.25">
      <c r="A17" s="384" t="s">
        <v>2172</v>
      </c>
      <c r="B17" s="381" t="s">
        <v>2231</v>
      </c>
      <c r="C17" s="381" t="s">
        <v>2232</v>
      </c>
      <c r="D17" s="381" t="s">
        <v>2233</v>
      </c>
      <c r="E17" s="383" t="s">
        <v>2220</v>
      </c>
      <c r="F17" s="381" t="s">
        <v>2234</v>
      </c>
      <c r="G17" s="381" t="s">
        <v>2178</v>
      </c>
      <c r="H17" s="382">
        <v>306320</v>
      </c>
      <c r="I17" s="381">
        <v>180</v>
      </c>
      <c r="J17" s="380">
        <v>46309</v>
      </c>
      <c r="K17" s="379" t="s">
        <v>2179</v>
      </c>
      <c r="L17" s="664" t="s">
        <v>2192</v>
      </c>
    </row>
    <row r="18" spans="1:12" ht="16" hidden="1" thickBot="1" x14ac:dyDescent="0.25">
      <c r="A18" s="396" t="s">
        <v>2172</v>
      </c>
      <c r="B18" s="393" t="s">
        <v>2235</v>
      </c>
      <c r="C18" s="393" t="s">
        <v>2236</v>
      </c>
      <c r="D18" s="393" t="s">
        <v>2233</v>
      </c>
      <c r="E18" s="395" t="s">
        <v>2220</v>
      </c>
      <c r="F18" s="393" t="s">
        <v>2237</v>
      </c>
      <c r="G18" s="393" t="s">
        <v>2178</v>
      </c>
      <c r="H18" s="394">
        <v>8975521</v>
      </c>
      <c r="I18" s="393">
        <v>180</v>
      </c>
      <c r="J18" s="392">
        <v>46309</v>
      </c>
      <c r="K18" s="391" t="s">
        <v>2179</v>
      </c>
      <c r="L18" s="664" t="s">
        <v>2192</v>
      </c>
    </row>
    <row r="19" spans="1:12" ht="16" hidden="1" thickBot="1" x14ac:dyDescent="0.25">
      <c r="A19" s="378" t="s">
        <v>2172</v>
      </c>
      <c r="B19" s="375" t="s">
        <v>2235</v>
      </c>
      <c r="C19" s="375" t="s">
        <v>2238</v>
      </c>
      <c r="D19" s="375" t="s">
        <v>2233</v>
      </c>
      <c r="E19" s="377" t="s">
        <v>2220</v>
      </c>
      <c r="F19" s="375" t="s">
        <v>2239</v>
      </c>
      <c r="G19" s="375" t="s">
        <v>2178</v>
      </c>
      <c r="H19" s="376">
        <v>688525</v>
      </c>
      <c r="I19" s="375">
        <v>180</v>
      </c>
      <c r="J19" s="374">
        <v>46309</v>
      </c>
      <c r="K19" s="373" t="s">
        <v>2179</v>
      </c>
      <c r="L19" s="664" t="s">
        <v>2192</v>
      </c>
    </row>
    <row r="20" spans="1:12" ht="16" hidden="1" thickBot="1" x14ac:dyDescent="0.25">
      <c r="A20" s="384" t="s">
        <v>2172</v>
      </c>
      <c r="B20" s="381" t="s">
        <v>2240</v>
      </c>
      <c r="C20" s="381" t="s">
        <v>2241</v>
      </c>
      <c r="D20" s="381" t="s">
        <v>2242</v>
      </c>
      <c r="E20" s="383" t="s">
        <v>2220</v>
      </c>
      <c r="F20" s="381" t="s">
        <v>2243</v>
      </c>
      <c r="G20" s="381" t="s">
        <v>2178</v>
      </c>
      <c r="H20" s="382">
        <v>340494</v>
      </c>
      <c r="I20" s="381">
        <v>180</v>
      </c>
      <c r="J20" s="380">
        <v>46308</v>
      </c>
      <c r="K20" s="379" t="s">
        <v>2179</v>
      </c>
      <c r="L20" s="664" t="s">
        <v>2192</v>
      </c>
    </row>
    <row r="21" spans="1:12" ht="16" hidden="1" thickBot="1" x14ac:dyDescent="0.25">
      <c r="A21" s="396" t="s">
        <v>2172</v>
      </c>
      <c r="B21" s="393" t="s">
        <v>2244</v>
      </c>
      <c r="C21" s="393" t="s">
        <v>2245</v>
      </c>
      <c r="D21" s="393" t="s">
        <v>2242</v>
      </c>
      <c r="E21" s="395" t="s">
        <v>2220</v>
      </c>
      <c r="F21" s="393" t="s">
        <v>2246</v>
      </c>
      <c r="G21" s="393" t="s">
        <v>2178</v>
      </c>
      <c r="H21" s="394">
        <v>496727</v>
      </c>
      <c r="I21" s="393">
        <v>120</v>
      </c>
      <c r="J21" s="392">
        <v>46360</v>
      </c>
      <c r="K21" s="391" t="s">
        <v>2179</v>
      </c>
      <c r="L21" s="664" t="s">
        <v>2192</v>
      </c>
    </row>
    <row r="22" spans="1:12" ht="16" hidden="1" thickBot="1" x14ac:dyDescent="0.25">
      <c r="A22" s="378" t="s">
        <v>2172</v>
      </c>
      <c r="B22" s="375" t="s">
        <v>2235</v>
      </c>
      <c r="C22" s="375" t="s">
        <v>2247</v>
      </c>
      <c r="D22" s="375" t="s">
        <v>2242</v>
      </c>
      <c r="E22" s="377" t="s">
        <v>2220</v>
      </c>
      <c r="F22" s="375" t="s">
        <v>2248</v>
      </c>
      <c r="G22" s="375" t="s">
        <v>2178</v>
      </c>
      <c r="H22" s="376">
        <v>1202370</v>
      </c>
      <c r="I22" s="375">
        <v>300</v>
      </c>
      <c r="J22" s="374">
        <v>46308</v>
      </c>
      <c r="K22" s="373" t="s">
        <v>2179</v>
      </c>
      <c r="L22" s="664" t="s">
        <v>2192</v>
      </c>
    </row>
    <row r="23" spans="1:12" ht="16" hidden="1" thickBot="1" x14ac:dyDescent="0.25">
      <c r="A23" s="384" t="s">
        <v>2172</v>
      </c>
      <c r="B23" s="381" t="s">
        <v>2249</v>
      </c>
      <c r="C23" s="381" t="s">
        <v>2250</v>
      </c>
      <c r="D23" s="381" t="s">
        <v>2251</v>
      </c>
      <c r="E23" s="383" t="s">
        <v>2220</v>
      </c>
      <c r="F23" s="381" t="s">
        <v>2252</v>
      </c>
      <c r="G23" s="381" t="s">
        <v>2178</v>
      </c>
      <c r="H23" s="382">
        <v>360000</v>
      </c>
      <c r="I23" s="381">
        <v>120</v>
      </c>
      <c r="J23" s="380">
        <v>46309</v>
      </c>
      <c r="K23" s="379" t="s">
        <v>2179</v>
      </c>
      <c r="L23" s="664" t="s">
        <v>2192</v>
      </c>
    </row>
    <row r="24" spans="1:12" ht="16" hidden="1" thickBot="1" x14ac:dyDescent="0.25">
      <c r="A24" s="396" t="s">
        <v>2172</v>
      </c>
      <c r="B24" s="393" t="s">
        <v>2253</v>
      </c>
      <c r="C24" s="393" t="s">
        <v>2254</v>
      </c>
      <c r="D24" s="393" t="s">
        <v>2251</v>
      </c>
      <c r="E24" s="395" t="s">
        <v>2220</v>
      </c>
      <c r="F24" s="393" t="s">
        <v>2255</v>
      </c>
      <c r="G24" s="393" t="s">
        <v>2178</v>
      </c>
      <c r="H24" s="394">
        <v>1023827</v>
      </c>
      <c r="I24" s="393">
        <v>180</v>
      </c>
      <c r="J24" s="392">
        <v>46309</v>
      </c>
      <c r="K24" s="391" t="s">
        <v>2179</v>
      </c>
      <c r="L24" s="664" t="s">
        <v>2192</v>
      </c>
    </row>
    <row r="25" spans="1:12" ht="16" hidden="1" thickBot="1" x14ac:dyDescent="0.25">
      <c r="A25" s="378" t="s">
        <v>2172</v>
      </c>
      <c r="B25" s="375" t="s">
        <v>2235</v>
      </c>
      <c r="C25" s="375" t="s">
        <v>2256</v>
      </c>
      <c r="D25" s="375" t="s">
        <v>2251</v>
      </c>
      <c r="E25" s="377" t="s">
        <v>2220</v>
      </c>
      <c r="F25" s="375" t="s">
        <v>2257</v>
      </c>
      <c r="G25" s="375" t="s">
        <v>2178</v>
      </c>
      <c r="H25" s="376">
        <v>4770190</v>
      </c>
      <c r="I25" s="375">
        <v>240</v>
      </c>
      <c r="J25" s="374">
        <v>46309</v>
      </c>
      <c r="K25" s="373" t="s">
        <v>2179</v>
      </c>
      <c r="L25" s="664" t="s">
        <v>2192</v>
      </c>
    </row>
    <row r="26" spans="1:12" x14ac:dyDescent="0.2">
      <c r="A26" s="384" t="s">
        <v>2172</v>
      </c>
      <c r="B26" s="381" t="s">
        <v>2231</v>
      </c>
      <c r="C26" s="381" t="s">
        <v>2258</v>
      </c>
      <c r="D26" s="381" t="s">
        <v>2259</v>
      </c>
      <c r="E26" s="383" t="s">
        <v>2220</v>
      </c>
      <c r="F26" s="381" t="s">
        <v>2260</v>
      </c>
      <c r="G26" s="381" t="s">
        <v>2178</v>
      </c>
      <c r="H26" s="382">
        <v>824091</v>
      </c>
      <c r="I26" s="381">
        <v>350</v>
      </c>
      <c r="J26" s="380">
        <v>46308</v>
      </c>
      <c r="K26" s="379" t="s">
        <v>2179</v>
      </c>
      <c r="L26" s="664" t="s">
        <v>2211</v>
      </c>
    </row>
    <row r="27" spans="1:12" ht="16" thickBot="1" x14ac:dyDescent="0.25">
      <c r="A27" s="378" t="s">
        <v>2172</v>
      </c>
      <c r="B27" s="375" t="s">
        <v>2231</v>
      </c>
      <c r="C27" s="375" t="s">
        <v>2261</v>
      </c>
      <c r="D27" s="375" t="s">
        <v>2259</v>
      </c>
      <c r="E27" s="377" t="s">
        <v>2220</v>
      </c>
      <c r="F27" s="375" t="s">
        <v>2262</v>
      </c>
      <c r="G27" s="375" t="s">
        <v>2178</v>
      </c>
      <c r="H27" s="376">
        <v>1200742</v>
      </c>
      <c r="I27" s="375">
        <v>240</v>
      </c>
      <c r="J27" s="374">
        <v>46309</v>
      </c>
      <c r="K27" s="373" t="s">
        <v>2179</v>
      </c>
      <c r="L27" s="664" t="s">
        <v>2211</v>
      </c>
    </row>
    <row r="28" spans="1:12" x14ac:dyDescent="0.2">
      <c r="A28" s="384" t="s">
        <v>2172</v>
      </c>
      <c r="B28" s="381" t="s">
        <v>2240</v>
      </c>
      <c r="C28" s="381" t="s">
        <v>2263</v>
      </c>
      <c r="D28" s="381" t="s">
        <v>2264</v>
      </c>
      <c r="E28" s="383" t="s">
        <v>2220</v>
      </c>
      <c r="F28" s="381" t="s">
        <v>2265</v>
      </c>
      <c r="G28" s="381" t="s">
        <v>2178</v>
      </c>
      <c r="H28" s="382">
        <v>711360</v>
      </c>
      <c r="I28" s="381">
        <v>250</v>
      </c>
      <c r="J28" s="380">
        <v>46309</v>
      </c>
      <c r="K28" s="379" t="s">
        <v>2179</v>
      </c>
      <c r="L28" s="664" t="s">
        <v>2211</v>
      </c>
    </row>
    <row r="29" spans="1:12" x14ac:dyDescent="0.2">
      <c r="A29" s="396" t="s">
        <v>2172</v>
      </c>
      <c r="B29" s="393" t="s">
        <v>2244</v>
      </c>
      <c r="C29" s="393" t="s">
        <v>2266</v>
      </c>
      <c r="D29" s="393" t="s">
        <v>2264</v>
      </c>
      <c r="E29" s="395" t="s">
        <v>2220</v>
      </c>
      <c r="F29" s="393" t="s">
        <v>2267</v>
      </c>
      <c r="G29" s="393" t="s">
        <v>2178</v>
      </c>
      <c r="H29" s="394">
        <v>393120</v>
      </c>
      <c r="I29" s="393">
        <v>60</v>
      </c>
      <c r="J29" s="392">
        <v>46525</v>
      </c>
      <c r="K29" s="391" t="s">
        <v>2179</v>
      </c>
      <c r="L29" s="664" t="s">
        <v>2211</v>
      </c>
    </row>
    <row r="30" spans="1:12" ht="16" thickBot="1" x14ac:dyDescent="0.25">
      <c r="A30" s="378" t="s">
        <v>2172</v>
      </c>
      <c r="B30" s="375" t="s">
        <v>2235</v>
      </c>
      <c r="C30" s="375" t="s">
        <v>2268</v>
      </c>
      <c r="D30" s="375" t="s">
        <v>2264</v>
      </c>
      <c r="E30" s="377" t="s">
        <v>2220</v>
      </c>
      <c r="F30" s="375" t="s">
        <v>2269</v>
      </c>
      <c r="G30" s="375" t="s">
        <v>2178</v>
      </c>
      <c r="H30" s="376">
        <v>1131600</v>
      </c>
      <c r="I30" s="375">
        <v>300</v>
      </c>
      <c r="J30" s="374">
        <v>46309</v>
      </c>
      <c r="K30" s="373" t="s">
        <v>2179</v>
      </c>
      <c r="L30" s="664" t="s">
        <v>2211</v>
      </c>
    </row>
    <row r="31" spans="1:12" ht="16" hidden="1" thickBot="1" x14ac:dyDescent="0.25">
      <c r="A31" s="384" t="s">
        <v>2172</v>
      </c>
      <c r="B31" s="381" t="s">
        <v>2244</v>
      </c>
      <c r="C31" s="381" t="s">
        <v>2270</v>
      </c>
      <c r="D31" s="381" t="s">
        <v>2271</v>
      </c>
      <c r="E31" s="383" t="s">
        <v>2220</v>
      </c>
      <c r="F31" s="381" t="s">
        <v>2272</v>
      </c>
      <c r="G31" s="381" t="s">
        <v>2178</v>
      </c>
      <c r="H31" s="382">
        <v>346979</v>
      </c>
      <c r="I31" s="381">
        <v>174</v>
      </c>
      <c r="J31" s="380">
        <v>46451</v>
      </c>
      <c r="K31" s="379" t="s">
        <v>2179</v>
      </c>
      <c r="L31" s="664" t="s">
        <v>2192</v>
      </c>
    </row>
    <row r="32" spans="1:12" ht="16" hidden="1" thickBot="1" x14ac:dyDescent="0.25">
      <c r="A32" s="396" t="s">
        <v>2172</v>
      </c>
      <c r="B32" s="393" t="s">
        <v>2273</v>
      </c>
      <c r="C32" s="393" t="s">
        <v>2274</v>
      </c>
      <c r="D32" s="393" t="s">
        <v>2271</v>
      </c>
      <c r="E32" s="395" t="s">
        <v>2220</v>
      </c>
      <c r="F32" s="393" t="s">
        <v>2275</v>
      </c>
      <c r="G32" s="393" t="s">
        <v>2178</v>
      </c>
      <c r="H32" s="394">
        <v>257758</v>
      </c>
      <c r="I32" s="393">
        <v>80</v>
      </c>
      <c r="J32" s="392">
        <v>46309</v>
      </c>
      <c r="K32" s="391" t="s">
        <v>2179</v>
      </c>
      <c r="L32" s="664" t="s">
        <v>2192</v>
      </c>
    </row>
    <row r="33" spans="1:12" ht="16" hidden="1" thickBot="1" x14ac:dyDescent="0.25">
      <c r="A33" s="378" t="s">
        <v>2172</v>
      </c>
      <c r="B33" s="375" t="s">
        <v>2235</v>
      </c>
      <c r="C33" s="375" t="s">
        <v>2276</v>
      </c>
      <c r="D33" s="375" t="s">
        <v>2271</v>
      </c>
      <c r="E33" s="377" t="s">
        <v>2220</v>
      </c>
      <c r="F33" s="375" t="s">
        <v>2277</v>
      </c>
      <c r="G33" s="375" t="s">
        <v>2178</v>
      </c>
      <c r="H33" s="376">
        <v>2290077</v>
      </c>
      <c r="I33" s="375">
        <v>60</v>
      </c>
      <c r="J33" s="374">
        <v>46309</v>
      </c>
      <c r="K33" s="373" t="s">
        <v>2179</v>
      </c>
      <c r="L33" s="664" t="s">
        <v>2192</v>
      </c>
    </row>
    <row r="34" spans="1:12" ht="16" hidden="1" thickBot="1" x14ac:dyDescent="0.25">
      <c r="A34" s="390" t="s">
        <v>2172</v>
      </c>
      <c r="B34" s="387" t="s">
        <v>2217</v>
      </c>
      <c r="C34" s="387" t="s">
        <v>2278</v>
      </c>
      <c r="D34" s="387" t="s">
        <v>2279</v>
      </c>
      <c r="E34" s="389" t="s">
        <v>2220</v>
      </c>
      <c r="F34" s="387" t="s">
        <v>2280</v>
      </c>
      <c r="G34" s="387" t="s">
        <v>2178</v>
      </c>
      <c r="H34" s="388">
        <v>1445963</v>
      </c>
      <c r="I34" s="387">
        <v>63</v>
      </c>
      <c r="J34" s="386">
        <v>46309</v>
      </c>
      <c r="K34" s="385" t="s">
        <v>2179</v>
      </c>
      <c r="L34" s="664" t="s">
        <v>2192</v>
      </c>
    </row>
    <row r="35" spans="1:12" ht="16" hidden="1" thickBot="1" x14ac:dyDescent="0.25">
      <c r="A35" s="390" t="s">
        <v>2172</v>
      </c>
      <c r="B35" s="387" t="s">
        <v>2235</v>
      </c>
      <c r="C35" s="387" t="s">
        <v>2281</v>
      </c>
      <c r="D35" s="387" t="s">
        <v>2282</v>
      </c>
      <c r="E35" s="389" t="s">
        <v>2220</v>
      </c>
      <c r="F35" s="387" t="s">
        <v>2283</v>
      </c>
      <c r="G35" s="387" t="s">
        <v>2178</v>
      </c>
      <c r="H35" s="388">
        <v>2065831</v>
      </c>
      <c r="I35" s="387">
        <v>346</v>
      </c>
      <c r="J35" s="386">
        <v>46309</v>
      </c>
      <c r="K35" s="385" t="s">
        <v>2179</v>
      </c>
      <c r="L35" s="664" t="s">
        <v>2192</v>
      </c>
    </row>
    <row r="36" spans="1:12" ht="16" hidden="1" thickBot="1" x14ac:dyDescent="0.25">
      <c r="A36" s="390" t="s">
        <v>2172</v>
      </c>
      <c r="B36" s="387" t="s">
        <v>2249</v>
      </c>
      <c r="C36" s="387" t="s">
        <v>2284</v>
      </c>
      <c r="D36" s="387" t="s">
        <v>2285</v>
      </c>
      <c r="E36" s="389" t="s">
        <v>2220</v>
      </c>
      <c r="F36" s="387" t="s">
        <v>2286</v>
      </c>
      <c r="G36" s="387" t="s">
        <v>2178</v>
      </c>
      <c r="H36" s="388">
        <v>290416</v>
      </c>
      <c r="I36" s="387">
        <v>240</v>
      </c>
      <c r="J36" s="386">
        <v>46309</v>
      </c>
      <c r="K36" s="385" t="s">
        <v>2179</v>
      </c>
      <c r="L36" s="664" t="s">
        <v>2192</v>
      </c>
    </row>
    <row r="37" spans="1:12" ht="16" hidden="1" thickBot="1" x14ac:dyDescent="0.25">
      <c r="A37" s="393" t="s">
        <v>2172</v>
      </c>
      <c r="B37" s="390" t="s">
        <v>2240</v>
      </c>
      <c r="C37" s="387" t="s">
        <v>2287</v>
      </c>
      <c r="D37" s="387" t="s">
        <v>2288</v>
      </c>
      <c r="E37" s="389" t="s">
        <v>2220</v>
      </c>
      <c r="F37" s="387" t="s">
        <v>2289</v>
      </c>
      <c r="G37" s="387" t="s">
        <v>2178</v>
      </c>
      <c r="H37" s="388">
        <v>613257</v>
      </c>
      <c r="I37" s="387">
        <v>230</v>
      </c>
      <c r="J37" s="386">
        <v>46308</v>
      </c>
      <c r="K37" s="385" t="s">
        <v>2179</v>
      </c>
      <c r="L37" s="664" t="s">
        <v>2192</v>
      </c>
    </row>
    <row r="38" spans="1:12" ht="16" hidden="1" thickBot="1" x14ac:dyDescent="0.25">
      <c r="A38" s="390" t="s">
        <v>2172</v>
      </c>
      <c r="B38" s="387" t="s">
        <v>2244</v>
      </c>
      <c r="C38" s="387" t="s">
        <v>2290</v>
      </c>
      <c r="D38" s="387" t="s">
        <v>2291</v>
      </c>
      <c r="E38" s="389" t="s">
        <v>2220</v>
      </c>
      <c r="F38" s="387" t="s">
        <v>2292</v>
      </c>
      <c r="G38" s="387" t="s">
        <v>2178</v>
      </c>
      <c r="H38" s="388">
        <v>861112</v>
      </c>
      <c r="I38" s="387">
        <v>215</v>
      </c>
      <c r="J38" s="386">
        <v>46336</v>
      </c>
      <c r="K38" s="385" t="s">
        <v>2179</v>
      </c>
      <c r="L38" s="664" t="s">
        <v>2192</v>
      </c>
    </row>
    <row r="39" spans="1:12" ht="16" hidden="1" thickBot="1" x14ac:dyDescent="0.25">
      <c r="A39" s="390" t="s">
        <v>2172</v>
      </c>
      <c r="B39" s="387" t="s">
        <v>2235</v>
      </c>
      <c r="C39" s="387" t="s">
        <v>2293</v>
      </c>
      <c r="D39" s="387" t="s">
        <v>2294</v>
      </c>
      <c r="E39" s="389" t="s">
        <v>2220</v>
      </c>
      <c r="F39" s="387" t="s">
        <v>2295</v>
      </c>
      <c r="G39" s="387" t="s">
        <v>2178</v>
      </c>
      <c r="H39" s="388">
        <v>330000</v>
      </c>
      <c r="I39" s="387">
        <v>120</v>
      </c>
      <c r="J39" s="386">
        <v>46820</v>
      </c>
      <c r="K39" s="385" t="s">
        <v>2179</v>
      </c>
      <c r="L39" s="664" t="s">
        <v>2192</v>
      </c>
    </row>
    <row r="40" spans="1:12" ht="16" hidden="1" thickBot="1" x14ac:dyDescent="0.25">
      <c r="A40" s="390" t="s">
        <v>2172</v>
      </c>
      <c r="B40" s="387" t="s">
        <v>2253</v>
      </c>
      <c r="C40" s="387" t="s">
        <v>2296</v>
      </c>
      <c r="D40" s="387" t="s">
        <v>2297</v>
      </c>
      <c r="E40" s="389" t="s">
        <v>2220</v>
      </c>
      <c r="F40" s="387" t="s">
        <v>2298</v>
      </c>
      <c r="G40" s="387" t="s">
        <v>2178</v>
      </c>
      <c r="H40" s="388">
        <v>410425</v>
      </c>
      <c r="I40" s="387">
        <v>180</v>
      </c>
      <c r="J40" s="386">
        <v>46476</v>
      </c>
      <c r="K40" s="385" t="s">
        <v>2179</v>
      </c>
      <c r="L40" s="664" t="s">
        <v>2192</v>
      </c>
    </row>
    <row r="41" spans="1:12" ht="16" hidden="1" thickBot="1" x14ac:dyDescent="0.25">
      <c r="A41" s="378" t="s">
        <v>2172</v>
      </c>
      <c r="B41" s="375" t="s">
        <v>2235</v>
      </c>
      <c r="C41" s="375" t="s">
        <v>2299</v>
      </c>
      <c r="D41" s="375" t="s">
        <v>2300</v>
      </c>
      <c r="E41" s="377" t="s">
        <v>2220</v>
      </c>
      <c r="F41" s="375" t="s">
        <v>2301</v>
      </c>
      <c r="G41" s="375" t="s">
        <v>2178</v>
      </c>
      <c r="H41" s="376">
        <v>300000</v>
      </c>
      <c r="I41" s="375">
        <v>60</v>
      </c>
      <c r="J41" s="374">
        <v>46309</v>
      </c>
      <c r="K41" s="373" t="s">
        <v>2179</v>
      </c>
      <c r="L41" s="664" t="s">
        <v>2192</v>
      </c>
    </row>
    <row r="42" spans="1:12" ht="16" hidden="1" thickBot="1" x14ac:dyDescent="0.25">
      <c r="A42" s="663" t="s">
        <v>2172</v>
      </c>
      <c r="B42" s="660" t="s">
        <v>2302</v>
      </c>
      <c r="C42" s="660" t="s">
        <v>2303</v>
      </c>
      <c r="D42" s="660" t="s">
        <v>2304</v>
      </c>
      <c r="E42" s="662" t="s">
        <v>2305</v>
      </c>
      <c r="F42" s="660" t="s">
        <v>2306</v>
      </c>
      <c r="G42" s="660" t="s">
        <v>2178</v>
      </c>
      <c r="H42" s="661">
        <v>7067161</v>
      </c>
      <c r="I42" s="660">
        <v>90</v>
      </c>
      <c r="J42" s="659">
        <v>46029</v>
      </c>
      <c r="K42" s="658" t="s">
        <v>2179</v>
      </c>
      <c r="L42" s="1125" t="s">
        <v>2192</v>
      </c>
    </row>
    <row r="43" spans="1:12" ht="16" hidden="1" thickBot="1" x14ac:dyDescent="0.25">
      <c r="A43" s="657" t="s">
        <v>2172</v>
      </c>
      <c r="B43" s="654" t="s">
        <v>2302</v>
      </c>
      <c r="C43" s="654" t="s">
        <v>2307</v>
      </c>
      <c r="D43" s="654" t="s">
        <v>2304</v>
      </c>
      <c r="E43" s="656" t="s">
        <v>2305</v>
      </c>
      <c r="F43" s="654" t="s">
        <v>2308</v>
      </c>
      <c r="G43" s="654" t="s">
        <v>2178</v>
      </c>
      <c r="H43" s="655">
        <v>463347</v>
      </c>
      <c r="I43" s="654">
        <v>60</v>
      </c>
      <c r="J43" s="653">
        <v>46157</v>
      </c>
      <c r="K43" s="652" t="s">
        <v>2179</v>
      </c>
      <c r="L43" s="1126"/>
    </row>
    <row r="44" spans="1:12" ht="16" hidden="1" thickBot="1" x14ac:dyDescent="0.25">
      <c r="A44" s="657" t="s">
        <v>2172</v>
      </c>
      <c r="B44" s="654" t="s">
        <v>2309</v>
      </c>
      <c r="C44" s="654" t="s">
        <v>2310</v>
      </c>
      <c r="D44" s="654" t="s">
        <v>2304</v>
      </c>
      <c r="E44" s="656" t="s">
        <v>2305</v>
      </c>
      <c r="F44" s="654" t="s">
        <v>2311</v>
      </c>
      <c r="G44" s="654" t="s">
        <v>2178</v>
      </c>
      <c r="H44" s="655">
        <v>438503</v>
      </c>
      <c r="I44" s="654">
        <v>60</v>
      </c>
      <c r="J44" s="653">
        <v>46029</v>
      </c>
      <c r="K44" s="652" t="s">
        <v>2179</v>
      </c>
      <c r="L44" s="1126"/>
    </row>
    <row r="45" spans="1:12" ht="16" hidden="1" thickBot="1" x14ac:dyDescent="0.25">
      <c r="A45" s="657" t="s">
        <v>2172</v>
      </c>
      <c r="B45" s="654" t="s">
        <v>2309</v>
      </c>
      <c r="C45" s="654" t="s">
        <v>2312</v>
      </c>
      <c r="D45" s="654" t="s">
        <v>2304</v>
      </c>
      <c r="E45" s="656" t="s">
        <v>2305</v>
      </c>
      <c r="F45" s="654" t="s">
        <v>2313</v>
      </c>
      <c r="G45" s="654" t="s">
        <v>2178</v>
      </c>
      <c r="H45" s="655">
        <v>5603245</v>
      </c>
      <c r="I45" s="654">
        <v>30</v>
      </c>
      <c r="J45" s="653">
        <v>46115</v>
      </c>
      <c r="K45" s="652" t="s">
        <v>2179</v>
      </c>
      <c r="L45" s="1126"/>
    </row>
    <row r="46" spans="1:12" ht="16" hidden="1" thickBot="1" x14ac:dyDescent="0.25">
      <c r="A46" s="657" t="s">
        <v>2172</v>
      </c>
      <c r="B46" s="654" t="s">
        <v>2309</v>
      </c>
      <c r="C46" s="654" t="s">
        <v>2314</v>
      </c>
      <c r="D46" s="654" t="s">
        <v>2304</v>
      </c>
      <c r="E46" s="656" t="s">
        <v>2305</v>
      </c>
      <c r="F46" s="654" t="s">
        <v>2315</v>
      </c>
      <c r="G46" s="654" t="s">
        <v>2178</v>
      </c>
      <c r="H46" s="655">
        <v>1866932</v>
      </c>
      <c r="I46" s="654">
        <v>30</v>
      </c>
      <c r="J46" s="653">
        <v>46157</v>
      </c>
      <c r="K46" s="652" t="s">
        <v>2179</v>
      </c>
      <c r="L46" s="1126"/>
    </row>
    <row r="47" spans="1:12" ht="16" hidden="1" thickBot="1" x14ac:dyDescent="0.25">
      <c r="A47" s="657" t="s">
        <v>2172</v>
      </c>
      <c r="B47" s="654" t="s">
        <v>2309</v>
      </c>
      <c r="C47" s="654" t="s">
        <v>2316</v>
      </c>
      <c r="D47" s="654" t="s">
        <v>2304</v>
      </c>
      <c r="E47" s="656" t="s">
        <v>2305</v>
      </c>
      <c r="F47" s="654" t="s">
        <v>2317</v>
      </c>
      <c r="G47" s="654" t="s">
        <v>2178</v>
      </c>
      <c r="H47" s="655">
        <v>7274139</v>
      </c>
      <c r="I47" s="654">
        <v>60</v>
      </c>
      <c r="J47" s="653">
        <v>46202</v>
      </c>
      <c r="K47" s="652" t="s">
        <v>2179</v>
      </c>
      <c r="L47" s="1126"/>
    </row>
    <row r="48" spans="1:12" ht="16" hidden="1" thickBot="1" x14ac:dyDescent="0.25">
      <c r="A48" s="657" t="s">
        <v>2172</v>
      </c>
      <c r="B48" s="654" t="s">
        <v>2318</v>
      </c>
      <c r="C48" s="654" t="s">
        <v>2319</v>
      </c>
      <c r="D48" s="654" t="s">
        <v>2304</v>
      </c>
      <c r="E48" s="656" t="s">
        <v>2305</v>
      </c>
      <c r="F48" s="654" t="s">
        <v>2320</v>
      </c>
      <c r="G48" s="654" t="s">
        <v>2178</v>
      </c>
      <c r="H48" s="655">
        <v>2759890</v>
      </c>
      <c r="I48" s="654">
        <v>30</v>
      </c>
      <c r="J48" s="653">
        <v>46157</v>
      </c>
      <c r="K48" s="652" t="s">
        <v>2179</v>
      </c>
      <c r="L48" s="1126"/>
    </row>
    <row r="49" spans="1:12" ht="16" hidden="1" thickBot="1" x14ac:dyDescent="0.25">
      <c r="A49" s="657" t="s">
        <v>2172</v>
      </c>
      <c r="B49" s="654" t="s">
        <v>2318</v>
      </c>
      <c r="C49" s="654" t="s">
        <v>2321</v>
      </c>
      <c r="D49" s="654" t="s">
        <v>2304</v>
      </c>
      <c r="E49" s="656" t="s">
        <v>2305</v>
      </c>
      <c r="F49" s="654" t="s">
        <v>2322</v>
      </c>
      <c r="G49" s="654" t="s">
        <v>2178</v>
      </c>
      <c r="H49" s="655">
        <v>1073347</v>
      </c>
      <c r="I49" s="654">
        <v>30</v>
      </c>
      <c r="J49" s="653">
        <v>46202</v>
      </c>
      <c r="K49" s="652" t="s">
        <v>2179</v>
      </c>
      <c r="L49" s="1126"/>
    </row>
    <row r="50" spans="1:12" ht="16" hidden="1" thickBot="1" x14ac:dyDescent="0.25">
      <c r="A50" s="657" t="s">
        <v>2172</v>
      </c>
      <c r="B50" s="654" t="s">
        <v>2318</v>
      </c>
      <c r="C50" s="654" t="s">
        <v>2323</v>
      </c>
      <c r="D50" s="654" t="s">
        <v>2304</v>
      </c>
      <c r="E50" s="656" t="s">
        <v>2305</v>
      </c>
      <c r="F50" s="654" t="s">
        <v>2324</v>
      </c>
      <c r="G50" s="654" t="s">
        <v>2178</v>
      </c>
      <c r="H50" s="655">
        <v>5177865</v>
      </c>
      <c r="I50" s="654">
        <v>60</v>
      </c>
      <c r="J50" s="653">
        <v>46245</v>
      </c>
      <c r="K50" s="652" t="s">
        <v>2179</v>
      </c>
      <c r="L50" s="1126"/>
    </row>
    <row r="51" spans="1:12" ht="16" hidden="1" thickBot="1" x14ac:dyDescent="0.25">
      <c r="A51" s="657" t="s">
        <v>2172</v>
      </c>
      <c r="B51" s="654" t="s">
        <v>2318</v>
      </c>
      <c r="C51" s="654" t="s">
        <v>2325</v>
      </c>
      <c r="D51" s="654" t="s">
        <v>2304</v>
      </c>
      <c r="E51" s="656" t="s">
        <v>2305</v>
      </c>
      <c r="F51" s="654" t="s">
        <v>2326</v>
      </c>
      <c r="G51" s="654" t="s">
        <v>2178</v>
      </c>
      <c r="H51" s="655">
        <v>362500</v>
      </c>
      <c r="I51" s="654">
        <v>60</v>
      </c>
      <c r="J51" s="653">
        <v>46331</v>
      </c>
      <c r="K51" s="652" t="s">
        <v>2179</v>
      </c>
      <c r="L51" s="1126"/>
    </row>
    <row r="52" spans="1:12" ht="16" hidden="1" thickBot="1" x14ac:dyDescent="0.25">
      <c r="A52" s="657" t="s">
        <v>2172</v>
      </c>
      <c r="B52" s="654" t="s">
        <v>2327</v>
      </c>
      <c r="C52" s="654" t="s">
        <v>2328</v>
      </c>
      <c r="D52" s="654" t="s">
        <v>2304</v>
      </c>
      <c r="E52" s="656" t="s">
        <v>2305</v>
      </c>
      <c r="F52" s="654" t="s">
        <v>2329</v>
      </c>
      <c r="G52" s="654" t="s">
        <v>2178</v>
      </c>
      <c r="H52" s="655">
        <v>255228</v>
      </c>
      <c r="I52" s="654">
        <v>20</v>
      </c>
      <c r="J52" s="653">
        <v>46058</v>
      </c>
      <c r="K52" s="652" t="s">
        <v>2179</v>
      </c>
      <c r="L52" s="1126"/>
    </row>
    <row r="53" spans="1:12" ht="16" hidden="1" thickBot="1" x14ac:dyDescent="0.25">
      <c r="A53" s="657" t="s">
        <v>2172</v>
      </c>
      <c r="B53" s="654" t="s">
        <v>2327</v>
      </c>
      <c r="C53" s="654" t="s">
        <v>2330</v>
      </c>
      <c r="D53" s="654" t="s">
        <v>2304</v>
      </c>
      <c r="E53" s="656" t="s">
        <v>2305</v>
      </c>
      <c r="F53" s="654" t="s">
        <v>2331</v>
      </c>
      <c r="G53" s="654" t="s">
        <v>2178</v>
      </c>
      <c r="H53" s="655">
        <v>666196</v>
      </c>
      <c r="I53" s="654">
        <v>30</v>
      </c>
      <c r="J53" s="653">
        <v>46087</v>
      </c>
      <c r="K53" s="652" t="s">
        <v>2179</v>
      </c>
      <c r="L53" s="1126"/>
    </row>
    <row r="54" spans="1:12" ht="16" hidden="1" thickBot="1" x14ac:dyDescent="0.25">
      <c r="A54" s="657" t="s">
        <v>2172</v>
      </c>
      <c r="B54" s="654" t="s">
        <v>2327</v>
      </c>
      <c r="C54" s="654" t="s">
        <v>2332</v>
      </c>
      <c r="D54" s="654" t="s">
        <v>2304</v>
      </c>
      <c r="E54" s="656" t="s">
        <v>2305</v>
      </c>
      <c r="F54" s="654" t="s">
        <v>2333</v>
      </c>
      <c r="G54" s="654" t="s">
        <v>2178</v>
      </c>
      <c r="H54" s="655">
        <v>1425882</v>
      </c>
      <c r="I54" s="654">
        <v>60</v>
      </c>
      <c r="J54" s="653">
        <v>46129</v>
      </c>
      <c r="K54" s="652" t="s">
        <v>2179</v>
      </c>
      <c r="L54" s="1126"/>
    </row>
    <row r="55" spans="1:12" ht="16" hidden="1" thickBot="1" x14ac:dyDescent="0.25">
      <c r="A55" s="657" t="s">
        <v>2172</v>
      </c>
      <c r="B55" s="654" t="s">
        <v>2334</v>
      </c>
      <c r="C55" s="654" t="s">
        <v>2335</v>
      </c>
      <c r="D55" s="654" t="s">
        <v>2304</v>
      </c>
      <c r="E55" s="656" t="s">
        <v>2305</v>
      </c>
      <c r="F55" s="654" t="s">
        <v>2336</v>
      </c>
      <c r="G55" s="654" t="s">
        <v>2178</v>
      </c>
      <c r="H55" s="655">
        <v>255228</v>
      </c>
      <c r="I55" s="654">
        <v>20</v>
      </c>
      <c r="J55" s="653">
        <v>46087</v>
      </c>
      <c r="K55" s="652" t="s">
        <v>2179</v>
      </c>
      <c r="L55" s="1126"/>
    </row>
    <row r="56" spans="1:12" ht="16" hidden="1" thickBot="1" x14ac:dyDescent="0.25">
      <c r="A56" s="657" t="s">
        <v>2172</v>
      </c>
      <c r="B56" s="654" t="s">
        <v>2334</v>
      </c>
      <c r="C56" s="654" t="s">
        <v>2337</v>
      </c>
      <c r="D56" s="654" t="s">
        <v>2304</v>
      </c>
      <c r="E56" s="656" t="s">
        <v>2305</v>
      </c>
      <c r="F56" s="654" t="s">
        <v>2338</v>
      </c>
      <c r="G56" s="654" t="s">
        <v>2178</v>
      </c>
      <c r="H56" s="655">
        <v>666196</v>
      </c>
      <c r="I56" s="654">
        <v>30</v>
      </c>
      <c r="J56" s="653">
        <v>46115</v>
      </c>
      <c r="K56" s="652" t="s">
        <v>2179</v>
      </c>
      <c r="L56" s="1126"/>
    </row>
    <row r="57" spans="1:12" ht="16" hidden="1" thickBot="1" x14ac:dyDescent="0.25">
      <c r="A57" s="657" t="s">
        <v>2172</v>
      </c>
      <c r="B57" s="654" t="s">
        <v>2334</v>
      </c>
      <c r="C57" s="654" t="s">
        <v>2339</v>
      </c>
      <c r="D57" s="654" t="s">
        <v>2304</v>
      </c>
      <c r="E57" s="656" t="s">
        <v>2305</v>
      </c>
      <c r="F57" s="654" t="s">
        <v>2340</v>
      </c>
      <c r="G57" s="654" t="s">
        <v>2178</v>
      </c>
      <c r="H57" s="655">
        <v>1425882</v>
      </c>
      <c r="I57" s="654">
        <v>60</v>
      </c>
      <c r="J57" s="653">
        <v>46157</v>
      </c>
      <c r="K57" s="652" t="s">
        <v>2179</v>
      </c>
      <c r="L57" s="1126"/>
    </row>
    <row r="58" spans="1:12" ht="16" hidden="1" thickBot="1" x14ac:dyDescent="0.25">
      <c r="A58" s="657" t="s">
        <v>2172</v>
      </c>
      <c r="B58" s="654" t="s">
        <v>2341</v>
      </c>
      <c r="C58" s="654" t="s">
        <v>2342</v>
      </c>
      <c r="D58" s="654" t="s">
        <v>2304</v>
      </c>
      <c r="E58" s="656" t="s">
        <v>2305</v>
      </c>
      <c r="F58" s="654" t="s">
        <v>2343</v>
      </c>
      <c r="G58" s="654" t="s">
        <v>2178</v>
      </c>
      <c r="H58" s="655">
        <v>284720</v>
      </c>
      <c r="I58" s="654">
        <v>20</v>
      </c>
      <c r="J58" s="653">
        <v>46129</v>
      </c>
      <c r="K58" s="652" t="s">
        <v>2179</v>
      </c>
      <c r="L58" s="1126"/>
    </row>
    <row r="59" spans="1:12" ht="16" hidden="1" thickBot="1" x14ac:dyDescent="0.25">
      <c r="A59" s="657" t="s">
        <v>2172</v>
      </c>
      <c r="B59" s="654" t="s">
        <v>2341</v>
      </c>
      <c r="C59" s="654" t="s">
        <v>2344</v>
      </c>
      <c r="D59" s="654" t="s">
        <v>2304</v>
      </c>
      <c r="E59" s="656" t="s">
        <v>2305</v>
      </c>
      <c r="F59" s="654" t="s">
        <v>2345</v>
      </c>
      <c r="G59" s="654" t="s">
        <v>2178</v>
      </c>
      <c r="H59" s="655">
        <v>725264</v>
      </c>
      <c r="I59" s="654">
        <v>30</v>
      </c>
      <c r="J59" s="653">
        <v>46157</v>
      </c>
      <c r="K59" s="652" t="s">
        <v>2179</v>
      </c>
      <c r="L59" s="1126"/>
    </row>
    <row r="60" spans="1:12" ht="16" hidden="1" thickBot="1" x14ac:dyDescent="0.25">
      <c r="A60" s="657" t="s">
        <v>2172</v>
      </c>
      <c r="B60" s="654" t="s">
        <v>2341</v>
      </c>
      <c r="C60" s="654" t="s">
        <v>2346</v>
      </c>
      <c r="D60" s="654" t="s">
        <v>2304</v>
      </c>
      <c r="E60" s="656" t="s">
        <v>2305</v>
      </c>
      <c r="F60" s="654" t="s">
        <v>2347</v>
      </c>
      <c r="G60" s="654" t="s">
        <v>2178</v>
      </c>
      <c r="H60" s="655">
        <v>1781251</v>
      </c>
      <c r="I60" s="654">
        <v>30</v>
      </c>
      <c r="J60" s="653">
        <v>46202</v>
      </c>
      <c r="K60" s="652" t="s">
        <v>2179</v>
      </c>
      <c r="L60" s="1126"/>
    </row>
    <row r="61" spans="1:12" ht="16" hidden="1" thickBot="1" x14ac:dyDescent="0.25">
      <c r="A61" s="657" t="s">
        <v>2172</v>
      </c>
      <c r="B61" s="654" t="s">
        <v>2348</v>
      </c>
      <c r="C61" s="654" t="s">
        <v>2349</v>
      </c>
      <c r="D61" s="654" t="s">
        <v>2304</v>
      </c>
      <c r="E61" s="656" t="s">
        <v>2305</v>
      </c>
      <c r="F61" s="654" t="s">
        <v>2350</v>
      </c>
      <c r="G61" s="654" t="s">
        <v>2178</v>
      </c>
      <c r="H61" s="655">
        <v>351288</v>
      </c>
      <c r="I61" s="654">
        <v>30</v>
      </c>
      <c r="J61" s="653">
        <v>46073</v>
      </c>
      <c r="K61" s="652" t="s">
        <v>2179</v>
      </c>
      <c r="L61" s="1126"/>
    </row>
    <row r="62" spans="1:12" ht="16" hidden="1" thickBot="1" x14ac:dyDescent="0.25">
      <c r="A62" s="657" t="s">
        <v>2172</v>
      </c>
      <c r="B62" s="654" t="s">
        <v>2348</v>
      </c>
      <c r="C62" s="654" t="s">
        <v>2351</v>
      </c>
      <c r="D62" s="654" t="s">
        <v>2304</v>
      </c>
      <c r="E62" s="656" t="s">
        <v>2305</v>
      </c>
      <c r="F62" s="654" t="s">
        <v>2352</v>
      </c>
      <c r="G62" s="654" t="s">
        <v>2178</v>
      </c>
      <c r="H62" s="655">
        <v>557971</v>
      </c>
      <c r="I62" s="654">
        <v>30</v>
      </c>
      <c r="J62" s="653">
        <v>46115</v>
      </c>
      <c r="K62" s="652" t="s">
        <v>2179</v>
      </c>
      <c r="L62" s="1126"/>
    </row>
    <row r="63" spans="1:12" ht="16" hidden="1" thickBot="1" x14ac:dyDescent="0.25">
      <c r="A63" s="657" t="s">
        <v>2172</v>
      </c>
      <c r="B63" s="654" t="s">
        <v>2348</v>
      </c>
      <c r="C63" s="654" t="s">
        <v>2353</v>
      </c>
      <c r="D63" s="654" t="s">
        <v>2304</v>
      </c>
      <c r="E63" s="656" t="s">
        <v>2305</v>
      </c>
      <c r="F63" s="654" t="s">
        <v>2354</v>
      </c>
      <c r="G63" s="654" t="s">
        <v>2178</v>
      </c>
      <c r="H63" s="655">
        <v>1730804</v>
      </c>
      <c r="I63" s="654">
        <v>30</v>
      </c>
      <c r="J63" s="653">
        <v>46157</v>
      </c>
      <c r="K63" s="652" t="s">
        <v>2179</v>
      </c>
      <c r="L63" s="1126"/>
    </row>
    <row r="64" spans="1:12" ht="16" hidden="1" thickBot="1" x14ac:dyDescent="0.25">
      <c r="A64" s="657" t="s">
        <v>2172</v>
      </c>
      <c r="B64" s="654" t="s">
        <v>2355</v>
      </c>
      <c r="C64" s="654" t="s">
        <v>2356</v>
      </c>
      <c r="D64" s="654" t="s">
        <v>2304</v>
      </c>
      <c r="E64" s="656" t="s">
        <v>2305</v>
      </c>
      <c r="F64" s="654" t="s">
        <v>2357</v>
      </c>
      <c r="G64" s="654" t="s">
        <v>2178</v>
      </c>
      <c r="H64" s="655">
        <v>882709</v>
      </c>
      <c r="I64" s="654">
        <v>20</v>
      </c>
      <c r="J64" s="653">
        <v>46029</v>
      </c>
      <c r="K64" s="652" t="s">
        <v>2179</v>
      </c>
      <c r="L64" s="1126"/>
    </row>
    <row r="65" spans="1:12" ht="16" hidden="1" thickBot="1" x14ac:dyDescent="0.25">
      <c r="A65" s="657" t="s">
        <v>2172</v>
      </c>
      <c r="B65" s="654" t="s">
        <v>2355</v>
      </c>
      <c r="C65" s="654" t="s">
        <v>2358</v>
      </c>
      <c r="D65" s="654" t="s">
        <v>2304</v>
      </c>
      <c r="E65" s="656" t="s">
        <v>2305</v>
      </c>
      <c r="F65" s="654" t="s">
        <v>2359</v>
      </c>
      <c r="G65" s="654" t="s">
        <v>2178</v>
      </c>
      <c r="H65" s="655">
        <v>5021704</v>
      </c>
      <c r="I65" s="654">
        <v>60</v>
      </c>
      <c r="J65" s="653">
        <v>46058</v>
      </c>
      <c r="K65" s="652" t="s">
        <v>2179</v>
      </c>
      <c r="L65" s="1126"/>
    </row>
    <row r="66" spans="1:12" ht="16" hidden="1" thickBot="1" x14ac:dyDescent="0.25">
      <c r="A66" s="657" t="s">
        <v>2172</v>
      </c>
      <c r="B66" s="654" t="s">
        <v>2355</v>
      </c>
      <c r="C66" s="654" t="s">
        <v>2360</v>
      </c>
      <c r="D66" s="654" t="s">
        <v>2304</v>
      </c>
      <c r="E66" s="656" t="s">
        <v>2305</v>
      </c>
      <c r="F66" s="654" t="s">
        <v>2361</v>
      </c>
      <c r="G66" s="654" t="s">
        <v>2178</v>
      </c>
      <c r="H66" s="655">
        <v>2673417</v>
      </c>
      <c r="I66" s="654">
        <v>60</v>
      </c>
      <c r="J66" s="653">
        <v>46143</v>
      </c>
      <c r="K66" s="652" t="s">
        <v>2179</v>
      </c>
      <c r="L66" s="1126"/>
    </row>
    <row r="67" spans="1:12" ht="16" hidden="1" thickBot="1" x14ac:dyDescent="0.25">
      <c r="A67" s="657" t="s">
        <v>2172</v>
      </c>
      <c r="B67" s="654" t="s">
        <v>2355</v>
      </c>
      <c r="C67" s="654" t="s">
        <v>2362</v>
      </c>
      <c r="D67" s="654" t="s">
        <v>2304</v>
      </c>
      <c r="E67" s="656" t="s">
        <v>2305</v>
      </c>
      <c r="F67" s="654" t="s">
        <v>2363</v>
      </c>
      <c r="G67" s="654" t="s">
        <v>2178</v>
      </c>
      <c r="H67" s="655">
        <v>10202800</v>
      </c>
      <c r="I67" s="654">
        <v>60</v>
      </c>
      <c r="J67" s="653">
        <v>46231</v>
      </c>
      <c r="K67" s="652" t="s">
        <v>2179</v>
      </c>
      <c r="L67" s="1126"/>
    </row>
    <row r="68" spans="1:12" ht="16" hidden="1" thickBot="1" x14ac:dyDescent="0.25">
      <c r="A68" s="657" t="s">
        <v>2172</v>
      </c>
      <c r="B68" s="654" t="s">
        <v>2364</v>
      </c>
      <c r="C68" s="654" t="s">
        <v>2365</v>
      </c>
      <c r="D68" s="654" t="s">
        <v>2304</v>
      </c>
      <c r="E68" s="656" t="s">
        <v>2305</v>
      </c>
      <c r="F68" s="654" t="s">
        <v>2366</v>
      </c>
      <c r="G68" s="654" t="s">
        <v>2178</v>
      </c>
      <c r="H68" s="655">
        <v>295439</v>
      </c>
      <c r="I68" s="654">
        <v>10</v>
      </c>
      <c r="J68" s="653">
        <v>46073</v>
      </c>
      <c r="K68" s="652" t="s">
        <v>2179</v>
      </c>
      <c r="L68" s="1126"/>
    </row>
    <row r="69" spans="1:12" ht="16" hidden="1" thickBot="1" x14ac:dyDescent="0.25">
      <c r="A69" s="657" t="s">
        <v>2172</v>
      </c>
      <c r="B69" s="654" t="s">
        <v>2364</v>
      </c>
      <c r="C69" s="654" t="s">
        <v>2367</v>
      </c>
      <c r="D69" s="654" t="s">
        <v>2304</v>
      </c>
      <c r="E69" s="656" t="s">
        <v>2305</v>
      </c>
      <c r="F69" s="654" t="s">
        <v>2368</v>
      </c>
      <c r="G69" s="654" t="s">
        <v>2178</v>
      </c>
      <c r="H69" s="655">
        <v>391287</v>
      </c>
      <c r="I69" s="654">
        <v>20</v>
      </c>
      <c r="J69" s="653">
        <v>46087</v>
      </c>
      <c r="K69" s="652" t="s">
        <v>2179</v>
      </c>
      <c r="L69" s="1126"/>
    </row>
    <row r="70" spans="1:12" ht="16" hidden="1" thickBot="1" x14ac:dyDescent="0.25">
      <c r="A70" s="657" t="s">
        <v>2172</v>
      </c>
      <c r="B70" s="654" t="s">
        <v>2364</v>
      </c>
      <c r="C70" s="654" t="s">
        <v>2369</v>
      </c>
      <c r="D70" s="654" t="s">
        <v>2304</v>
      </c>
      <c r="E70" s="656" t="s">
        <v>2305</v>
      </c>
      <c r="F70" s="654" t="s">
        <v>2370</v>
      </c>
      <c r="G70" s="654" t="s">
        <v>2178</v>
      </c>
      <c r="H70" s="655">
        <v>2182264</v>
      </c>
      <c r="I70" s="654">
        <v>30</v>
      </c>
      <c r="J70" s="653">
        <v>46351</v>
      </c>
      <c r="K70" s="652" t="s">
        <v>2179</v>
      </c>
      <c r="L70" s="1126"/>
    </row>
    <row r="71" spans="1:12" ht="16" hidden="1" thickBot="1" x14ac:dyDescent="0.25">
      <c r="A71" s="657" t="s">
        <v>2172</v>
      </c>
      <c r="B71" s="654" t="s">
        <v>2371</v>
      </c>
      <c r="C71" s="654" t="s">
        <v>2372</v>
      </c>
      <c r="D71" s="654" t="s">
        <v>2304</v>
      </c>
      <c r="E71" s="656" t="s">
        <v>2305</v>
      </c>
      <c r="F71" s="654" t="s">
        <v>2373</v>
      </c>
      <c r="G71" s="654" t="s">
        <v>2178</v>
      </c>
      <c r="H71" s="655">
        <v>295439</v>
      </c>
      <c r="I71" s="654">
        <v>10</v>
      </c>
      <c r="J71" s="653">
        <v>46115</v>
      </c>
      <c r="K71" s="652" t="s">
        <v>2179</v>
      </c>
      <c r="L71" s="1126"/>
    </row>
    <row r="72" spans="1:12" ht="16" hidden="1" thickBot="1" x14ac:dyDescent="0.25">
      <c r="A72" s="657" t="s">
        <v>2172</v>
      </c>
      <c r="B72" s="654" t="s">
        <v>2371</v>
      </c>
      <c r="C72" s="654" t="s">
        <v>2374</v>
      </c>
      <c r="D72" s="654" t="s">
        <v>2304</v>
      </c>
      <c r="E72" s="656" t="s">
        <v>2305</v>
      </c>
      <c r="F72" s="654" t="s">
        <v>2375</v>
      </c>
      <c r="G72" s="654" t="s">
        <v>2178</v>
      </c>
      <c r="H72" s="655">
        <v>391287</v>
      </c>
      <c r="I72" s="654">
        <v>20</v>
      </c>
      <c r="J72" s="653">
        <v>46129</v>
      </c>
      <c r="K72" s="652" t="s">
        <v>2179</v>
      </c>
      <c r="L72" s="1126"/>
    </row>
    <row r="73" spans="1:12" ht="16" hidden="1" thickBot="1" x14ac:dyDescent="0.25">
      <c r="A73" s="657" t="s">
        <v>2172</v>
      </c>
      <c r="B73" s="654" t="s">
        <v>2371</v>
      </c>
      <c r="C73" s="654" t="s">
        <v>2376</v>
      </c>
      <c r="D73" s="654" t="s">
        <v>2304</v>
      </c>
      <c r="E73" s="656" t="s">
        <v>2305</v>
      </c>
      <c r="F73" s="654" t="s">
        <v>2377</v>
      </c>
      <c r="G73" s="654" t="s">
        <v>2178</v>
      </c>
      <c r="H73" s="655">
        <v>2182264</v>
      </c>
      <c r="I73" s="654">
        <v>30</v>
      </c>
      <c r="J73" s="653">
        <v>46351</v>
      </c>
      <c r="K73" s="652" t="s">
        <v>2179</v>
      </c>
      <c r="L73" s="1126"/>
    </row>
    <row r="74" spans="1:12" ht="16" hidden="1" thickBot="1" x14ac:dyDescent="0.25">
      <c r="A74" s="657" t="s">
        <v>2172</v>
      </c>
      <c r="B74" s="654" t="s">
        <v>2378</v>
      </c>
      <c r="C74" s="654" t="s">
        <v>2379</v>
      </c>
      <c r="D74" s="654" t="s">
        <v>2304</v>
      </c>
      <c r="E74" s="656" t="s">
        <v>2305</v>
      </c>
      <c r="F74" s="654" t="s">
        <v>2380</v>
      </c>
      <c r="G74" s="654" t="s">
        <v>2178</v>
      </c>
      <c r="H74" s="655">
        <v>412401</v>
      </c>
      <c r="I74" s="654">
        <v>10</v>
      </c>
      <c r="J74" s="653">
        <v>46157</v>
      </c>
      <c r="K74" s="652" t="s">
        <v>2179</v>
      </c>
      <c r="L74" s="1126"/>
    </row>
    <row r="75" spans="1:12" ht="16" hidden="1" thickBot="1" x14ac:dyDescent="0.25">
      <c r="A75" s="657" t="s">
        <v>2172</v>
      </c>
      <c r="B75" s="654" t="s">
        <v>2378</v>
      </c>
      <c r="C75" s="654" t="s">
        <v>2381</v>
      </c>
      <c r="D75" s="654" t="s">
        <v>2304</v>
      </c>
      <c r="E75" s="656" t="s">
        <v>2305</v>
      </c>
      <c r="F75" s="654" t="s">
        <v>2382</v>
      </c>
      <c r="G75" s="654" t="s">
        <v>2178</v>
      </c>
      <c r="H75" s="655">
        <v>806132</v>
      </c>
      <c r="I75" s="654">
        <v>20</v>
      </c>
      <c r="J75" s="653">
        <v>46174</v>
      </c>
      <c r="K75" s="652" t="s">
        <v>2179</v>
      </c>
      <c r="L75" s="1126"/>
    </row>
    <row r="76" spans="1:12" ht="16" hidden="1" thickBot="1" x14ac:dyDescent="0.25">
      <c r="A76" s="657" t="s">
        <v>2172</v>
      </c>
      <c r="B76" s="654" t="s">
        <v>2378</v>
      </c>
      <c r="C76" s="654" t="s">
        <v>2383</v>
      </c>
      <c r="D76" s="654" t="s">
        <v>2304</v>
      </c>
      <c r="E76" s="656" t="s">
        <v>2305</v>
      </c>
      <c r="F76" s="654" t="s">
        <v>2384</v>
      </c>
      <c r="G76" s="654" t="s">
        <v>2178</v>
      </c>
      <c r="H76" s="655">
        <v>3053563</v>
      </c>
      <c r="I76" s="654">
        <v>30</v>
      </c>
      <c r="J76" s="653">
        <v>46351</v>
      </c>
      <c r="K76" s="652" t="s">
        <v>2179</v>
      </c>
      <c r="L76" s="1126"/>
    </row>
    <row r="77" spans="1:12" ht="16" hidden="1" thickBot="1" x14ac:dyDescent="0.25">
      <c r="A77" s="657" t="s">
        <v>2172</v>
      </c>
      <c r="B77" s="654" t="s">
        <v>2385</v>
      </c>
      <c r="C77" s="654" t="s">
        <v>2386</v>
      </c>
      <c r="D77" s="654" t="s">
        <v>2304</v>
      </c>
      <c r="E77" s="656" t="s">
        <v>2305</v>
      </c>
      <c r="F77" s="654" t="s">
        <v>2387</v>
      </c>
      <c r="G77" s="654" t="s">
        <v>2178</v>
      </c>
      <c r="H77" s="655">
        <v>401498</v>
      </c>
      <c r="I77" s="654">
        <v>10</v>
      </c>
      <c r="J77" s="653">
        <v>46202</v>
      </c>
      <c r="K77" s="652" t="s">
        <v>2179</v>
      </c>
      <c r="L77" s="1126"/>
    </row>
    <row r="78" spans="1:12" ht="16" hidden="1" thickBot="1" x14ac:dyDescent="0.25">
      <c r="A78" s="657" t="s">
        <v>2172</v>
      </c>
      <c r="B78" s="654" t="s">
        <v>2385</v>
      </c>
      <c r="C78" s="654" t="s">
        <v>2388</v>
      </c>
      <c r="D78" s="654" t="s">
        <v>2304</v>
      </c>
      <c r="E78" s="656" t="s">
        <v>2305</v>
      </c>
      <c r="F78" s="654" t="s">
        <v>2389</v>
      </c>
      <c r="G78" s="654" t="s">
        <v>2178</v>
      </c>
      <c r="H78" s="655">
        <v>1020619</v>
      </c>
      <c r="I78" s="654">
        <v>20</v>
      </c>
      <c r="J78" s="653">
        <v>46217</v>
      </c>
      <c r="K78" s="652" t="s">
        <v>2179</v>
      </c>
      <c r="L78" s="1126"/>
    </row>
    <row r="79" spans="1:12" ht="16" hidden="1" thickBot="1" x14ac:dyDescent="0.25">
      <c r="A79" s="657" t="s">
        <v>2172</v>
      </c>
      <c r="B79" s="654" t="s">
        <v>2385</v>
      </c>
      <c r="C79" s="654" t="s">
        <v>2390</v>
      </c>
      <c r="D79" s="654" t="s">
        <v>2304</v>
      </c>
      <c r="E79" s="656" t="s">
        <v>2305</v>
      </c>
      <c r="F79" s="654" t="s">
        <v>2391</v>
      </c>
      <c r="G79" s="654" t="s">
        <v>2178</v>
      </c>
      <c r="H79" s="655">
        <v>4107595</v>
      </c>
      <c r="I79" s="654">
        <v>30</v>
      </c>
      <c r="J79" s="653">
        <v>46351</v>
      </c>
      <c r="K79" s="652" t="s">
        <v>2179</v>
      </c>
      <c r="L79" s="1126"/>
    </row>
    <row r="80" spans="1:12" ht="16" hidden="1" thickBot="1" x14ac:dyDescent="0.25">
      <c r="A80" s="657" t="s">
        <v>2172</v>
      </c>
      <c r="B80" s="654" t="s">
        <v>2392</v>
      </c>
      <c r="C80" s="654" t="s">
        <v>2393</v>
      </c>
      <c r="D80" s="654" t="s">
        <v>2304</v>
      </c>
      <c r="E80" s="656" t="s">
        <v>2305</v>
      </c>
      <c r="F80" s="654" t="s">
        <v>2394</v>
      </c>
      <c r="G80" s="654" t="s">
        <v>2178</v>
      </c>
      <c r="H80" s="655">
        <v>295439</v>
      </c>
      <c r="I80" s="654">
        <v>10</v>
      </c>
      <c r="J80" s="653">
        <v>46245</v>
      </c>
      <c r="K80" s="652" t="s">
        <v>2179</v>
      </c>
      <c r="L80" s="1126"/>
    </row>
    <row r="81" spans="1:12" ht="16" hidden="1" thickBot="1" x14ac:dyDescent="0.25">
      <c r="A81" s="657" t="s">
        <v>2172</v>
      </c>
      <c r="B81" s="654" t="s">
        <v>2392</v>
      </c>
      <c r="C81" s="654" t="s">
        <v>2395</v>
      </c>
      <c r="D81" s="654" t="s">
        <v>2304</v>
      </c>
      <c r="E81" s="656" t="s">
        <v>2305</v>
      </c>
      <c r="F81" s="654" t="s">
        <v>2396</v>
      </c>
      <c r="G81" s="654" t="s">
        <v>2178</v>
      </c>
      <c r="H81" s="655">
        <v>391287</v>
      </c>
      <c r="I81" s="654">
        <v>20</v>
      </c>
      <c r="J81" s="653">
        <v>46259</v>
      </c>
      <c r="K81" s="652" t="s">
        <v>2179</v>
      </c>
      <c r="L81" s="1126"/>
    </row>
    <row r="82" spans="1:12" ht="16" hidden="1" thickBot="1" x14ac:dyDescent="0.25">
      <c r="A82" s="657" t="s">
        <v>2172</v>
      </c>
      <c r="B82" s="654" t="s">
        <v>2392</v>
      </c>
      <c r="C82" s="654" t="s">
        <v>2397</v>
      </c>
      <c r="D82" s="654" t="s">
        <v>2304</v>
      </c>
      <c r="E82" s="656" t="s">
        <v>2305</v>
      </c>
      <c r="F82" s="654" t="s">
        <v>2398</v>
      </c>
      <c r="G82" s="654" t="s">
        <v>2178</v>
      </c>
      <c r="H82" s="655">
        <v>2182264</v>
      </c>
      <c r="I82" s="654">
        <v>30</v>
      </c>
      <c r="J82" s="653">
        <v>46351</v>
      </c>
      <c r="K82" s="652" t="s">
        <v>2179</v>
      </c>
      <c r="L82" s="1126"/>
    </row>
    <row r="83" spans="1:12" ht="16" hidden="1" thickBot="1" x14ac:dyDescent="0.25">
      <c r="A83" s="657" t="s">
        <v>2172</v>
      </c>
      <c r="B83" s="654" t="s">
        <v>2399</v>
      </c>
      <c r="C83" s="654" t="s">
        <v>2400</v>
      </c>
      <c r="D83" s="654" t="s">
        <v>2304</v>
      </c>
      <c r="E83" s="656" t="s">
        <v>2305</v>
      </c>
      <c r="F83" s="654" t="s">
        <v>2401</v>
      </c>
      <c r="G83" s="654" t="s">
        <v>2178</v>
      </c>
      <c r="H83" s="655">
        <v>389212</v>
      </c>
      <c r="I83" s="654">
        <v>20</v>
      </c>
      <c r="J83" s="653">
        <v>46087</v>
      </c>
      <c r="K83" s="652" t="s">
        <v>2179</v>
      </c>
      <c r="L83" s="1126"/>
    </row>
    <row r="84" spans="1:12" ht="16" hidden="1" thickBot="1" x14ac:dyDescent="0.25">
      <c r="A84" s="657" t="s">
        <v>2172</v>
      </c>
      <c r="B84" s="654" t="s">
        <v>2399</v>
      </c>
      <c r="C84" s="654" t="s">
        <v>2402</v>
      </c>
      <c r="D84" s="654" t="s">
        <v>2304</v>
      </c>
      <c r="E84" s="656" t="s">
        <v>2305</v>
      </c>
      <c r="F84" s="654" t="s">
        <v>2403</v>
      </c>
      <c r="G84" s="654" t="s">
        <v>2178</v>
      </c>
      <c r="H84" s="655">
        <v>1569853</v>
      </c>
      <c r="I84" s="654">
        <v>30</v>
      </c>
      <c r="J84" s="653">
        <v>46351</v>
      </c>
      <c r="K84" s="652" t="s">
        <v>2179</v>
      </c>
      <c r="L84" s="1126"/>
    </row>
    <row r="85" spans="1:12" ht="16" hidden="1" thickBot="1" x14ac:dyDescent="0.25">
      <c r="A85" s="657" t="s">
        <v>2172</v>
      </c>
      <c r="B85" s="654" t="s">
        <v>2404</v>
      </c>
      <c r="C85" s="654" t="s">
        <v>2405</v>
      </c>
      <c r="D85" s="654" t="s">
        <v>2304</v>
      </c>
      <c r="E85" s="656" t="s">
        <v>2305</v>
      </c>
      <c r="F85" s="654" t="s">
        <v>2406</v>
      </c>
      <c r="G85" s="654" t="s">
        <v>2178</v>
      </c>
      <c r="H85" s="655">
        <v>630463</v>
      </c>
      <c r="I85" s="654">
        <v>20</v>
      </c>
      <c r="J85" s="653">
        <v>46115</v>
      </c>
      <c r="K85" s="652" t="s">
        <v>2179</v>
      </c>
      <c r="L85" s="1126"/>
    </row>
    <row r="86" spans="1:12" ht="16" hidden="1" thickBot="1" x14ac:dyDescent="0.25">
      <c r="A86" s="657" t="s">
        <v>2172</v>
      </c>
      <c r="B86" s="654" t="s">
        <v>2404</v>
      </c>
      <c r="C86" s="654" t="s">
        <v>2407</v>
      </c>
      <c r="D86" s="654" t="s">
        <v>2304</v>
      </c>
      <c r="E86" s="656" t="s">
        <v>2305</v>
      </c>
      <c r="F86" s="654" t="s">
        <v>2408</v>
      </c>
      <c r="G86" s="654" t="s">
        <v>2178</v>
      </c>
      <c r="H86" s="655">
        <v>897750</v>
      </c>
      <c r="I86" s="654">
        <v>30</v>
      </c>
      <c r="J86" s="653">
        <v>46143</v>
      </c>
      <c r="K86" s="652" t="s">
        <v>2179</v>
      </c>
      <c r="L86" s="1126"/>
    </row>
    <row r="87" spans="1:12" ht="16" hidden="1" thickBot="1" x14ac:dyDescent="0.25">
      <c r="A87" s="657" t="s">
        <v>2172</v>
      </c>
      <c r="B87" s="654" t="s">
        <v>2404</v>
      </c>
      <c r="C87" s="654" t="s">
        <v>2409</v>
      </c>
      <c r="D87" s="654" t="s">
        <v>2304</v>
      </c>
      <c r="E87" s="656" t="s">
        <v>2305</v>
      </c>
      <c r="F87" s="654" t="s">
        <v>2410</v>
      </c>
      <c r="G87" s="654" t="s">
        <v>2178</v>
      </c>
      <c r="H87" s="655">
        <v>3019470</v>
      </c>
      <c r="I87" s="654">
        <v>30</v>
      </c>
      <c r="J87" s="653">
        <v>46351</v>
      </c>
      <c r="K87" s="652" t="s">
        <v>2179</v>
      </c>
      <c r="L87" s="1126"/>
    </row>
    <row r="88" spans="1:12" ht="16" hidden="1" thickBot="1" x14ac:dyDescent="0.25">
      <c r="A88" s="657" t="s">
        <v>2172</v>
      </c>
      <c r="B88" s="654" t="s">
        <v>2411</v>
      </c>
      <c r="C88" s="654" t="s">
        <v>2412</v>
      </c>
      <c r="D88" s="654" t="s">
        <v>2304</v>
      </c>
      <c r="E88" s="656" t="s">
        <v>2305</v>
      </c>
      <c r="F88" s="654" t="s">
        <v>2413</v>
      </c>
      <c r="G88" s="654" t="s">
        <v>2178</v>
      </c>
      <c r="H88" s="655">
        <v>2424404</v>
      </c>
      <c r="I88" s="654">
        <v>150</v>
      </c>
      <c r="J88" s="653">
        <v>46029</v>
      </c>
      <c r="K88" s="652" t="s">
        <v>2179</v>
      </c>
      <c r="L88" s="1126"/>
    </row>
    <row r="89" spans="1:12" ht="16" hidden="1" thickBot="1" x14ac:dyDescent="0.25">
      <c r="A89" s="657" t="s">
        <v>2172</v>
      </c>
      <c r="B89" s="654" t="s">
        <v>2411</v>
      </c>
      <c r="C89" s="654" t="s">
        <v>2414</v>
      </c>
      <c r="D89" s="654" t="s">
        <v>2304</v>
      </c>
      <c r="E89" s="656" t="s">
        <v>2305</v>
      </c>
      <c r="F89" s="654" t="s">
        <v>2415</v>
      </c>
      <c r="G89" s="654" t="s">
        <v>2178</v>
      </c>
      <c r="H89" s="655">
        <v>1113464</v>
      </c>
      <c r="I89" s="654">
        <v>30</v>
      </c>
      <c r="J89" s="653">
        <v>45833</v>
      </c>
      <c r="K89" s="652" t="s">
        <v>2179</v>
      </c>
      <c r="L89" s="1126"/>
    </row>
    <row r="90" spans="1:12" ht="16" hidden="1" thickBot="1" x14ac:dyDescent="0.25">
      <c r="A90" s="657" t="s">
        <v>2172</v>
      </c>
      <c r="B90" s="654" t="s">
        <v>2411</v>
      </c>
      <c r="C90" s="654" t="s">
        <v>2416</v>
      </c>
      <c r="D90" s="654" t="s">
        <v>2304</v>
      </c>
      <c r="E90" s="656" t="s">
        <v>2305</v>
      </c>
      <c r="F90" s="654" t="s">
        <v>2417</v>
      </c>
      <c r="G90" s="654" t="s">
        <v>2178</v>
      </c>
      <c r="H90" s="655">
        <v>2899148</v>
      </c>
      <c r="I90" s="654">
        <v>160</v>
      </c>
      <c r="J90" s="653">
        <v>45876</v>
      </c>
      <c r="K90" s="652" t="s">
        <v>2179</v>
      </c>
      <c r="L90" s="1126"/>
    </row>
    <row r="91" spans="1:12" ht="16" hidden="1" thickBot="1" x14ac:dyDescent="0.25">
      <c r="A91" s="657" t="s">
        <v>2172</v>
      </c>
      <c r="B91" s="654" t="s">
        <v>2411</v>
      </c>
      <c r="C91" s="654" t="s">
        <v>2418</v>
      </c>
      <c r="D91" s="654" t="s">
        <v>2304</v>
      </c>
      <c r="E91" s="656" t="s">
        <v>2305</v>
      </c>
      <c r="F91" s="654" t="s">
        <v>2419</v>
      </c>
      <c r="G91" s="654" t="s">
        <v>2178</v>
      </c>
      <c r="H91" s="655">
        <v>1080188</v>
      </c>
      <c r="I91" s="654">
        <v>100</v>
      </c>
      <c r="J91" s="653">
        <v>46113</v>
      </c>
      <c r="K91" s="652" t="s">
        <v>2179</v>
      </c>
      <c r="L91" s="1126"/>
    </row>
    <row r="92" spans="1:12" ht="16" hidden="1" thickBot="1" x14ac:dyDescent="0.25">
      <c r="A92" s="657" t="s">
        <v>2172</v>
      </c>
      <c r="B92" s="654" t="s">
        <v>2411</v>
      </c>
      <c r="C92" s="654" t="s">
        <v>2420</v>
      </c>
      <c r="D92" s="654" t="s">
        <v>2304</v>
      </c>
      <c r="E92" s="656" t="s">
        <v>2305</v>
      </c>
      <c r="F92" s="654" t="s">
        <v>2421</v>
      </c>
      <c r="G92" s="654" t="s">
        <v>2178</v>
      </c>
      <c r="H92" s="655">
        <v>2552193</v>
      </c>
      <c r="I92" s="654">
        <v>80</v>
      </c>
      <c r="J92" s="653">
        <v>46255</v>
      </c>
      <c r="K92" s="652" t="s">
        <v>2179</v>
      </c>
      <c r="L92" s="1126"/>
    </row>
    <row r="93" spans="1:12" ht="16" hidden="1" thickBot="1" x14ac:dyDescent="0.25">
      <c r="A93" s="657" t="s">
        <v>2172</v>
      </c>
      <c r="B93" s="654" t="s">
        <v>2422</v>
      </c>
      <c r="C93" s="654" t="s">
        <v>2423</v>
      </c>
      <c r="D93" s="654" t="s">
        <v>2304</v>
      </c>
      <c r="E93" s="656" t="s">
        <v>2305</v>
      </c>
      <c r="F93" s="654" t="s">
        <v>2424</v>
      </c>
      <c r="G93" s="654" t="s">
        <v>2178</v>
      </c>
      <c r="H93" s="655">
        <v>1041602</v>
      </c>
      <c r="I93" s="654">
        <v>90</v>
      </c>
      <c r="J93" s="653">
        <v>46308</v>
      </c>
      <c r="K93" s="652" t="s">
        <v>2179</v>
      </c>
      <c r="L93" s="1126"/>
    </row>
    <row r="94" spans="1:12" ht="16" hidden="1" thickBot="1" x14ac:dyDescent="0.25">
      <c r="A94" s="651" t="s">
        <v>2172</v>
      </c>
      <c r="B94" s="648" t="s">
        <v>2422</v>
      </c>
      <c r="C94" s="648" t="s">
        <v>2425</v>
      </c>
      <c r="D94" s="648" t="s">
        <v>2304</v>
      </c>
      <c r="E94" s="650" t="s">
        <v>2305</v>
      </c>
      <c r="F94" s="648" t="s">
        <v>2426</v>
      </c>
      <c r="G94" s="648" t="s">
        <v>2178</v>
      </c>
      <c r="H94" s="649">
        <v>545389</v>
      </c>
      <c r="I94" s="648">
        <v>20</v>
      </c>
      <c r="J94" s="647">
        <v>46443</v>
      </c>
      <c r="K94" s="646" t="s">
        <v>2179</v>
      </c>
      <c r="L94" s="1127"/>
    </row>
    <row r="95" spans="1:12" ht="16" hidden="1" thickBot="1" x14ac:dyDescent="0.25">
      <c r="A95" s="409" t="s">
        <v>2172</v>
      </c>
      <c r="B95" s="406" t="s">
        <v>2427</v>
      </c>
      <c r="C95" s="406" t="s">
        <v>2428</v>
      </c>
      <c r="D95" s="406" t="s">
        <v>2429</v>
      </c>
      <c r="E95" s="408" t="s">
        <v>2430</v>
      </c>
      <c r="F95" s="406" t="s">
        <v>2431</v>
      </c>
      <c r="G95" s="406" t="s">
        <v>2178</v>
      </c>
      <c r="H95" s="407">
        <v>2210800</v>
      </c>
      <c r="I95" s="406">
        <v>150</v>
      </c>
      <c r="J95" s="405">
        <v>46283</v>
      </c>
      <c r="K95" s="404" t="s">
        <v>2432</v>
      </c>
      <c r="L95" s="403" t="s">
        <v>2192</v>
      </c>
    </row>
    <row r="96" spans="1:12" ht="16" hidden="1" thickBot="1" x14ac:dyDescent="0.25">
      <c r="A96" s="409" t="s">
        <v>2172</v>
      </c>
      <c r="B96" s="406" t="s">
        <v>2427</v>
      </c>
      <c r="C96" s="406" t="s">
        <v>2433</v>
      </c>
      <c r="D96" s="406" t="s">
        <v>2434</v>
      </c>
      <c r="E96" s="408" t="s">
        <v>2430</v>
      </c>
      <c r="F96" s="406" t="s">
        <v>2435</v>
      </c>
      <c r="G96" s="406" t="s">
        <v>2178</v>
      </c>
      <c r="H96" s="407">
        <v>531000</v>
      </c>
      <c r="I96" s="406">
        <v>100</v>
      </c>
      <c r="J96" s="405">
        <v>46343</v>
      </c>
      <c r="K96" s="404" t="s">
        <v>2432</v>
      </c>
      <c r="L96" s="403" t="s">
        <v>2192</v>
      </c>
    </row>
    <row r="97" spans="1:12" ht="16" hidden="1" thickBot="1" x14ac:dyDescent="0.25">
      <c r="A97" s="645" t="s">
        <v>2172</v>
      </c>
      <c r="B97" s="642" t="s">
        <v>2436</v>
      </c>
      <c r="C97" s="642" t="s">
        <v>2437</v>
      </c>
      <c r="D97" s="642" t="s">
        <v>2438</v>
      </c>
      <c r="E97" s="644" t="s">
        <v>2439</v>
      </c>
      <c r="F97" s="642" t="s">
        <v>2440</v>
      </c>
      <c r="G97" s="642" t="s">
        <v>2178</v>
      </c>
      <c r="H97" s="643">
        <v>1448067</v>
      </c>
      <c r="I97" s="642">
        <v>80</v>
      </c>
      <c r="J97" s="641">
        <v>44775</v>
      </c>
      <c r="K97" s="640" t="s">
        <v>2179</v>
      </c>
      <c r="L97" s="1128" t="s">
        <v>2192</v>
      </c>
    </row>
    <row r="98" spans="1:12" ht="16" hidden="1" thickBot="1" x14ac:dyDescent="0.25">
      <c r="A98" s="639" t="s">
        <v>2172</v>
      </c>
      <c r="B98" s="636" t="s">
        <v>2436</v>
      </c>
      <c r="C98" s="636" t="s">
        <v>2441</v>
      </c>
      <c r="D98" s="636" t="s">
        <v>2438</v>
      </c>
      <c r="E98" s="638" t="s">
        <v>2439</v>
      </c>
      <c r="F98" s="636" t="s">
        <v>2442</v>
      </c>
      <c r="G98" s="636" t="s">
        <v>2178</v>
      </c>
      <c r="H98" s="637">
        <v>1810084</v>
      </c>
      <c r="I98" s="636">
        <v>100</v>
      </c>
      <c r="J98" s="635">
        <v>44894</v>
      </c>
      <c r="K98" s="634" t="s">
        <v>2179</v>
      </c>
      <c r="L98" s="1129"/>
    </row>
    <row r="99" spans="1:12" s="3" customFormat="1" ht="16" hidden="1" thickBot="1" x14ac:dyDescent="0.25">
      <c r="A99" s="639" t="s">
        <v>2172</v>
      </c>
      <c r="B99" s="636" t="s">
        <v>2436</v>
      </c>
      <c r="C99" s="636" t="s">
        <v>2443</v>
      </c>
      <c r="D99" s="636" t="s">
        <v>2438</v>
      </c>
      <c r="E99" s="638" t="s">
        <v>2439</v>
      </c>
      <c r="F99" s="636" t="s">
        <v>2444</v>
      </c>
      <c r="G99" s="636" t="s">
        <v>2178</v>
      </c>
      <c r="H99" s="637">
        <v>362017</v>
      </c>
      <c r="I99" s="636">
        <v>20</v>
      </c>
      <c r="J99" s="635">
        <v>45040</v>
      </c>
      <c r="K99" s="634" t="s">
        <v>2179</v>
      </c>
      <c r="L99" s="1129"/>
    </row>
    <row r="100" spans="1:12" ht="16" hidden="1" thickBot="1" x14ac:dyDescent="0.25">
      <c r="A100" s="639" t="s">
        <v>2172</v>
      </c>
      <c r="B100" s="636" t="s">
        <v>2436</v>
      </c>
      <c r="C100" s="636" t="s">
        <v>2445</v>
      </c>
      <c r="D100" s="636" t="s">
        <v>2438</v>
      </c>
      <c r="E100" s="638" t="s">
        <v>2439</v>
      </c>
      <c r="F100" s="636" t="s">
        <v>2446</v>
      </c>
      <c r="G100" s="636" t="s">
        <v>2178</v>
      </c>
      <c r="H100" s="637">
        <v>1357563</v>
      </c>
      <c r="I100" s="636">
        <v>75</v>
      </c>
      <c r="J100" s="635">
        <v>45068</v>
      </c>
      <c r="K100" s="634" t="s">
        <v>2179</v>
      </c>
      <c r="L100" s="1129"/>
    </row>
    <row r="101" spans="1:12" s="3" customFormat="1" ht="16" hidden="1" thickBot="1" x14ac:dyDescent="0.25">
      <c r="A101" s="639" t="s">
        <v>2172</v>
      </c>
      <c r="B101" s="636" t="s">
        <v>2436</v>
      </c>
      <c r="C101" s="636" t="s">
        <v>2447</v>
      </c>
      <c r="D101" s="636" t="s">
        <v>2438</v>
      </c>
      <c r="E101" s="638" t="s">
        <v>2439</v>
      </c>
      <c r="F101" s="636" t="s">
        <v>2448</v>
      </c>
      <c r="G101" s="636" t="s">
        <v>2178</v>
      </c>
      <c r="H101" s="637">
        <v>1357563</v>
      </c>
      <c r="I101" s="636">
        <v>75</v>
      </c>
      <c r="J101" s="635">
        <v>45176</v>
      </c>
      <c r="K101" s="634" t="s">
        <v>2179</v>
      </c>
      <c r="L101" s="1129"/>
    </row>
    <row r="102" spans="1:12" ht="16" hidden="1" thickBot="1" x14ac:dyDescent="0.25">
      <c r="A102" s="639" t="s">
        <v>2172</v>
      </c>
      <c r="B102" s="636" t="s">
        <v>2436</v>
      </c>
      <c r="C102" s="636" t="s">
        <v>2449</v>
      </c>
      <c r="D102" s="636" t="s">
        <v>2438</v>
      </c>
      <c r="E102" s="638" t="s">
        <v>2439</v>
      </c>
      <c r="F102" s="636" t="s">
        <v>2450</v>
      </c>
      <c r="G102" s="636" t="s">
        <v>2178</v>
      </c>
      <c r="H102" s="637">
        <v>1357563</v>
      </c>
      <c r="I102" s="636">
        <v>75</v>
      </c>
      <c r="J102" s="635">
        <v>45176</v>
      </c>
      <c r="K102" s="634" t="s">
        <v>2179</v>
      </c>
      <c r="L102" s="1129"/>
    </row>
    <row r="103" spans="1:12" s="3" customFormat="1" ht="16" hidden="1" thickBot="1" x14ac:dyDescent="0.25">
      <c r="A103" s="639" t="s">
        <v>2172</v>
      </c>
      <c r="B103" s="636" t="s">
        <v>2436</v>
      </c>
      <c r="C103" s="636" t="s">
        <v>2451</v>
      </c>
      <c r="D103" s="636" t="s">
        <v>2438</v>
      </c>
      <c r="E103" s="638" t="s">
        <v>2439</v>
      </c>
      <c r="F103" s="636" t="s">
        <v>2452</v>
      </c>
      <c r="G103" s="636" t="s">
        <v>2178</v>
      </c>
      <c r="H103" s="637">
        <v>1629076</v>
      </c>
      <c r="I103" s="636">
        <v>90</v>
      </c>
      <c r="J103" s="635">
        <v>45288</v>
      </c>
      <c r="K103" s="634" t="s">
        <v>2179</v>
      </c>
      <c r="L103" s="1129"/>
    </row>
    <row r="104" spans="1:12" ht="16" hidden="1" thickBot="1" x14ac:dyDescent="0.25">
      <c r="A104" s="639" t="s">
        <v>2172</v>
      </c>
      <c r="B104" s="636" t="s">
        <v>2436</v>
      </c>
      <c r="C104" s="636" t="s">
        <v>2453</v>
      </c>
      <c r="D104" s="636" t="s">
        <v>2438</v>
      </c>
      <c r="E104" s="638" t="s">
        <v>2439</v>
      </c>
      <c r="F104" s="636" t="s">
        <v>2454</v>
      </c>
      <c r="G104" s="636" t="s">
        <v>2178</v>
      </c>
      <c r="H104" s="637">
        <v>633529</v>
      </c>
      <c r="I104" s="636">
        <v>35</v>
      </c>
      <c r="J104" s="635">
        <v>45419</v>
      </c>
      <c r="K104" s="634" t="s">
        <v>2179</v>
      </c>
      <c r="L104" s="1129"/>
    </row>
    <row r="105" spans="1:12" s="3" customFormat="1" ht="16" hidden="1" thickBot="1" x14ac:dyDescent="0.25">
      <c r="A105" s="639" t="s">
        <v>2172</v>
      </c>
      <c r="B105" s="636" t="s">
        <v>2436</v>
      </c>
      <c r="C105" s="636" t="s">
        <v>2455</v>
      </c>
      <c r="D105" s="636" t="s">
        <v>2438</v>
      </c>
      <c r="E105" s="638" t="s">
        <v>2439</v>
      </c>
      <c r="F105" s="636" t="s">
        <v>2456</v>
      </c>
      <c r="G105" s="636" t="s">
        <v>2178</v>
      </c>
      <c r="H105" s="637">
        <v>724034</v>
      </c>
      <c r="I105" s="636">
        <v>40</v>
      </c>
      <c r="J105" s="635">
        <v>45469</v>
      </c>
      <c r="K105" s="634" t="s">
        <v>2179</v>
      </c>
      <c r="L105" s="1129"/>
    </row>
    <row r="106" spans="1:12" ht="16" hidden="1" thickBot="1" x14ac:dyDescent="0.25">
      <c r="A106" s="639" t="s">
        <v>2172</v>
      </c>
      <c r="B106" s="636" t="s">
        <v>2436</v>
      </c>
      <c r="C106" s="636" t="s">
        <v>2457</v>
      </c>
      <c r="D106" s="636" t="s">
        <v>2438</v>
      </c>
      <c r="E106" s="638" t="s">
        <v>2439</v>
      </c>
      <c r="F106" s="636" t="s">
        <v>2458</v>
      </c>
      <c r="G106" s="636" t="s">
        <v>2178</v>
      </c>
      <c r="H106" s="637">
        <v>703549</v>
      </c>
      <c r="I106" s="636">
        <v>29</v>
      </c>
      <c r="J106" s="635">
        <v>45526</v>
      </c>
      <c r="K106" s="634" t="s">
        <v>2179</v>
      </c>
      <c r="L106" s="1129"/>
    </row>
    <row r="107" spans="1:12" ht="16" hidden="1" thickBot="1" x14ac:dyDescent="0.25">
      <c r="A107" s="639" t="s">
        <v>2172</v>
      </c>
      <c r="B107" s="636" t="s">
        <v>2436</v>
      </c>
      <c r="C107" s="636" t="s">
        <v>2459</v>
      </c>
      <c r="D107" s="636" t="s">
        <v>2438</v>
      </c>
      <c r="E107" s="638" t="s">
        <v>2439</v>
      </c>
      <c r="F107" s="636" t="s">
        <v>2460</v>
      </c>
      <c r="G107" s="636" t="s">
        <v>2178</v>
      </c>
      <c r="H107" s="637">
        <v>925722</v>
      </c>
      <c r="I107" s="636">
        <v>250</v>
      </c>
      <c r="J107" s="635">
        <v>45568</v>
      </c>
      <c r="K107" s="634" t="s">
        <v>2179</v>
      </c>
      <c r="L107" s="1129"/>
    </row>
    <row r="108" spans="1:12" ht="16" hidden="1" thickBot="1" x14ac:dyDescent="0.25">
      <c r="A108" s="639" t="s">
        <v>2172</v>
      </c>
      <c r="B108" s="636" t="s">
        <v>2436</v>
      </c>
      <c r="C108" s="636" t="s">
        <v>2461</v>
      </c>
      <c r="D108" s="636" t="s">
        <v>2438</v>
      </c>
      <c r="E108" s="638" t="s">
        <v>2439</v>
      </c>
      <c r="F108" s="636" t="s">
        <v>2462</v>
      </c>
      <c r="G108" s="636" t="s">
        <v>2178</v>
      </c>
      <c r="H108" s="637">
        <v>925722</v>
      </c>
      <c r="I108" s="636">
        <v>250</v>
      </c>
      <c r="J108" s="635">
        <v>45933</v>
      </c>
      <c r="K108" s="634" t="s">
        <v>2179</v>
      </c>
      <c r="L108" s="1129"/>
    </row>
    <row r="109" spans="1:12" ht="16" hidden="1" thickBot="1" x14ac:dyDescent="0.25">
      <c r="A109" s="639" t="s">
        <v>2172</v>
      </c>
      <c r="B109" s="636" t="s">
        <v>2436</v>
      </c>
      <c r="C109" s="636" t="s">
        <v>2463</v>
      </c>
      <c r="D109" s="636" t="s">
        <v>2438</v>
      </c>
      <c r="E109" s="638" t="s">
        <v>2439</v>
      </c>
      <c r="F109" s="636" t="s">
        <v>2464</v>
      </c>
      <c r="G109" s="636" t="s">
        <v>2178</v>
      </c>
      <c r="H109" s="637">
        <v>925722</v>
      </c>
      <c r="I109" s="636">
        <v>250</v>
      </c>
      <c r="J109" s="635">
        <v>46300</v>
      </c>
      <c r="K109" s="634" t="s">
        <v>2179</v>
      </c>
      <c r="L109" s="1129"/>
    </row>
    <row r="110" spans="1:12" ht="16" hidden="1" thickBot="1" x14ac:dyDescent="0.25">
      <c r="A110" s="639" t="s">
        <v>2172</v>
      </c>
      <c r="B110" s="636" t="s">
        <v>2436</v>
      </c>
      <c r="C110" s="636" t="s">
        <v>2465</v>
      </c>
      <c r="D110" s="636" t="s">
        <v>2438</v>
      </c>
      <c r="E110" s="638" t="s">
        <v>2439</v>
      </c>
      <c r="F110" s="636" t="s">
        <v>2466</v>
      </c>
      <c r="G110" s="636" t="s">
        <v>2178</v>
      </c>
      <c r="H110" s="637">
        <v>925722</v>
      </c>
      <c r="I110" s="636">
        <v>250</v>
      </c>
      <c r="J110" s="635">
        <v>46665</v>
      </c>
      <c r="K110" s="634" t="s">
        <v>2179</v>
      </c>
      <c r="L110" s="1129"/>
    </row>
    <row r="111" spans="1:12" ht="16" hidden="1" thickBot="1" x14ac:dyDescent="0.25">
      <c r="A111" s="639" t="s">
        <v>2172</v>
      </c>
      <c r="B111" s="636" t="s">
        <v>2436</v>
      </c>
      <c r="C111" s="636" t="s">
        <v>2467</v>
      </c>
      <c r="D111" s="636" t="s">
        <v>2438</v>
      </c>
      <c r="E111" s="638" t="s">
        <v>2439</v>
      </c>
      <c r="F111" s="636" t="s">
        <v>2468</v>
      </c>
      <c r="G111" s="636" t="s">
        <v>2178</v>
      </c>
      <c r="H111" s="637">
        <v>922020</v>
      </c>
      <c r="I111" s="636">
        <v>249</v>
      </c>
      <c r="J111" s="635">
        <v>47030</v>
      </c>
      <c r="K111" s="634" t="s">
        <v>2179</v>
      </c>
      <c r="L111" s="1129"/>
    </row>
    <row r="112" spans="1:12" ht="16" hidden="1" thickBot="1" x14ac:dyDescent="0.25">
      <c r="A112" s="639" t="s">
        <v>2172</v>
      </c>
      <c r="B112" s="636" t="s">
        <v>2436</v>
      </c>
      <c r="C112" s="636" t="s">
        <v>2469</v>
      </c>
      <c r="D112" s="636" t="s">
        <v>2438</v>
      </c>
      <c r="E112" s="638" t="s">
        <v>2439</v>
      </c>
      <c r="F112" s="636" t="s">
        <v>2470</v>
      </c>
      <c r="G112" s="636" t="s">
        <v>2178</v>
      </c>
      <c r="H112" s="637">
        <v>925722</v>
      </c>
      <c r="I112" s="636">
        <v>250</v>
      </c>
      <c r="J112" s="635">
        <v>47394</v>
      </c>
      <c r="K112" s="634" t="s">
        <v>2179</v>
      </c>
      <c r="L112" s="1129"/>
    </row>
    <row r="113" spans="1:13" ht="16" hidden="1" thickBot="1" x14ac:dyDescent="0.25">
      <c r="A113" s="633" t="s">
        <v>2172</v>
      </c>
      <c r="B113" s="630" t="s">
        <v>2436</v>
      </c>
      <c r="C113" s="630" t="s">
        <v>2471</v>
      </c>
      <c r="D113" s="630" t="s">
        <v>2438</v>
      </c>
      <c r="E113" s="632" t="s">
        <v>2439</v>
      </c>
      <c r="F113" s="630" t="s">
        <v>2472</v>
      </c>
      <c r="G113" s="630" t="s">
        <v>2178</v>
      </c>
      <c r="H113" s="631">
        <v>555433</v>
      </c>
      <c r="I113" s="630">
        <v>150</v>
      </c>
      <c r="J113" s="629">
        <v>47759</v>
      </c>
      <c r="K113" s="628" t="s">
        <v>2179</v>
      </c>
      <c r="L113" s="1130"/>
    </row>
    <row r="114" spans="1:13" ht="16" hidden="1" thickBot="1" x14ac:dyDescent="0.25">
      <c r="A114" s="645" t="s">
        <v>2172</v>
      </c>
      <c r="B114" s="642" t="s">
        <v>2473</v>
      </c>
      <c r="C114" s="642" t="s">
        <v>2474</v>
      </c>
      <c r="D114" s="642" t="s">
        <v>2475</v>
      </c>
      <c r="E114" s="644" t="s">
        <v>2439</v>
      </c>
      <c r="F114" s="642" t="s">
        <v>2476</v>
      </c>
      <c r="G114" s="642" t="s">
        <v>2178</v>
      </c>
      <c r="H114" s="643">
        <v>400000</v>
      </c>
      <c r="I114" s="642">
        <v>190</v>
      </c>
      <c r="J114" s="641">
        <v>45775</v>
      </c>
      <c r="K114" s="640" t="s">
        <v>2179</v>
      </c>
      <c r="L114" s="1128" t="s">
        <v>2192</v>
      </c>
    </row>
    <row r="115" spans="1:13" s="3" customFormat="1" ht="16" hidden="1" thickBot="1" x14ac:dyDescent="0.25">
      <c r="A115" s="639" t="s">
        <v>2172</v>
      </c>
      <c r="B115" s="636" t="s">
        <v>2473</v>
      </c>
      <c r="C115" s="636" t="s">
        <v>2477</v>
      </c>
      <c r="D115" s="636" t="s">
        <v>2475</v>
      </c>
      <c r="E115" s="638" t="s">
        <v>2439</v>
      </c>
      <c r="F115" s="636" t="s">
        <v>2478</v>
      </c>
      <c r="G115" s="636" t="s">
        <v>2178</v>
      </c>
      <c r="H115" s="637">
        <v>650000</v>
      </c>
      <c r="I115" s="636">
        <v>250</v>
      </c>
      <c r="J115" s="635">
        <v>46055</v>
      </c>
      <c r="K115" s="634" t="s">
        <v>2179</v>
      </c>
      <c r="L115" s="1129"/>
    </row>
    <row r="116" spans="1:13" ht="16" hidden="1" thickBot="1" x14ac:dyDescent="0.25">
      <c r="A116" s="639" t="s">
        <v>2172</v>
      </c>
      <c r="B116" s="636" t="s">
        <v>2473</v>
      </c>
      <c r="C116" s="636" t="s">
        <v>2479</v>
      </c>
      <c r="D116" s="636" t="s">
        <v>2475</v>
      </c>
      <c r="E116" s="638" t="s">
        <v>2439</v>
      </c>
      <c r="F116" s="636" t="s">
        <v>2480</v>
      </c>
      <c r="G116" s="636" t="s">
        <v>2178</v>
      </c>
      <c r="H116" s="637">
        <v>650000</v>
      </c>
      <c r="I116" s="636">
        <v>250</v>
      </c>
      <c r="J116" s="635">
        <v>46420</v>
      </c>
      <c r="K116" s="634" t="s">
        <v>2179</v>
      </c>
      <c r="L116" s="1129"/>
    </row>
    <row r="117" spans="1:13" s="3" customFormat="1" ht="16" hidden="1" thickBot="1" x14ac:dyDescent="0.25">
      <c r="A117" s="633" t="s">
        <v>2172</v>
      </c>
      <c r="B117" s="630" t="s">
        <v>2473</v>
      </c>
      <c r="C117" s="630" t="s">
        <v>2481</v>
      </c>
      <c r="D117" s="630" t="s">
        <v>2475</v>
      </c>
      <c r="E117" s="632" t="s">
        <v>2439</v>
      </c>
      <c r="F117" s="630" t="s">
        <v>2482</v>
      </c>
      <c r="G117" s="630" t="s">
        <v>2178</v>
      </c>
      <c r="H117" s="631">
        <v>325000</v>
      </c>
      <c r="I117" s="630">
        <v>250</v>
      </c>
      <c r="J117" s="629">
        <v>46785</v>
      </c>
      <c r="K117" s="628" t="s">
        <v>2179</v>
      </c>
      <c r="L117" s="1130"/>
    </row>
    <row r="118" spans="1:13" ht="16" hidden="1" thickBot="1" x14ac:dyDescent="0.25">
      <c r="A118" s="627" t="s">
        <v>2172</v>
      </c>
      <c r="B118" s="624" t="s">
        <v>2473</v>
      </c>
      <c r="C118" s="624" t="s">
        <v>2483</v>
      </c>
      <c r="D118" s="624" t="s">
        <v>2484</v>
      </c>
      <c r="E118" s="626" t="s">
        <v>2439</v>
      </c>
      <c r="F118" s="624" t="s">
        <v>2485</v>
      </c>
      <c r="G118" s="624" t="s">
        <v>2178</v>
      </c>
      <c r="H118" s="625">
        <v>800000</v>
      </c>
      <c r="I118" s="624">
        <v>750</v>
      </c>
      <c r="J118" s="623">
        <v>44862</v>
      </c>
      <c r="K118" s="622" t="s">
        <v>2179</v>
      </c>
      <c r="L118" s="621" t="s">
        <v>2192</v>
      </c>
    </row>
    <row r="119" spans="1:13" s="3" customFormat="1" ht="16" hidden="1" thickBot="1" x14ac:dyDescent="0.25">
      <c r="A119" s="551" t="s">
        <v>2172</v>
      </c>
      <c r="B119" s="548" t="s">
        <v>2486</v>
      </c>
      <c r="C119" s="548" t="s">
        <v>2487</v>
      </c>
      <c r="D119" s="548" t="s">
        <v>2488</v>
      </c>
      <c r="E119" s="550" t="s">
        <v>2489</v>
      </c>
      <c r="F119" s="548" t="s">
        <v>2490</v>
      </c>
      <c r="G119" s="548" t="s">
        <v>2178</v>
      </c>
      <c r="H119" s="549">
        <v>2000000</v>
      </c>
      <c r="I119" s="548">
        <v>250</v>
      </c>
      <c r="J119" s="547">
        <v>46134</v>
      </c>
      <c r="K119" s="546" t="s">
        <v>2432</v>
      </c>
      <c r="L119" s="552" t="s">
        <v>2491</v>
      </c>
      <c r="M119" s="3" t="s">
        <v>2492</v>
      </c>
    </row>
    <row r="120" spans="1:13" ht="16" hidden="1" thickBot="1" x14ac:dyDescent="0.25">
      <c r="A120" s="551" t="s">
        <v>2172</v>
      </c>
      <c r="B120" s="548" t="s">
        <v>2486</v>
      </c>
      <c r="C120" s="548" t="s">
        <v>2493</v>
      </c>
      <c r="D120" s="548" t="s">
        <v>2494</v>
      </c>
      <c r="E120" s="550" t="s">
        <v>2489</v>
      </c>
      <c r="F120" s="548" t="s">
        <v>2495</v>
      </c>
      <c r="G120" s="548" t="s">
        <v>2178</v>
      </c>
      <c r="H120" s="549">
        <v>330000</v>
      </c>
      <c r="I120" s="548">
        <v>125</v>
      </c>
      <c r="J120" s="547">
        <v>45811</v>
      </c>
      <c r="K120" s="546" t="s">
        <v>2432</v>
      </c>
      <c r="L120" s="545" t="s">
        <v>2491</v>
      </c>
      <c r="M120" t="s">
        <v>2496</v>
      </c>
    </row>
    <row r="121" spans="1:13" s="3" customFormat="1" ht="16" hidden="1" thickBot="1" x14ac:dyDescent="0.25">
      <c r="A121" s="551" t="s">
        <v>2172</v>
      </c>
      <c r="B121" s="548" t="s">
        <v>2486</v>
      </c>
      <c r="C121" s="548" t="s">
        <v>2497</v>
      </c>
      <c r="D121" s="548" t="s">
        <v>2494</v>
      </c>
      <c r="E121" s="550" t="s">
        <v>2489</v>
      </c>
      <c r="F121" s="548" t="s">
        <v>2498</v>
      </c>
      <c r="G121" s="548" t="s">
        <v>2178</v>
      </c>
      <c r="H121" s="549">
        <v>687740</v>
      </c>
      <c r="I121" s="548">
        <v>125</v>
      </c>
      <c r="J121" s="547">
        <v>45811</v>
      </c>
      <c r="K121" s="546" t="s">
        <v>2432</v>
      </c>
      <c r="L121" s="545" t="s">
        <v>2491</v>
      </c>
    </row>
    <row r="122" spans="1:13" ht="16" hidden="1" thickBot="1" x14ac:dyDescent="0.25">
      <c r="A122" s="620" t="s">
        <v>2172</v>
      </c>
      <c r="B122" s="617" t="s">
        <v>2486</v>
      </c>
      <c r="C122" s="617" t="s">
        <v>2499</v>
      </c>
      <c r="D122" s="617" t="s">
        <v>2500</v>
      </c>
      <c r="E122" s="619" t="s">
        <v>2489</v>
      </c>
      <c r="F122" s="617" t="s">
        <v>2501</v>
      </c>
      <c r="G122" s="617" t="s">
        <v>2178</v>
      </c>
      <c r="H122" s="618">
        <v>1719000</v>
      </c>
      <c r="I122" s="617">
        <v>250</v>
      </c>
      <c r="J122" s="616">
        <v>45918</v>
      </c>
      <c r="K122" s="615" t="s">
        <v>2432</v>
      </c>
      <c r="L122" s="559" t="s">
        <v>2192</v>
      </c>
    </row>
    <row r="123" spans="1:13" s="3" customFormat="1" ht="16" hidden="1" thickBot="1" x14ac:dyDescent="0.25">
      <c r="A123" s="551" t="s">
        <v>2172</v>
      </c>
      <c r="B123" s="548" t="s">
        <v>2486</v>
      </c>
      <c r="C123" s="548" t="s">
        <v>2502</v>
      </c>
      <c r="D123" s="548" t="s">
        <v>2503</v>
      </c>
      <c r="E123" s="550" t="s">
        <v>2489</v>
      </c>
      <c r="F123" s="548" t="s">
        <v>2504</v>
      </c>
      <c r="G123" s="548" t="s">
        <v>2178</v>
      </c>
      <c r="H123" s="549">
        <v>546000</v>
      </c>
      <c r="I123" s="548">
        <v>250</v>
      </c>
      <c r="J123" s="547">
        <v>45757</v>
      </c>
      <c r="K123" s="546" t="s">
        <v>2432</v>
      </c>
      <c r="L123" s="545" t="s">
        <v>2192</v>
      </c>
    </row>
    <row r="124" spans="1:13" ht="16" hidden="1" thickBot="1" x14ac:dyDescent="0.25">
      <c r="A124" s="613" t="s">
        <v>2172</v>
      </c>
      <c r="B124" s="610" t="s">
        <v>2486</v>
      </c>
      <c r="C124" s="610" t="s">
        <v>2505</v>
      </c>
      <c r="D124" s="610" t="s">
        <v>2506</v>
      </c>
      <c r="E124" s="612" t="s">
        <v>2489</v>
      </c>
      <c r="F124" s="610" t="s">
        <v>2507</v>
      </c>
      <c r="G124" s="610" t="s">
        <v>2178</v>
      </c>
      <c r="H124" s="611">
        <v>309338</v>
      </c>
      <c r="I124" s="610">
        <v>250</v>
      </c>
      <c r="J124" s="609">
        <v>45757</v>
      </c>
      <c r="K124" s="608" t="s">
        <v>2432</v>
      </c>
      <c r="L124" s="614" t="s">
        <v>2192</v>
      </c>
    </row>
    <row r="125" spans="1:13" s="3" customFormat="1" ht="16" hidden="1" thickBot="1" x14ac:dyDescent="0.25">
      <c r="A125" s="613" t="s">
        <v>2172</v>
      </c>
      <c r="B125" s="610" t="s">
        <v>2486</v>
      </c>
      <c r="C125" s="610" t="s">
        <v>2508</v>
      </c>
      <c r="D125" s="610" t="s">
        <v>2509</v>
      </c>
      <c r="E125" s="612" t="s">
        <v>2489</v>
      </c>
      <c r="F125" s="610" t="s">
        <v>2510</v>
      </c>
      <c r="G125" s="610" t="s">
        <v>2178</v>
      </c>
      <c r="H125" s="611">
        <v>500000</v>
      </c>
      <c r="I125" s="610">
        <v>250</v>
      </c>
      <c r="J125" s="609">
        <v>45757</v>
      </c>
      <c r="K125" s="608" t="s">
        <v>2432</v>
      </c>
      <c r="L125" s="545" t="s">
        <v>2192</v>
      </c>
      <c r="M125" s="3" t="s">
        <v>2511</v>
      </c>
    </row>
    <row r="126" spans="1:13" ht="16" thickBot="1" x14ac:dyDescent="0.25">
      <c r="A126" s="607" t="s">
        <v>2172</v>
      </c>
      <c r="B126" s="604" t="s">
        <v>2512</v>
      </c>
      <c r="C126" s="604" t="s">
        <v>2513</v>
      </c>
      <c r="D126" s="604" t="s">
        <v>2514</v>
      </c>
      <c r="E126" s="606" t="s">
        <v>2515</v>
      </c>
      <c r="F126" s="604" t="s">
        <v>2516</v>
      </c>
      <c r="G126" s="604" t="s">
        <v>2178</v>
      </c>
      <c r="H126" s="605">
        <v>463354</v>
      </c>
      <c r="I126" s="604">
        <v>250</v>
      </c>
      <c r="J126" s="603">
        <v>46618</v>
      </c>
      <c r="K126" s="602" t="s">
        <v>2517</v>
      </c>
      <c r="L126" s="447" t="s">
        <v>2211</v>
      </c>
      <c r="M126" t="s">
        <v>2518</v>
      </c>
    </row>
    <row r="127" spans="1:13" ht="16" hidden="1" thickBot="1" x14ac:dyDescent="0.25">
      <c r="A127" s="453" t="s">
        <v>2172</v>
      </c>
      <c r="B127" s="450" t="s">
        <v>2519</v>
      </c>
      <c r="C127" s="450" t="s">
        <v>2520</v>
      </c>
      <c r="D127" s="450" t="s">
        <v>2521</v>
      </c>
      <c r="E127" s="452" t="s">
        <v>2515</v>
      </c>
      <c r="F127" s="450" t="s">
        <v>2522</v>
      </c>
      <c r="G127" s="450" t="s">
        <v>2178</v>
      </c>
      <c r="H127" s="451">
        <v>343563</v>
      </c>
      <c r="I127" s="450">
        <v>250</v>
      </c>
      <c r="J127" s="449">
        <v>46590</v>
      </c>
      <c r="K127" s="448" t="s">
        <v>2517</v>
      </c>
      <c r="L127" s="601" t="s">
        <v>2192</v>
      </c>
    </row>
    <row r="128" spans="1:13" ht="16" hidden="1" thickBot="1" x14ac:dyDescent="0.25">
      <c r="A128" s="453" t="s">
        <v>2172</v>
      </c>
      <c r="B128" s="450" t="s">
        <v>2523</v>
      </c>
      <c r="C128" s="450" t="s">
        <v>2524</v>
      </c>
      <c r="D128" s="450" t="s">
        <v>2525</v>
      </c>
      <c r="E128" s="452" t="s">
        <v>2515</v>
      </c>
      <c r="F128" s="450" t="s">
        <v>2526</v>
      </c>
      <c r="G128" s="450" t="s">
        <v>2178</v>
      </c>
      <c r="H128" s="451">
        <v>348414</v>
      </c>
      <c r="I128" s="450">
        <v>250</v>
      </c>
      <c r="J128" s="449">
        <v>46590</v>
      </c>
      <c r="K128" s="448" t="s">
        <v>2517</v>
      </c>
      <c r="L128" s="593" t="s">
        <v>2192</v>
      </c>
      <c r="M128" t="s">
        <v>2527</v>
      </c>
    </row>
    <row r="129" spans="1:13" ht="16" hidden="1" thickBot="1" x14ac:dyDescent="0.25">
      <c r="A129" s="599" t="s">
        <v>2172</v>
      </c>
      <c r="B129" s="596" t="s">
        <v>2528</v>
      </c>
      <c r="C129" s="596" t="s">
        <v>2529</v>
      </c>
      <c r="D129" s="596" t="s">
        <v>2530</v>
      </c>
      <c r="E129" s="598" t="s">
        <v>2515</v>
      </c>
      <c r="F129" s="596" t="s">
        <v>2531</v>
      </c>
      <c r="G129" s="596" t="s">
        <v>2178</v>
      </c>
      <c r="H129" s="597">
        <v>1116000</v>
      </c>
      <c r="I129" s="596">
        <v>150</v>
      </c>
      <c r="J129" s="595">
        <v>46314</v>
      </c>
      <c r="K129" s="594" t="s">
        <v>2517</v>
      </c>
      <c r="L129" s="447" t="s">
        <v>2192</v>
      </c>
    </row>
    <row r="130" spans="1:13" ht="16" hidden="1" thickBot="1" x14ac:dyDescent="0.25">
      <c r="A130" s="453" t="s">
        <v>2172</v>
      </c>
      <c r="B130" s="450" t="s">
        <v>2532</v>
      </c>
      <c r="C130" s="450" t="s">
        <v>2533</v>
      </c>
      <c r="D130" s="450" t="s">
        <v>2534</v>
      </c>
      <c r="E130" s="452" t="s">
        <v>2515</v>
      </c>
      <c r="F130" s="450" t="s">
        <v>2535</v>
      </c>
      <c r="G130" s="450" t="s">
        <v>2178</v>
      </c>
      <c r="H130" s="451">
        <v>1502064</v>
      </c>
      <c r="I130" s="450">
        <v>150</v>
      </c>
      <c r="J130" s="449">
        <v>46309</v>
      </c>
      <c r="K130" s="448" t="s">
        <v>2517</v>
      </c>
      <c r="L130" s="447" t="s">
        <v>2192</v>
      </c>
    </row>
    <row r="131" spans="1:13" ht="16" hidden="1" thickBot="1" x14ac:dyDescent="0.25">
      <c r="A131" s="453" t="s">
        <v>2172</v>
      </c>
      <c r="B131" s="450" t="s">
        <v>2536</v>
      </c>
      <c r="C131" s="450" t="s">
        <v>2537</v>
      </c>
      <c r="D131" s="450" t="s">
        <v>2538</v>
      </c>
      <c r="E131" s="452" t="s">
        <v>2515</v>
      </c>
      <c r="F131" s="450" t="s">
        <v>2539</v>
      </c>
      <c r="G131" s="450" t="s">
        <v>2178</v>
      </c>
      <c r="H131" s="451">
        <v>1419227</v>
      </c>
      <c r="I131" s="450">
        <v>250</v>
      </c>
      <c r="J131" s="449">
        <v>46590</v>
      </c>
      <c r="K131" s="448" t="s">
        <v>2517</v>
      </c>
      <c r="L131" s="447" t="s">
        <v>2192</v>
      </c>
    </row>
    <row r="132" spans="1:13" ht="16" thickBot="1" x14ac:dyDescent="0.25">
      <c r="A132" s="599" t="s">
        <v>2172</v>
      </c>
      <c r="B132" s="596" t="s">
        <v>2540</v>
      </c>
      <c r="C132" s="596" t="s">
        <v>2541</v>
      </c>
      <c r="D132" s="596" t="s">
        <v>2542</v>
      </c>
      <c r="E132" s="598" t="s">
        <v>2515</v>
      </c>
      <c r="F132" s="596" t="s">
        <v>2543</v>
      </c>
      <c r="G132" s="596" t="s">
        <v>2178</v>
      </c>
      <c r="H132" s="597">
        <v>813144</v>
      </c>
      <c r="I132" s="596">
        <v>150</v>
      </c>
      <c r="J132" s="595">
        <v>46309</v>
      </c>
      <c r="K132" s="594" t="s">
        <v>2517</v>
      </c>
      <c r="L132" s="447" t="s">
        <v>2211</v>
      </c>
      <c r="M132" t="s">
        <v>2216</v>
      </c>
    </row>
    <row r="133" spans="1:13" s="3" customFormat="1" ht="16" hidden="1" thickBot="1" x14ac:dyDescent="0.25">
      <c r="A133" s="453" t="s">
        <v>2172</v>
      </c>
      <c r="B133" s="450" t="s">
        <v>2544</v>
      </c>
      <c r="C133" s="450" t="s">
        <v>2545</v>
      </c>
      <c r="D133" s="450" t="s">
        <v>2546</v>
      </c>
      <c r="E133" s="452" t="s">
        <v>2515</v>
      </c>
      <c r="F133" s="450" t="s">
        <v>2547</v>
      </c>
      <c r="G133" s="450" t="s">
        <v>2178</v>
      </c>
      <c r="H133" s="451">
        <v>1352538</v>
      </c>
      <c r="I133" s="450">
        <v>250</v>
      </c>
      <c r="J133" s="449">
        <v>46402</v>
      </c>
      <c r="K133" s="448" t="s">
        <v>2517</v>
      </c>
      <c r="L133" s="601" t="s">
        <v>2192</v>
      </c>
    </row>
    <row r="134" spans="1:13" ht="16" hidden="1" thickBot="1" x14ac:dyDescent="0.25">
      <c r="A134" s="453" t="s">
        <v>2172</v>
      </c>
      <c r="B134" s="450" t="s">
        <v>2548</v>
      </c>
      <c r="C134" s="450" t="s">
        <v>2549</v>
      </c>
      <c r="D134" s="450" t="s">
        <v>2550</v>
      </c>
      <c r="E134" s="452" t="s">
        <v>2515</v>
      </c>
      <c r="F134" s="450" t="s">
        <v>2551</v>
      </c>
      <c r="G134" s="450" t="s">
        <v>2178</v>
      </c>
      <c r="H134" s="451">
        <v>1000000</v>
      </c>
      <c r="I134" s="450">
        <v>250</v>
      </c>
      <c r="J134" s="449">
        <v>46590</v>
      </c>
      <c r="K134" s="448" t="s">
        <v>2517</v>
      </c>
      <c r="L134" s="601" t="s">
        <v>2192</v>
      </c>
    </row>
    <row r="135" spans="1:13" s="3" customFormat="1" ht="16" hidden="1" thickBot="1" x14ac:dyDescent="0.25">
      <c r="A135" s="453" t="s">
        <v>2172</v>
      </c>
      <c r="B135" s="450" t="s">
        <v>2544</v>
      </c>
      <c r="C135" s="450" t="s">
        <v>2552</v>
      </c>
      <c r="D135" s="450" t="s">
        <v>2553</v>
      </c>
      <c r="E135" s="452" t="s">
        <v>2515</v>
      </c>
      <c r="F135" s="450" t="s">
        <v>2554</v>
      </c>
      <c r="G135" s="450" t="s">
        <v>2178</v>
      </c>
      <c r="H135" s="451">
        <v>889344</v>
      </c>
      <c r="I135" s="450">
        <v>251</v>
      </c>
      <c r="J135" s="449">
        <v>46590</v>
      </c>
      <c r="K135" s="448" t="s">
        <v>2517</v>
      </c>
      <c r="L135" s="601" t="s">
        <v>2192</v>
      </c>
    </row>
    <row r="136" spans="1:13" ht="16" hidden="1" thickBot="1" x14ac:dyDescent="0.25">
      <c r="A136" s="599" t="s">
        <v>2172</v>
      </c>
      <c r="B136" s="596" t="s">
        <v>2555</v>
      </c>
      <c r="C136" s="596" t="s">
        <v>2556</v>
      </c>
      <c r="D136" s="596" t="s">
        <v>2557</v>
      </c>
      <c r="E136" s="598" t="s">
        <v>2515</v>
      </c>
      <c r="F136" s="596" t="s">
        <v>2558</v>
      </c>
      <c r="G136" s="596" t="s">
        <v>2178</v>
      </c>
      <c r="H136" s="597">
        <v>906069</v>
      </c>
      <c r="I136" s="596">
        <v>200</v>
      </c>
      <c r="J136" s="595">
        <v>46913</v>
      </c>
      <c r="K136" s="594" t="s">
        <v>2517</v>
      </c>
      <c r="L136" s="593" t="s">
        <v>2192</v>
      </c>
    </row>
    <row r="137" spans="1:13" ht="16" hidden="1" thickBot="1" x14ac:dyDescent="0.25">
      <c r="A137" s="453" t="s">
        <v>2172</v>
      </c>
      <c r="B137" s="450" t="s">
        <v>2528</v>
      </c>
      <c r="C137" s="450" t="s">
        <v>2559</v>
      </c>
      <c r="D137" s="450" t="s">
        <v>2560</v>
      </c>
      <c r="E137" s="452" t="s">
        <v>2515</v>
      </c>
      <c r="F137" s="450" t="s">
        <v>2561</v>
      </c>
      <c r="G137" s="450" t="s">
        <v>2178</v>
      </c>
      <c r="H137" s="451">
        <v>255518</v>
      </c>
      <c r="I137" s="450">
        <v>350</v>
      </c>
      <c r="J137" s="449">
        <v>46590</v>
      </c>
      <c r="K137" s="448" t="s">
        <v>2517</v>
      </c>
      <c r="L137" s="447" t="s">
        <v>2192</v>
      </c>
    </row>
    <row r="138" spans="1:13" s="3" customFormat="1" ht="16" hidden="1" thickBot="1" x14ac:dyDescent="0.25">
      <c r="A138" s="599" t="s">
        <v>2172</v>
      </c>
      <c r="B138" s="596" t="s">
        <v>2562</v>
      </c>
      <c r="C138" s="596" t="s">
        <v>2563</v>
      </c>
      <c r="D138" s="596" t="s">
        <v>2564</v>
      </c>
      <c r="E138" s="598" t="s">
        <v>2515</v>
      </c>
      <c r="F138" s="596" t="s">
        <v>2565</v>
      </c>
      <c r="G138" s="596" t="s">
        <v>2178</v>
      </c>
      <c r="H138" s="597">
        <v>283000</v>
      </c>
      <c r="I138" s="596">
        <v>250</v>
      </c>
      <c r="J138" s="595">
        <v>46590</v>
      </c>
      <c r="K138" s="594" t="s">
        <v>2517</v>
      </c>
      <c r="L138" s="447" t="s">
        <v>2192</v>
      </c>
    </row>
    <row r="139" spans="1:13" ht="16" thickBot="1" x14ac:dyDescent="0.25">
      <c r="A139" s="453" t="s">
        <v>2172</v>
      </c>
      <c r="B139" s="450" t="s">
        <v>2566</v>
      </c>
      <c r="C139" s="450" t="s">
        <v>2567</v>
      </c>
      <c r="D139" s="450" t="s">
        <v>2568</v>
      </c>
      <c r="E139" s="452" t="s">
        <v>2515</v>
      </c>
      <c r="F139" s="450" t="s">
        <v>2569</v>
      </c>
      <c r="G139" s="450" t="s">
        <v>2178</v>
      </c>
      <c r="H139" s="451">
        <v>298638</v>
      </c>
      <c r="I139" s="450">
        <v>150</v>
      </c>
      <c r="J139" s="449">
        <v>46309</v>
      </c>
      <c r="K139" s="448" t="s">
        <v>2517</v>
      </c>
      <c r="L139" s="601" t="s">
        <v>2211</v>
      </c>
      <c r="M139" t="s">
        <v>2570</v>
      </c>
    </row>
    <row r="140" spans="1:13" ht="16" hidden="1" thickBot="1" x14ac:dyDescent="0.25">
      <c r="A140" s="453" t="s">
        <v>2172</v>
      </c>
      <c r="B140" s="450" t="s">
        <v>2571</v>
      </c>
      <c r="C140" s="450" t="s">
        <v>2572</v>
      </c>
      <c r="D140" s="450" t="s">
        <v>2573</v>
      </c>
      <c r="E140" s="452" t="s">
        <v>2515</v>
      </c>
      <c r="F140" s="450" t="s">
        <v>2574</v>
      </c>
      <c r="G140" s="450" t="s">
        <v>2178</v>
      </c>
      <c r="H140" s="451">
        <v>304786</v>
      </c>
      <c r="I140" s="450">
        <v>250</v>
      </c>
      <c r="J140" s="449">
        <v>46590</v>
      </c>
      <c r="K140" s="448" t="s">
        <v>2517</v>
      </c>
      <c r="L140" s="601" t="s">
        <v>2192</v>
      </c>
    </row>
    <row r="141" spans="1:13" s="3" customFormat="1" hidden="1" x14ac:dyDescent="0.2">
      <c r="A141" s="599" t="s">
        <v>2172</v>
      </c>
      <c r="B141" s="596" t="s">
        <v>2575</v>
      </c>
      <c r="C141" s="596" t="s">
        <v>2576</v>
      </c>
      <c r="D141" s="596" t="s">
        <v>2577</v>
      </c>
      <c r="E141" s="598" t="s">
        <v>2515</v>
      </c>
      <c r="F141" s="596" t="s">
        <v>2578</v>
      </c>
      <c r="G141" s="596" t="s">
        <v>2178</v>
      </c>
      <c r="H141" s="597">
        <v>936694</v>
      </c>
      <c r="I141" s="596">
        <v>150</v>
      </c>
      <c r="J141" s="595">
        <v>46309</v>
      </c>
      <c r="K141" s="594" t="s">
        <v>2517</v>
      </c>
      <c r="L141" s="600" t="s">
        <v>2192</v>
      </c>
    </row>
    <row r="142" spans="1:13" ht="16" hidden="1" thickBot="1" x14ac:dyDescent="0.25">
      <c r="A142" s="453" t="s">
        <v>2172</v>
      </c>
      <c r="B142" s="450" t="s">
        <v>2528</v>
      </c>
      <c r="C142" s="450" t="s">
        <v>2579</v>
      </c>
      <c r="D142" s="450" t="s">
        <v>2580</v>
      </c>
      <c r="E142" s="452" t="s">
        <v>2515</v>
      </c>
      <c r="F142" s="450" t="s">
        <v>2581</v>
      </c>
      <c r="G142" s="450" t="s">
        <v>2178</v>
      </c>
      <c r="H142" s="451">
        <v>615570</v>
      </c>
      <c r="I142" s="450">
        <v>250</v>
      </c>
      <c r="J142" s="449">
        <v>46309</v>
      </c>
      <c r="K142" s="448" t="s">
        <v>2517</v>
      </c>
      <c r="L142" s="447" t="s">
        <v>2192</v>
      </c>
    </row>
    <row r="143" spans="1:13" ht="16" thickBot="1" x14ac:dyDescent="0.25">
      <c r="A143" s="599" t="s">
        <v>2172</v>
      </c>
      <c r="B143" s="596" t="s">
        <v>2582</v>
      </c>
      <c r="C143" s="596" t="s">
        <v>2583</v>
      </c>
      <c r="D143" s="596" t="s">
        <v>2584</v>
      </c>
      <c r="E143" s="598" t="s">
        <v>2515</v>
      </c>
      <c r="F143" s="596" t="s">
        <v>2585</v>
      </c>
      <c r="G143" s="596" t="s">
        <v>2178</v>
      </c>
      <c r="H143" s="597">
        <v>979593</v>
      </c>
      <c r="I143" s="596">
        <v>150</v>
      </c>
      <c r="J143" s="595">
        <v>46309</v>
      </c>
      <c r="K143" s="594" t="s">
        <v>2517</v>
      </c>
      <c r="L143" s="454" t="s">
        <v>2211</v>
      </c>
      <c r="M143" t="s">
        <v>2570</v>
      </c>
    </row>
    <row r="144" spans="1:13" s="3" customFormat="1" ht="16" thickBot="1" x14ac:dyDescent="0.25">
      <c r="A144" s="453" t="s">
        <v>2172</v>
      </c>
      <c r="B144" s="450" t="s">
        <v>2586</v>
      </c>
      <c r="C144" s="450" t="s">
        <v>2587</v>
      </c>
      <c r="D144" s="450" t="s">
        <v>2588</v>
      </c>
      <c r="E144" s="452" t="s">
        <v>2515</v>
      </c>
      <c r="F144" s="450" t="s">
        <v>2589</v>
      </c>
      <c r="G144" s="450" t="s">
        <v>2178</v>
      </c>
      <c r="H144" s="451">
        <v>497900</v>
      </c>
      <c r="I144" s="450">
        <v>100</v>
      </c>
      <c r="J144" s="449">
        <v>46590</v>
      </c>
      <c r="K144" s="448" t="s">
        <v>2517</v>
      </c>
      <c r="L144" s="447" t="s">
        <v>2211</v>
      </c>
      <c r="M144" s="3" t="s">
        <v>2216</v>
      </c>
    </row>
    <row r="145" spans="1:13" ht="16" hidden="1" thickBot="1" x14ac:dyDescent="0.25">
      <c r="A145" s="592" t="s">
        <v>2172</v>
      </c>
      <c r="B145" s="589" t="s">
        <v>2536</v>
      </c>
      <c r="C145" s="589" t="s">
        <v>2590</v>
      </c>
      <c r="D145" s="589" t="s">
        <v>2591</v>
      </c>
      <c r="E145" s="591" t="s">
        <v>2515</v>
      </c>
      <c r="F145" s="589" t="s">
        <v>2592</v>
      </c>
      <c r="G145" s="589" t="s">
        <v>2178</v>
      </c>
      <c r="H145" s="590">
        <v>924412</v>
      </c>
      <c r="I145" s="589">
        <v>250</v>
      </c>
      <c r="J145" s="588">
        <v>46590</v>
      </c>
      <c r="K145" s="587" t="s">
        <v>2517</v>
      </c>
      <c r="L145" s="454" t="s">
        <v>2192</v>
      </c>
    </row>
    <row r="146" spans="1:13" ht="16" hidden="1" thickBot="1" x14ac:dyDescent="0.25">
      <c r="A146" s="599" t="s">
        <v>2172</v>
      </c>
      <c r="B146" s="596" t="s">
        <v>2536</v>
      </c>
      <c r="C146" s="596" t="s">
        <v>2593</v>
      </c>
      <c r="D146" s="596" t="s">
        <v>2594</v>
      </c>
      <c r="E146" s="598" t="s">
        <v>2515</v>
      </c>
      <c r="F146" s="596" t="s">
        <v>2595</v>
      </c>
      <c r="G146" s="596" t="s">
        <v>2178</v>
      </c>
      <c r="H146" s="597">
        <v>1109751</v>
      </c>
      <c r="I146" s="596">
        <v>250</v>
      </c>
      <c r="J146" s="595">
        <v>46590</v>
      </c>
      <c r="K146" s="594" t="s">
        <v>2517</v>
      </c>
      <c r="L146" s="447" t="s">
        <v>2192</v>
      </c>
    </row>
    <row r="147" spans="1:13" ht="16" hidden="1" thickBot="1" x14ac:dyDescent="0.25">
      <c r="A147" s="453" t="s">
        <v>2172</v>
      </c>
      <c r="B147" s="450" t="s">
        <v>2544</v>
      </c>
      <c r="C147" s="450" t="s">
        <v>2596</v>
      </c>
      <c r="D147" s="450" t="s">
        <v>2597</v>
      </c>
      <c r="E147" s="452" t="s">
        <v>2515</v>
      </c>
      <c r="F147" s="450" t="s">
        <v>2598</v>
      </c>
      <c r="G147" s="450" t="s">
        <v>2178</v>
      </c>
      <c r="H147" s="451">
        <v>1654808</v>
      </c>
      <c r="I147" s="450">
        <v>250</v>
      </c>
      <c r="J147" s="449">
        <v>46561</v>
      </c>
      <c r="K147" s="448" t="s">
        <v>2517</v>
      </c>
      <c r="L147" s="593" t="s">
        <v>2192</v>
      </c>
    </row>
    <row r="148" spans="1:13" ht="16" hidden="1" thickBot="1" x14ac:dyDescent="0.25">
      <c r="A148" s="592" t="s">
        <v>2172</v>
      </c>
      <c r="B148" s="589" t="s">
        <v>2528</v>
      </c>
      <c r="C148" s="589" t="s">
        <v>2599</v>
      </c>
      <c r="D148" s="589" t="s">
        <v>2600</v>
      </c>
      <c r="E148" s="591" t="s">
        <v>2515</v>
      </c>
      <c r="F148" s="589" t="s">
        <v>2601</v>
      </c>
      <c r="G148" s="589" t="s">
        <v>2178</v>
      </c>
      <c r="H148" s="590">
        <v>598956</v>
      </c>
      <c r="I148" s="589">
        <v>125</v>
      </c>
      <c r="J148" s="588">
        <v>46406</v>
      </c>
      <c r="K148" s="587" t="s">
        <v>2517</v>
      </c>
      <c r="L148" s="447" t="s">
        <v>2192</v>
      </c>
    </row>
    <row r="149" spans="1:13" ht="16" thickBot="1" x14ac:dyDescent="0.25">
      <c r="A149" s="586" t="s">
        <v>2172</v>
      </c>
      <c r="B149" s="583" t="s">
        <v>2602</v>
      </c>
      <c r="C149" s="583" t="s">
        <v>2603</v>
      </c>
      <c r="D149" s="583" t="s">
        <v>2604</v>
      </c>
      <c r="E149" s="585" t="s">
        <v>2605</v>
      </c>
      <c r="F149" s="583" t="s">
        <v>2606</v>
      </c>
      <c r="G149" s="583" t="s">
        <v>2178</v>
      </c>
      <c r="H149" s="584">
        <v>16800000</v>
      </c>
      <c r="I149" s="583">
        <v>325</v>
      </c>
      <c r="J149" s="582">
        <v>45880</v>
      </c>
      <c r="K149" s="581" t="s">
        <v>2191</v>
      </c>
      <c r="L149" s="567" t="s">
        <v>2211</v>
      </c>
      <c r="M149" t="s">
        <v>2607</v>
      </c>
    </row>
    <row r="150" spans="1:13" s="3" customFormat="1" ht="16" hidden="1" thickBot="1" x14ac:dyDescent="0.25">
      <c r="A150" s="573" t="s">
        <v>2172</v>
      </c>
      <c r="B150" s="570" t="s">
        <v>2608</v>
      </c>
      <c r="C150" s="570" t="s">
        <v>2609</v>
      </c>
      <c r="D150" s="570" t="s">
        <v>2610</v>
      </c>
      <c r="E150" s="572" t="s">
        <v>2605</v>
      </c>
      <c r="F150" s="570" t="s">
        <v>2611</v>
      </c>
      <c r="G150" s="570" t="s">
        <v>2178</v>
      </c>
      <c r="H150" s="571">
        <v>7751396</v>
      </c>
      <c r="I150" s="570">
        <v>430</v>
      </c>
      <c r="J150" s="569">
        <v>46309</v>
      </c>
      <c r="K150" s="568" t="s">
        <v>2191</v>
      </c>
      <c r="L150" s="574" t="s">
        <v>2192</v>
      </c>
      <c r="M150" s="3" t="s">
        <v>2612</v>
      </c>
    </row>
    <row r="151" spans="1:13" ht="16" thickBot="1" x14ac:dyDescent="0.25">
      <c r="A151" s="580" t="s">
        <v>2172</v>
      </c>
      <c r="B151" s="577" t="s">
        <v>2613</v>
      </c>
      <c r="C151" s="577" t="s">
        <v>2614</v>
      </c>
      <c r="D151" s="577" t="s">
        <v>2615</v>
      </c>
      <c r="E151" s="579" t="s">
        <v>2605</v>
      </c>
      <c r="F151" s="577" t="s">
        <v>2616</v>
      </c>
      <c r="G151" s="577" t="s">
        <v>2178</v>
      </c>
      <c r="H151" s="578">
        <v>2262545</v>
      </c>
      <c r="I151" s="577">
        <v>315</v>
      </c>
      <c r="J151" s="576">
        <v>46309</v>
      </c>
      <c r="K151" s="575" t="s">
        <v>2191</v>
      </c>
      <c r="L151" s="567" t="s">
        <v>2211</v>
      </c>
      <c r="M151" t="s">
        <v>2617</v>
      </c>
    </row>
    <row r="152" spans="1:13" ht="16" hidden="1" thickBot="1" x14ac:dyDescent="0.25">
      <c r="A152" s="573" t="s">
        <v>2172</v>
      </c>
      <c r="B152" s="570" t="s">
        <v>2618</v>
      </c>
      <c r="C152" s="570" t="s">
        <v>2619</v>
      </c>
      <c r="D152" s="570" t="s">
        <v>2620</v>
      </c>
      <c r="E152" s="572" t="s">
        <v>2605</v>
      </c>
      <c r="F152" s="570" t="s">
        <v>2621</v>
      </c>
      <c r="G152" s="570" t="s">
        <v>2178</v>
      </c>
      <c r="H152" s="571">
        <v>3105120</v>
      </c>
      <c r="I152" s="570">
        <v>240</v>
      </c>
      <c r="J152" s="569">
        <v>46309</v>
      </c>
      <c r="K152" s="568" t="s">
        <v>2191</v>
      </c>
      <c r="L152" s="574" t="s">
        <v>2192</v>
      </c>
      <c r="M152" t="s">
        <v>2612</v>
      </c>
    </row>
    <row r="153" spans="1:13" ht="16" hidden="1" thickBot="1" x14ac:dyDescent="0.25">
      <c r="A153" s="580" t="s">
        <v>2172</v>
      </c>
      <c r="B153" s="577" t="s">
        <v>2622</v>
      </c>
      <c r="C153" s="577" t="s">
        <v>2623</v>
      </c>
      <c r="D153" s="577" t="s">
        <v>2624</v>
      </c>
      <c r="E153" s="579" t="s">
        <v>2605</v>
      </c>
      <c r="F153" s="577" t="s">
        <v>2625</v>
      </c>
      <c r="G153" s="577" t="s">
        <v>2178</v>
      </c>
      <c r="H153" s="578">
        <v>2080000</v>
      </c>
      <c r="I153" s="577">
        <v>220</v>
      </c>
      <c r="J153" s="576">
        <v>46309</v>
      </c>
      <c r="K153" s="575" t="s">
        <v>2191</v>
      </c>
      <c r="L153" s="567" t="s">
        <v>2192</v>
      </c>
    </row>
    <row r="154" spans="1:13" ht="16" hidden="1" thickBot="1" x14ac:dyDescent="0.25">
      <c r="A154" s="573" t="s">
        <v>2172</v>
      </c>
      <c r="B154" s="570" t="s">
        <v>2626</v>
      </c>
      <c r="C154" s="570" t="s">
        <v>2627</v>
      </c>
      <c r="D154" s="570" t="s">
        <v>2628</v>
      </c>
      <c r="E154" s="572" t="s">
        <v>2605</v>
      </c>
      <c r="F154" s="570" t="s">
        <v>2629</v>
      </c>
      <c r="G154" s="570" t="s">
        <v>2178</v>
      </c>
      <c r="H154" s="571">
        <v>3960560</v>
      </c>
      <c r="I154" s="570">
        <v>320</v>
      </c>
      <c r="J154" s="569">
        <v>45835</v>
      </c>
      <c r="K154" s="568" t="s">
        <v>2191</v>
      </c>
      <c r="L154" s="574" t="s">
        <v>2192</v>
      </c>
    </row>
    <row r="155" spans="1:13" ht="16" hidden="1" thickBot="1" x14ac:dyDescent="0.25">
      <c r="A155" s="580" t="s">
        <v>2172</v>
      </c>
      <c r="B155" s="577" t="s">
        <v>2630</v>
      </c>
      <c r="C155" s="577" t="s">
        <v>2631</v>
      </c>
      <c r="D155" s="577" t="s">
        <v>2632</v>
      </c>
      <c r="E155" s="579" t="s">
        <v>2605</v>
      </c>
      <c r="F155" s="577" t="s">
        <v>2633</v>
      </c>
      <c r="G155" s="577" t="s">
        <v>2178</v>
      </c>
      <c r="H155" s="578">
        <v>506630</v>
      </c>
      <c r="I155" s="577">
        <v>360</v>
      </c>
      <c r="J155" s="576">
        <v>46309</v>
      </c>
      <c r="K155" s="575" t="s">
        <v>2191</v>
      </c>
      <c r="L155" s="567" t="s">
        <v>2192</v>
      </c>
      <c r="M155" t="s">
        <v>2634</v>
      </c>
    </row>
    <row r="156" spans="1:13" s="3" customFormat="1" ht="16" hidden="1" thickBot="1" x14ac:dyDescent="0.25">
      <c r="A156" s="573" t="s">
        <v>2172</v>
      </c>
      <c r="B156" s="570" t="s">
        <v>2635</v>
      </c>
      <c r="C156" s="570" t="s">
        <v>2636</v>
      </c>
      <c r="D156" s="570" t="s">
        <v>2637</v>
      </c>
      <c r="E156" s="572" t="s">
        <v>2605</v>
      </c>
      <c r="F156" s="570" t="s">
        <v>2638</v>
      </c>
      <c r="G156" s="570" t="s">
        <v>2178</v>
      </c>
      <c r="H156" s="571">
        <v>890358</v>
      </c>
      <c r="I156" s="570">
        <v>146</v>
      </c>
      <c r="J156" s="569">
        <v>46309</v>
      </c>
      <c r="K156" s="568" t="s">
        <v>2191</v>
      </c>
      <c r="L156" s="574" t="s">
        <v>2192</v>
      </c>
    </row>
    <row r="157" spans="1:13" ht="16" thickBot="1" x14ac:dyDescent="0.25">
      <c r="A157" s="580" t="s">
        <v>2172</v>
      </c>
      <c r="B157" s="577" t="s">
        <v>2639</v>
      </c>
      <c r="C157" s="573" t="s">
        <v>2640</v>
      </c>
      <c r="D157" s="570" t="s">
        <v>2641</v>
      </c>
      <c r="E157" s="572" t="s">
        <v>2605</v>
      </c>
      <c r="F157" s="570" t="s">
        <v>2642</v>
      </c>
      <c r="G157" s="570" t="s">
        <v>2178</v>
      </c>
      <c r="H157" s="571">
        <v>643710</v>
      </c>
      <c r="I157" s="570">
        <v>280</v>
      </c>
      <c r="J157" s="569">
        <v>46309</v>
      </c>
      <c r="K157" s="568" t="s">
        <v>2191</v>
      </c>
      <c r="L157" s="567" t="s">
        <v>2211</v>
      </c>
      <c r="M157" t="s">
        <v>2643</v>
      </c>
    </row>
    <row r="158" spans="1:13" s="3" customFormat="1" ht="16" hidden="1" thickBot="1" x14ac:dyDescent="0.25">
      <c r="A158" s="580" t="s">
        <v>2172</v>
      </c>
      <c r="B158" s="577" t="s">
        <v>2644</v>
      </c>
      <c r="C158" s="577" t="s">
        <v>2645</v>
      </c>
      <c r="D158" s="577" t="s">
        <v>2646</v>
      </c>
      <c r="E158" s="579" t="s">
        <v>2605</v>
      </c>
      <c r="F158" s="577" t="s">
        <v>2647</v>
      </c>
      <c r="G158" s="577" t="s">
        <v>2178</v>
      </c>
      <c r="H158" s="578">
        <v>808376</v>
      </c>
      <c r="I158" s="577">
        <v>250</v>
      </c>
      <c r="J158" s="576">
        <v>46309</v>
      </c>
      <c r="K158" s="575" t="s">
        <v>2191</v>
      </c>
      <c r="L158" s="574" t="s">
        <v>2192</v>
      </c>
    </row>
    <row r="159" spans="1:13" ht="16" thickBot="1" x14ac:dyDescent="0.25">
      <c r="A159" s="573" t="s">
        <v>2172</v>
      </c>
      <c r="B159" s="570" t="s">
        <v>2648</v>
      </c>
      <c r="C159" s="570" t="s">
        <v>2649</v>
      </c>
      <c r="D159" s="570" t="s">
        <v>2650</v>
      </c>
      <c r="E159" s="572" t="s">
        <v>2605</v>
      </c>
      <c r="F159" s="570" t="s">
        <v>2651</v>
      </c>
      <c r="G159" s="570" t="s">
        <v>2178</v>
      </c>
      <c r="H159" s="571">
        <v>867720</v>
      </c>
      <c r="I159" s="570">
        <v>200</v>
      </c>
      <c r="J159" s="569">
        <v>46309</v>
      </c>
      <c r="K159" s="568" t="s">
        <v>2191</v>
      </c>
      <c r="L159" s="567" t="s">
        <v>2211</v>
      </c>
      <c r="M159" t="s">
        <v>2652</v>
      </c>
    </row>
    <row r="160" spans="1:13" s="3" customFormat="1" ht="16" thickBot="1" x14ac:dyDescent="0.25">
      <c r="A160" s="580" t="s">
        <v>2172</v>
      </c>
      <c r="B160" s="577" t="s">
        <v>2653</v>
      </c>
      <c r="C160" s="577" t="s">
        <v>2654</v>
      </c>
      <c r="D160" s="577" t="s">
        <v>2655</v>
      </c>
      <c r="E160" s="579" t="s">
        <v>2605</v>
      </c>
      <c r="F160" s="577" t="s">
        <v>2656</v>
      </c>
      <c r="G160" s="577" t="s">
        <v>2178</v>
      </c>
      <c r="H160" s="578">
        <v>1886310</v>
      </c>
      <c r="I160" s="577">
        <v>260</v>
      </c>
      <c r="J160" s="576">
        <v>46309</v>
      </c>
      <c r="K160" s="575" t="s">
        <v>2191</v>
      </c>
      <c r="L160" s="574" t="s">
        <v>2211</v>
      </c>
      <c r="M160" s="3" t="s">
        <v>2643</v>
      </c>
    </row>
    <row r="161" spans="1:13" ht="16" thickBot="1" x14ac:dyDescent="0.25">
      <c r="A161" s="573" t="s">
        <v>2172</v>
      </c>
      <c r="B161" s="570" t="s">
        <v>2657</v>
      </c>
      <c r="C161" s="570" t="s">
        <v>2658</v>
      </c>
      <c r="D161" s="570" t="s">
        <v>2659</v>
      </c>
      <c r="E161" s="572" t="s">
        <v>2605</v>
      </c>
      <c r="F161" s="570" t="s">
        <v>2660</v>
      </c>
      <c r="G161" s="570" t="s">
        <v>2178</v>
      </c>
      <c r="H161" s="571">
        <v>1244400</v>
      </c>
      <c r="I161" s="570">
        <v>250</v>
      </c>
      <c r="J161" s="569">
        <v>46309</v>
      </c>
      <c r="K161" s="568" t="s">
        <v>2191</v>
      </c>
      <c r="L161" s="567" t="s">
        <v>2211</v>
      </c>
      <c r="M161" t="s">
        <v>2652</v>
      </c>
    </row>
    <row r="162" spans="1:13" s="3" customFormat="1" ht="16" hidden="1" thickBot="1" x14ac:dyDescent="0.25">
      <c r="A162" s="580" t="s">
        <v>2172</v>
      </c>
      <c r="B162" s="577" t="s">
        <v>2661</v>
      </c>
      <c r="C162" s="577" t="s">
        <v>2662</v>
      </c>
      <c r="D162" s="577" t="s">
        <v>2663</v>
      </c>
      <c r="E162" s="579" t="s">
        <v>2605</v>
      </c>
      <c r="F162" s="577" t="s">
        <v>2664</v>
      </c>
      <c r="G162" s="577" t="s">
        <v>2178</v>
      </c>
      <c r="H162" s="578">
        <v>520000</v>
      </c>
      <c r="I162" s="577">
        <v>445</v>
      </c>
      <c r="J162" s="576">
        <v>47057</v>
      </c>
      <c r="K162" s="575" t="s">
        <v>2665</v>
      </c>
      <c r="L162" s="574" t="s">
        <v>2192</v>
      </c>
      <c r="M162" t="s">
        <v>2634</v>
      </c>
    </row>
    <row r="163" spans="1:13" ht="16" hidden="1" thickBot="1" x14ac:dyDescent="0.25">
      <c r="A163" s="573" t="s">
        <v>2172</v>
      </c>
      <c r="B163" s="570" t="s">
        <v>2666</v>
      </c>
      <c r="C163" s="570" t="s">
        <v>2667</v>
      </c>
      <c r="D163" s="570" t="s">
        <v>2668</v>
      </c>
      <c r="E163" s="572" t="s">
        <v>2605</v>
      </c>
      <c r="F163" s="570" t="s">
        <v>2669</v>
      </c>
      <c r="G163" s="570" t="s">
        <v>2178</v>
      </c>
      <c r="H163" s="571">
        <v>370000</v>
      </c>
      <c r="I163" s="570">
        <v>380</v>
      </c>
      <c r="J163" s="569">
        <v>47095</v>
      </c>
      <c r="K163" s="568" t="s">
        <v>2665</v>
      </c>
      <c r="L163" s="567" t="s">
        <v>2192</v>
      </c>
      <c r="M163" t="s">
        <v>2634</v>
      </c>
    </row>
    <row r="164" spans="1:13" s="3" customFormat="1" ht="16" hidden="1" thickBot="1" x14ac:dyDescent="0.25">
      <c r="A164" s="566" t="s">
        <v>2172</v>
      </c>
      <c r="B164" s="563" t="s">
        <v>2602</v>
      </c>
      <c r="C164" s="563" t="s">
        <v>2670</v>
      </c>
      <c r="D164" s="563" t="s">
        <v>2671</v>
      </c>
      <c r="E164" s="565" t="s">
        <v>2605</v>
      </c>
      <c r="F164" s="563" t="s">
        <v>2672</v>
      </c>
      <c r="G164" s="563" t="s">
        <v>2178</v>
      </c>
      <c r="H164" s="564">
        <v>6165500</v>
      </c>
      <c r="I164" s="563">
        <v>300</v>
      </c>
      <c r="J164" s="562">
        <v>46309</v>
      </c>
      <c r="K164" s="561" t="s">
        <v>2191</v>
      </c>
      <c r="L164" s="560" t="s">
        <v>2192</v>
      </c>
      <c r="M164" t="s">
        <v>2634</v>
      </c>
    </row>
    <row r="165" spans="1:13" ht="16" hidden="1" thickBot="1" x14ac:dyDescent="0.25">
      <c r="A165" s="551" t="s">
        <v>2172</v>
      </c>
      <c r="B165" s="548" t="s">
        <v>2673</v>
      </c>
      <c r="C165" s="548" t="s">
        <v>2674</v>
      </c>
      <c r="D165" s="548" t="s">
        <v>2675</v>
      </c>
      <c r="E165" s="550" t="s">
        <v>2676</v>
      </c>
      <c r="F165" s="548" t="s">
        <v>2677</v>
      </c>
      <c r="G165" s="548" t="s">
        <v>2178</v>
      </c>
      <c r="H165" s="549">
        <v>3249650</v>
      </c>
      <c r="I165" s="548">
        <v>60</v>
      </c>
      <c r="J165" s="547">
        <v>46308</v>
      </c>
      <c r="K165" s="546" t="s">
        <v>2517</v>
      </c>
      <c r="L165" s="559" t="s">
        <v>2192</v>
      </c>
    </row>
    <row r="166" spans="1:13" ht="16" hidden="1" thickBot="1" x14ac:dyDescent="0.25">
      <c r="A166" s="551" t="s">
        <v>2172</v>
      </c>
      <c r="B166" s="548" t="s">
        <v>2673</v>
      </c>
      <c r="C166" s="548" t="s">
        <v>2678</v>
      </c>
      <c r="D166" s="548" t="s">
        <v>2679</v>
      </c>
      <c r="E166" s="550" t="s">
        <v>2676</v>
      </c>
      <c r="F166" s="548" t="s">
        <v>2680</v>
      </c>
      <c r="G166" s="548" t="s">
        <v>2178</v>
      </c>
      <c r="H166" s="549">
        <v>470600</v>
      </c>
      <c r="I166" s="548">
        <v>60</v>
      </c>
      <c r="J166" s="547">
        <v>46308</v>
      </c>
      <c r="K166" s="546" t="s">
        <v>2517</v>
      </c>
      <c r="L166" s="545" t="s">
        <v>2681</v>
      </c>
    </row>
    <row r="167" spans="1:13" ht="16" hidden="1" thickBot="1" x14ac:dyDescent="0.25">
      <c r="A167" s="551" t="s">
        <v>2172</v>
      </c>
      <c r="B167" s="548" t="s">
        <v>2673</v>
      </c>
      <c r="C167" s="548" t="s">
        <v>2682</v>
      </c>
      <c r="D167" s="548" t="s">
        <v>2683</v>
      </c>
      <c r="E167" s="550" t="s">
        <v>2676</v>
      </c>
      <c r="F167" s="548" t="s">
        <v>2684</v>
      </c>
      <c r="G167" s="548" t="s">
        <v>2178</v>
      </c>
      <c r="H167" s="549">
        <v>694200</v>
      </c>
      <c r="I167" s="548">
        <v>60</v>
      </c>
      <c r="J167" s="547">
        <v>46308</v>
      </c>
      <c r="K167" s="546" t="s">
        <v>2517</v>
      </c>
      <c r="L167" s="545" t="s">
        <v>2192</v>
      </c>
      <c r="M167" t="s">
        <v>2685</v>
      </c>
    </row>
    <row r="168" spans="1:13" s="3" customFormat="1" ht="16" hidden="1" thickBot="1" x14ac:dyDescent="0.25">
      <c r="A168" s="558" t="s">
        <v>2172</v>
      </c>
      <c r="B168" s="555" t="s">
        <v>2673</v>
      </c>
      <c r="C168" s="555" t="s">
        <v>2686</v>
      </c>
      <c r="D168" s="555" t="s">
        <v>2687</v>
      </c>
      <c r="E168" s="557" t="s">
        <v>2676</v>
      </c>
      <c r="F168" s="555" t="s">
        <v>2688</v>
      </c>
      <c r="G168" s="555" t="s">
        <v>2178</v>
      </c>
      <c r="H168" s="556">
        <v>1619200</v>
      </c>
      <c r="I168" s="555">
        <v>60</v>
      </c>
      <c r="J168" s="554">
        <v>46308</v>
      </c>
      <c r="K168" s="553" t="s">
        <v>2517</v>
      </c>
      <c r="L168" s="552" t="s">
        <v>2192</v>
      </c>
      <c r="M168" t="s">
        <v>2689</v>
      </c>
    </row>
    <row r="169" spans="1:13" ht="16" hidden="1" thickBot="1" x14ac:dyDescent="0.25">
      <c r="A169" s="551" t="s">
        <v>2172</v>
      </c>
      <c r="B169" s="548" t="s">
        <v>2673</v>
      </c>
      <c r="C169" s="548" t="s">
        <v>2690</v>
      </c>
      <c r="D169" s="548" t="s">
        <v>2691</v>
      </c>
      <c r="E169" s="550" t="s">
        <v>2676</v>
      </c>
      <c r="F169" s="548" t="s">
        <v>2692</v>
      </c>
      <c r="G169" s="548" t="s">
        <v>2178</v>
      </c>
      <c r="H169" s="549">
        <v>1628350</v>
      </c>
      <c r="I169" s="548">
        <v>60</v>
      </c>
      <c r="J169" s="547">
        <v>46308</v>
      </c>
      <c r="K169" s="546" t="s">
        <v>2517</v>
      </c>
      <c r="L169" s="545" t="s">
        <v>2192</v>
      </c>
      <c r="M169" t="s">
        <v>2689</v>
      </c>
    </row>
    <row r="170" spans="1:13" ht="16" hidden="1" thickBot="1" x14ac:dyDescent="0.25">
      <c r="A170" s="551" t="s">
        <v>2172</v>
      </c>
      <c r="B170" s="548" t="s">
        <v>2673</v>
      </c>
      <c r="C170" s="548" t="s">
        <v>2693</v>
      </c>
      <c r="D170" s="548" t="s">
        <v>2694</v>
      </c>
      <c r="E170" s="550" t="s">
        <v>2676</v>
      </c>
      <c r="F170" s="548" t="s">
        <v>2695</v>
      </c>
      <c r="G170" s="548" t="s">
        <v>2178</v>
      </c>
      <c r="H170" s="549">
        <v>532648</v>
      </c>
      <c r="I170" s="548">
        <v>10</v>
      </c>
      <c r="J170" s="547">
        <v>46308</v>
      </c>
      <c r="K170" s="546" t="s">
        <v>2517</v>
      </c>
      <c r="L170" s="552" t="s">
        <v>2696</v>
      </c>
    </row>
    <row r="171" spans="1:13" ht="16" hidden="1" thickBot="1" x14ac:dyDescent="0.25">
      <c r="A171" s="551" t="s">
        <v>2172</v>
      </c>
      <c r="B171" s="548" t="s">
        <v>2673</v>
      </c>
      <c r="C171" s="548" t="s">
        <v>2697</v>
      </c>
      <c r="D171" s="548" t="s">
        <v>2694</v>
      </c>
      <c r="E171" s="550" t="s">
        <v>2676</v>
      </c>
      <c r="F171" s="548" t="s">
        <v>2698</v>
      </c>
      <c r="G171" s="548" t="s">
        <v>2178</v>
      </c>
      <c r="H171" s="549">
        <v>291904</v>
      </c>
      <c r="I171" s="548">
        <v>10</v>
      </c>
      <c r="J171" s="547">
        <v>46308</v>
      </c>
      <c r="K171" s="546" t="s">
        <v>2517</v>
      </c>
      <c r="L171" s="545" t="s">
        <v>2192</v>
      </c>
    </row>
    <row r="172" spans="1:13" s="3" customFormat="1" ht="16" hidden="1" thickBot="1" x14ac:dyDescent="0.25">
      <c r="A172" s="551" t="s">
        <v>2172</v>
      </c>
      <c r="B172" s="548" t="s">
        <v>2673</v>
      </c>
      <c r="C172" s="548" t="s">
        <v>2699</v>
      </c>
      <c r="D172" s="548" t="s">
        <v>2700</v>
      </c>
      <c r="E172" s="550" t="s">
        <v>2676</v>
      </c>
      <c r="F172" s="548" t="s">
        <v>2701</v>
      </c>
      <c r="G172" s="548" t="s">
        <v>2178</v>
      </c>
      <c r="H172" s="549">
        <v>991400</v>
      </c>
      <c r="I172" s="548">
        <v>60</v>
      </c>
      <c r="J172" s="547">
        <v>46308</v>
      </c>
      <c r="K172" s="546" t="s">
        <v>2517</v>
      </c>
      <c r="L172" s="545" t="s">
        <v>2702</v>
      </c>
    </row>
    <row r="173" spans="1:13" ht="16" hidden="1" thickBot="1" x14ac:dyDescent="0.25">
      <c r="A173" s="402" t="s">
        <v>2172</v>
      </c>
      <c r="B173" s="399" t="s">
        <v>2703</v>
      </c>
      <c r="C173" s="399" t="s">
        <v>2704</v>
      </c>
      <c r="D173" s="399" t="s">
        <v>2705</v>
      </c>
      <c r="E173" s="401" t="s">
        <v>2706</v>
      </c>
      <c r="F173" s="399" t="s">
        <v>2707</v>
      </c>
      <c r="G173" s="399" t="s">
        <v>2178</v>
      </c>
      <c r="H173" s="400">
        <v>602272</v>
      </c>
      <c r="I173" s="399">
        <v>120</v>
      </c>
      <c r="J173" s="429">
        <v>45307</v>
      </c>
      <c r="K173" s="398" t="s">
        <v>2191</v>
      </c>
    </row>
    <row r="174" spans="1:13" ht="16" hidden="1" thickBot="1" x14ac:dyDescent="0.25">
      <c r="A174" s="402" t="s">
        <v>2172</v>
      </c>
      <c r="B174" s="399" t="s">
        <v>2708</v>
      </c>
      <c r="C174" s="399" t="s">
        <v>2709</v>
      </c>
      <c r="D174" s="399" t="s">
        <v>2710</v>
      </c>
      <c r="E174" s="401" t="s">
        <v>2711</v>
      </c>
      <c r="F174" s="399" t="s">
        <v>2712</v>
      </c>
      <c r="G174" s="399" t="s">
        <v>2178</v>
      </c>
      <c r="H174" s="400">
        <v>3783690</v>
      </c>
      <c r="I174" s="399">
        <v>1000</v>
      </c>
      <c r="J174" s="429">
        <v>45671</v>
      </c>
      <c r="K174" s="398" t="s">
        <v>2191</v>
      </c>
    </row>
    <row r="175" spans="1:13" ht="16" hidden="1" thickBot="1" x14ac:dyDescent="0.25">
      <c r="A175" s="402" t="s">
        <v>2172</v>
      </c>
      <c r="B175" s="399" t="s">
        <v>2713</v>
      </c>
      <c r="C175" s="399" t="s">
        <v>2714</v>
      </c>
      <c r="D175" s="399" t="s">
        <v>2715</v>
      </c>
      <c r="E175" s="401" t="s">
        <v>2711</v>
      </c>
      <c r="F175" s="399" t="s">
        <v>2716</v>
      </c>
      <c r="G175" s="399" t="s">
        <v>2178</v>
      </c>
      <c r="H175" s="400">
        <v>9675562</v>
      </c>
      <c r="I175" s="399">
        <v>1000</v>
      </c>
      <c r="J175" s="429">
        <v>45902</v>
      </c>
      <c r="K175" s="398" t="s">
        <v>2191</v>
      </c>
    </row>
    <row r="176" spans="1:13" ht="16" hidden="1" thickBot="1" x14ac:dyDescent="0.25">
      <c r="A176" s="402" t="s">
        <v>2172</v>
      </c>
      <c r="B176" s="399" t="s">
        <v>2713</v>
      </c>
      <c r="C176" s="399" t="s">
        <v>2717</v>
      </c>
      <c r="D176" s="399" t="s">
        <v>2718</v>
      </c>
      <c r="E176" s="401" t="s">
        <v>2711</v>
      </c>
      <c r="F176" s="399" t="s">
        <v>2719</v>
      </c>
      <c r="G176" s="399" t="s">
        <v>2178</v>
      </c>
      <c r="H176" s="400">
        <v>2418891</v>
      </c>
      <c r="I176" s="399">
        <v>1000</v>
      </c>
      <c r="J176" s="429">
        <v>45756</v>
      </c>
      <c r="K176" s="398" t="s">
        <v>2191</v>
      </c>
    </row>
    <row r="177" spans="1:13" ht="16" hidden="1" thickBot="1" x14ac:dyDescent="0.25">
      <c r="A177" s="402" t="s">
        <v>2172</v>
      </c>
      <c r="B177" s="399" t="s">
        <v>2708</v>
      </c>
      <c r="C177" s="399" t="s">
        <v>2720</v>
      </c>
      <c r="D177" s="399" t="s">
        <v>2721</v>
      </c>
      <c r="E177" s="401" t="s">
        <v>2711</v>
      </c>
      <c r="F177" s="399" t="s">
        <v>2722</v>
      </c>
      <c r="G177" s="399" t="s">
        <v>2178</v>
      </c>
      <c r="H177" s="400">
        <v>420410</v>
      </c>
      <c r="I177" s="399">
        <v>1000</v>
      </c>
      <c r="J177" s="429">
        <v>45756</v>
      </c>
      <c r="K177" s="398" t="s">
        <v>2191</v>
      </c>
    </row>
    <row r="178" spans="1:13" ht="16" hidden="1" thickBot="1" x14ac:dyDescent="0.25">
      <c r="A178" s="402" t="s">
        <v>2172</v>
      </c>
      <c r="B178" s="399" t="s">
        <v>2723</v>
      </c>
      <c r="C178" s="399" t="s">
        <v>2724</v>
      </c>
      <c r="D178" s="399" t="s">
        <v>2721</v>
      </c>
      <c r="E178" s="401" t="s">
        <v>2711</v>
      </c>
      <c r="F178" s="399" t="s">
        <v>2725</v>
      </c>
      <c r="G178" s="399" t="s">
        <v>2178</v>
      </c>
      <c r="H178" s="400">
        <v>13038403</v>
      </c>
      <c r="I178" s="399">
        <v>1000</v>
      </c>
      <c r="J178" s="429">
        <v>45964</v>
      </c>
      <c r="K178" s="398" t="s">
        <v>2191</v>
      </c>
    </row>
    <row r="179" spans="1:13" ht="16" hidden="1" thickBot="1" x14ac:dyDescent="0.25">
      <c r="A179" s="402" t="s">
        <v>2172</v>
      </c>
      <c r="B179" s="399" t="s">
        <v>2726</v>
      </c>
      <c r="C179" s="399" t="s">
        <v>2727</v>
      </c>
      <c r="D179" s="399" t="s">
        <v>2728</v>
      </c>
      <c r="E179" s="401" t="s">
        <v>2729</v>
      </c>
      <c r="F179" s="399" t="s">
        <v>2730</v>
      </c>
      <c r="G179" s="399" t="s">
        <v>2178</v>
      </c>
      <c r="H179" s="400">
        <v>500000</v>
      </c>
      <c r="I179" s="399">
        <v>80</v>
      </c>
      <c r="J179" s="429">
        <v>46338</v>
      </c>
      <c r="K179" s="398" t="s">
        <v>2432</v>
      </c>
    </row>
    <row r="180" spans="1:13" ht="16" hidden="1" thickBot="1" x14ac:dyDescent="0.25">
      <c r="A180" s="402" t="s">
        <v>2172</v>
      </c>
      <c r="B180" s="399" t="s">
        <v>2731</v>
      </c>
      <c r="C180" s="399" t="s">
        <v>2732</v>
      </c>
      <c r="D180" s="399" t="s">
        <v>2733</v>
      </c>
      <c r="E180" s="401" t="s">
        <v>2734</v>
      </c>
      <c r="F180" s="399" t="s">
        <v>2735</v>
      </c>
      <c r="G180" s="399" t="s">
        <v>2178</v>
      </c>
      <c r="H180" s="400">
        <v>1337062</v>
      </c>
      <c r="I180" s="399">
        <v>500</v>
      </c>
      <c r="J180" s="429">
        <v>46308</v>
      </c>
      <c r="K180" s="398" t="s">
        <v>2432</v>
      </c>
    </row>
    <row r="181" spans="1:13" ht="16" hidden="1" thickBot="1" x14ac:dyDescent="0.25">
      <c r="A181" s="402" t="s">
        <v>2172</v>
      </c>
      <c r="B181" s="399" t="s">
        <v>2731</v>
      </c>
      <c r="C181" s="399" t="s">
        <v>2736</v>
      </c>
      <c r="D181" s="399" t="s">
        <v>2737</v>
      </c>
      <c r="E181" s="401" t="s">
        <v>2734</v>
      </c>
      <c r="F181" s="399" t="s">
        <v>2738</v>
      </c>
      <c r="G181" s="399" t="s">
        <v>2178</v>
      </c>
      <c r="H181" s="400">
        <v>279967</v>
      </c>
      <c r="I181" s="399">
        <v>500</v>
      </c>
      <c r="J181" s="429">
        <v>46213</v>
      </c>
      <c r="K181" s="398" t="s">
        <v>2432</v>
      </c>
    </row>
    <row r="182" spans="1:13" ht="16" hidden="1" thickBot="1" x14ac:dyDescent="0.25">
      <c r="A182" s="402" t="s">
        <v>2172</v>
      </c>
      <c r="B182" s="399" t="s">
        <v>2731</v>
      </c>
      <c r="C182" s="399" t="s">
        <v>2739</v>
      </c>
      <c r="D182" s="399" t="s">
        <v>2740</v>
      </c>
      <c r="E182" s="401" t="s">
        <v>2734</v>
      </c>
      <c r="F182" s="399" t="s">
        <v>2741</v>
      </c>
      <c r="G182" s="399" t="s">
        <v>2178</v>
      </c>
      <c r="H182" s="400">
        <v>870903</v>
      </c>
      <c r="I182" s="399">
        <v>500</v>
      </c>
      <c r="J182" s="429">
        <v>45583</v>
      </c>
      <c r="K182" s="398" t="s">
        <v>2432</v>
      </c>
    </row>
    <row r="183" spans="1:13" ht="16" hidden="1" thickBot="1" x14ac:dyDescent="0.25">
      <c r="A183" s="402" t="s">
        <v>2172</v>
      </c>
      <c r="B183" s="399" t="s">
        <v>2742</v>
      </c>
      <c r="C183" s="399" t="s">
        <v>2743</v>
      </c>
      <c r="D183" s="399" t="s">
        <v>2744</v>
      </c>
      <c r="E183" s="401" t="s">
        <v>2734</v>
      </c>
      <c r="F183" s="399" t="s">
        <v>2745</v>
      </c>
      <c r="G183" s="399"/>
      <c r="H183" s="400">
        <v>500000</v>
      </c>
      <c r="I183" s="399">
        <v>180</v>
      </c>
      <c r="J183" s="429">
        <v>46288</v>
      </c>
      <c r="K183" s="398" t="s">
        <v>2432</v>
      </c>
    </row>
    <row r="184" spans="1:13" ht="16" hidden="1" thickBot="1" x14ac:dyDescent="0.25">
      <c r="A184" s="544" t="s">
        <v>2172</v>
      </c>
      <c r="B184" s="541" t="s">
        <v>2746</v>
      </c>
      <c r="C184" s="541" t="s">
        <v>2747</v>
      </c>
      <c r="D184" s="541" t="s">
        <v>2748</v>
      </c>
      <c r="E184" s="543" t="s">
        <v>2749</v>
      </c>
      <c r="F184" s="541" t="s">
        <v>2750</v>
      </c>
      <c r="G184" s="541" t="s">
        <v>2178</v>
      </c>
      <c r="H184" s="542">
        <v>2340000</v>
      </c>
      <c r="I184" s="541">
        <v>240</v>
      </c>
      <c r="J184" s="540">
        <v>46309</v>
      </c>
      <c r="K184" s="539" t="s">
        <v>2179</v>
      </c>
      <c r="L184" s="1122" t="s">
        <v>2192</v>
      </c>
      <c r="M184" s="1132"/>
    </row>
    <row r="185" spans="1:13" ht="16" hidden="1" thickBot="1" x14ac:dyDescent="0.25">
      <c r="A185" s="538" t="s">
        <v>2172</v>
      </c>
      <c r="B185" s="535" t="s">
        <v>2746</v>
      </c>
      <c r="C185" s="535" t="s">
        <v>2751</v>
      </c>
      <c r="D185" s="535" t="s">
        <v>2748</v>
      </c>
      <c r="E185" s="537" t="s">
        <v>2749</v>
      </c>
      <c r="F185" s="535" t="s">
        <v>2752</v>
      </c>
      <c r="G185" s="535" t="s">
        <v>2178</v>
      </c>
      <c r="H185" s="536">
        <v>564000</v>
      </c>
      <c r="I185" s="535">
        <v>200</v>
      </c>
      <c r="J185" s="534">
        <v>46309</v>
      </c>
      <c r="K185" s="533" t="s">
        <v>2179</v>
      </c>
      <c r="L185" s="1123"/>
      <c r="M185" s="1131"/>
    </row>
    <row r="186" spans="1:13" ht="16" hidden="1" thickBot="1" x14ac:dyDescent="0.25">
      <c r="A186" s="538" t="s">
        <v>2172</v>
      </c>
      <c r="B186" s="535" t="s">
        <v>2746</v>
      </c>
      <c r="C186" s="535" t="s">
        <v>2753</v>
      </c>
      <c r="D186" s="535" t="s">
        <v>2748</v>
      </c>
      <c r="E186" s="537" t="s">
        <v>2749</v>
      </c>
      <c r="F186" s="535" t="s">
        <v>2754</v>
      </c>
      <c r="G186" s="535" t="s">
        <v>2178</v>
      </c>
      <c r="H186" s="536">
        <v>518000</v>
      </c>
      <c r="I186" s="535">
        <v>120</v>
      </c>
      <c r="J186" s="534">
        <v>46309</v>
      </c>
      <c r="K186" s="533" t="s">
        <v>2179</v>
      </c>
      <c r="L186" s="1123"/>
      <c r="M186" s="1131"/>
    </row>
    <row r="187" spans="1:13" ht="16" hidden="1" thickBot="1" x14ac:dyDescent="0.25">
      <c r="A187" s="538" t="s">
        <v>2172</v>
      </c>
      <c r="B187" s="535" t="s">
        <v>2746</v>
      </c>
      <c r="C187" s="535" t="s">
        <v>2755</v>
      </c>
      <c r="D187" s="535" t="s">
        <v>2748</v>
      </c>
      <c r="E187" s="537" t="s">
        <v>2749</v>
      </c>
      <c r="F187" s="535" t="s">
        <v>2756</v>
      </c>
      <c r="G187" s="535" t="s">
        <v>2178</v>
      </c>
      <c r="H187" s="536">
        <v>286200</v>
      </c>
      <c r="I187" s="535">
        <v>120</v>
      </c>
      <c r="J187" s="534">
        <v>46309</v>
      </c>
      <c r="K187" s="533" t="s">
        <v>2179</v>
      </c>
      <c r="L187" s="1123"/>
      <c r="M187" s="1131"/>
    </row>
    <row r="188" spans="1:13" ht="16" hidden="1" thickBot="1" x14ac:dyDescent="0.25">
      <c r="A188" s="538" t="s">
        <v>2172</v>
      </c>
      <c r="B188" s="535" t="s">
        <v>2746</v>
      </c>
      <c r="C188" s="535" t="s">
        <v>2757</v>
      </c>
      <c r="D188" s="535" t="s">
        <v>2748</v>
      </c>
      <c r="E188" s="537" t="s">
        <v>2749</v>
      </c>
      <c r="F188" s="535" t="s">
        <v>2758</v>
      </c>
      <c r="G188" s="535" t="s">
        <v>2178</v>
      </c>
      <c r="H188" s="536">
        <v>696100</v>
      </c>
      <c r="I188" s="535">
        <v>120</v>
      </c>
      <c r="J188" s="534">
        <v>46309</v>
      </c>
      <c r="K188" s="533" t="s">
        <v>2179</v>
      </c>
      <c r="L188" s="1123"/>
      <c r="M188" s="1131"/>
    </row>
    <row r="189" spans="1:13" ht="16" hidden="1" thickBot="1" x14ac:dyDescent="0.25">
      <c r="A189" s="538" t="s">
        <v>2172</v>
      </c>
      <c r="B189" s="535" t="s">
        <v>2746</v>
      </c>
      <c r="C189" s="535" t="s">
        <v>2759</v>
      </c>
      <c r="D189" s="535" t="s">
        <v>2748</v>
      </c>
      <c r="E189" s="537" t="s">
        <v>2749</v>
      </c>
      <c r="F189" s="535" t="s">
        <v>2760</v>
      </c>
      <c r="G189" s="535" t="s">
        <v>2178</v>
      </c>
      <c r="H189" s="536">
        <v>386300</v>
      </c>
      <c r="I189" s="535">
        <v>180</v>
      </c>
      <c r="J189" s="534">
        <v>46309</v>
      </c>
      <c r="K189" s="533" t="s">
        <v>2179</v>
      </c>
      <c r="L189" s="1123"/>
      <c r="M189" s="1131"/>
    </row>
    <row r="190" spans="1:13" s="3" customFormat="1" ht="16" hidden="1" thickBot="1" x14ac:dyDescent="0.25">
      <c r="A190" s="538" t="s">
        <v>2172</v>
      </c>
      <c r="B190" s="535" t="s">
        <v>2746</v>
      </c>
      <c r="C190" s="535" t="s">
        <v>2761</v>
      </c>
      <c r="D190" s="535" t="s">
        <v>2748</v>
      </c>
      <c r="E190" s="537" t="s">
        <v>2749</v>
      </c>
      <c r="F190" s="535" t="s">
        <v>2762</v>
      </c>
      <c r="G190" s="535" t="s">
        <v>2178</v>
      </c>
      <c r="H190" s="536">
        <v>6514100</v>
      </c>
      <c r="I190" s="535">
        <v>500</v>
      </c>
      <c r="J190" s="534">
        <v>46721</v>
      </c>
      <c r="K190" s="533" t="s">
        <v>2179</v>
      </c>
      <c r="L190" s="1123"/>
      <c r="M190" s="1131"/>
    </row>
    <row r="191" spans="1:13" ht="16" hidden="1" thickBot="1" x14ac:dyDescent="0.25">
      <c r="A191" s="532" t="s">
        <v>2172</v>
      </c>
      <c r="B191" s="529" t="s">
        <v>2746</v>
      </c>
      <c r="C191" s="529" t="s">
        <v>2763</v>
      </c>
      <c r="D191" s="529" t="s">
        <v>2748</v>
      </c>
      <c r="E191" s="531" t="s">
        <v>2749</v>
      </c>
      <c r="F191" s="529" t="s">
        <v>2764</v>
      </c>
      <c r="G191" s="529" t="s">
        <v>2178</v>
      </c>
      <c r="H191" s="530">
        <v>262700</v>
      </c>
      <c r="I191" s="529">
        <v>50</v>
      </c>
      <c r="J191" s="528">
        <v>46721</v>
      </c>
      <c r="K191" s="527" t="s">
        <v>2179</v>
      </c>
      <c r="L191" s="1124"/>
      <c r="M191" s="1133"/>
    </row>
    <row r="192" spans="1:13" s="3" customFormat="1" ht="16" hidden="1" thickBot="1" x14ac:dyDescent="0.25">
      <c r="A192" s="544" t="s">
        <v>2172</v>
      </c>
      <c r="B192" s="541" t="s">
        <v>2765</v>
      </c>
      <c r="C192" s="541" t="s">
        <v>2766</v>
      </c>
      <c r="D192" s="541" t="s">
        <v>2715</v>
      </c>
      <c r="E192" s="543" t="s">
        <v>2749</v>
      </c>
      <c r="F192" s="541" t="s">
        <v>2767</v>
      </c>
      <c r="G192" s="541" t="s">
        <v>2178</v>
      </c>
      <c r="H192" s="542">
        <v>1799900</v>
      </c>
      <c r="I192" s="541">
        <v>40</v>
      </c>
      <c r="J192" s="540">
        <v>46309</v>
      </c>
      <c r="K192" s="539" t="s">
        <v>2179</v>
      </c>
      <c r="L192" s="1122" t="s">
        <v>2192</v>
      </c>
      <c r="M192" s="1134"/>
    </row>
    <row r="193" spans="1:13" ht="16" hidden="1" thickBot="1" x14ac:dyDescent="0.25">
      <c r="A193" s="538" t="s">
        <v>2172</v>
      </c>
      <c r="B193" s="535" t="s">
        <v>2765</v>
      </c>
      <c r="C193" s="535" t="s">
        <v>2768</v>
      </c>
      <c r="D193" s="535" t="s">
        <v>2715</v>
      </c>
      <c r="E193" s="537" t="s">
        <v>2749</v>
      </c>
      <c r="F193" s="535" t="s">
        <v>2769</v>
      </c>
      <c r="G193" s="535" t="s">
        <v>2178</v>
      </c>
      <c r="H193" s="536">
        <v>1903700</v>
      </c>
      <c r="I193" s="535">
        <v>120</v>
      </c>
      <c r="J193" s="534">
        <v>46400</v>
      </c>
      <c r="K193" s="533" t="s">
        <v>2179</v>
      </c>
      <c r="L193" s="1123"/>
      <c r="M193" s="1135"/>
    </row>
    <row r="194" spans="1:13" ht="16" hidden="1" thickBot="1" x14ac:dyDescent="0.25">
      <c r="A194" s="538" t="s">
        <v>2172</v>
      </c>
      <c r="B194" s="535" t="s">
        <v>2765</v>
      </c>
      <c r="C194" s="535" t="s">
        <v>2770</v>
      </c>
      <c r="D194" s="535" t="s">
        <v>2715</v>
      </c>
      <c r="E194" s="537" t="s">
        <v>2749</v>
      </c>
      <c r="F194" s="535" t="s">
        <v>2771</v>
      </c>
      <c r="G194" s="535" t="s">
        <v>2178</v>
      </c>
      <c r="H194" s="536">
        <v>3443100</v>
      </c>
      <c r="I194" s="535">
        <v>160</v>
      </c>
      <c r="J194" s="534">
        <v>46574</v>
      </c>
      <c r="K194" s="533" t="s">
        <v>2179</v>
      </c>
      <c r="L194" s="1123"/>
      <c r="M194" s="1135"/>
    </row>
    <row r="195" spans="1:13" s="3" customFormat="1" ht="16" hidden="1" thickBot="1" x14ac:dyDescent="0.25">
      <c r="A195" s="532" t="s">
        <v>2172</v>
      </c>
      <c r="B195" s="529" t="s">
        <v>2765</v>
      </c>
      <c r="C195" s="529" t="s">
        <v>2772</v>
      </c>
      <c r="D195" s="529" t="s">
        <v>2715</v>
      </c>
      <c r="E195" s="531" t="s">
        <v>2749</v>
      </c>
      <c r="F195" s="529" t="s">
        <v>2773</v>
      </c>
      <c r="G195" s="529" t="s">
        <v>2178</v>
      </c>
      <c r="H195" s="530">
        <v>1425000</v>
      </c>
      <c r="I195" s="529">
        <v>60</v>
      </c>
      <c r="J195" s="528">
        <v>46811</v>
      </c>
      <c r="K195" s="527" t="s">
        <v>2179</v>
      </c>
      <c r="L195" s="1124"/>
      <c r="M195" s="1136"/>
    </row>
    <row r="196" spans="1:13" ht="16" hidden="1" thickBot="1" x14ac:dyDescent="0.25">
      <c r="A196" s="544" t="s">
        <v>2172</v>
      </c>
      <c r="B196" s="541" t="s">
        <v>2774</v>
      </c>
      <c r="C196" s="541" t="s">
        <v>2775</v>
      </c>
      <c r="D196" s="541" t="s">
        <v>2776</v>
      </c>
      <c r="E196" s="543" t="s">
        <v>2749</v>
      </c>
      <c r="F196" s="541" t="s">
        <v>2777</v>
      </c>
      <c r="G196" s="541" t="s">
        <v>2178</v>
      </c>
      <c r="H196" s="542">
        <v>1780801</v>
      </c>
      <c r="I196" s="541">
        <v>119</v>
      </c>
      <c r="J196" s="540">
        <v>46125</v>
      </c>
      <c r="K196" s="539" t="s">
        <v>2179</v>
      </c>
      <c r="L196" s="1122" t="s">
        <v>2192</v>
      </c>
      <c r="M196" s="1131" t="s">
        <v>2778</v>
      </c>
    </row>
    <row r="197" spans="1:13" s="3" customFormat="1" ht="16" hidden="1" thickBot="1" x14ac:dyDescent="0.25">
      <c r="A197" s="538" t="s">
        <v>2172</v>
      </c>
      <c r="B197" s="535" t="s">
        <v>2774</v>
      </c>
      <c r="C197" s="535" t="s">
        <v>2779</v>
      </c>
      <c r="D197" s="535" t="s">
        <v>2776</v>
      </c>
      <c r="E197" s="537" t="s">
        <v>2749</v>
      </c>
      <c r="F197" s="535" t="s">
        <v>2780</v>
      </c>
      <c r="G197" s="535" t="s">
        <v>2178</v>
      </c>
      <c r="H197" s="536">
        <v>300000</v>
      </c>
      <c r="I197" s="535">
        <v>120</v>
      </c>
      <c r="J197" s="534">
        <v>46532</v>
      </c>
      <c r="K197" s="533" t="s">
        <v>2179</v>
      </c>
      <c r="L197" s="1123"/>
      <c r="M197" s="1131"/>
    </row>
    <row r="198" spans="1:13" ht="16" hidden="1" thickBot="1" x14ac:dyDescent="0.25">
      <c r="A198" s="538" t="s">
        <v>2172</v>
      </c>
      <c r="B198" s="535" t="s">
        <v>2774</v>
      </c>
      <c r="C198" s="535" t="s">
        <v>2781</v>
      </c>
      <c r="D198" s="535" t="s">
        <v>2776</v>
      </c>
      <c r="E198" s="537" t="s">
        <v>2749</v>
      </c>
      <c r="F198" s="535" t="s">
        <v>2782</v>
      </c>
      <c r="G198" s="535" t="s">
        <v>2178</v>
      </c>
      <c r="H198" s="536">
        <v>700000</v>
      </c>
      <c r="I198" s="535">
        <v>200</v>
      </c>
      <c r="J198" s="534">
        <v>46707</v>
      </c>
      <c r="K198" s="533" t="s">
        <v>2179</v>
      </c>
      <c r="L198" s="1123"/>
      <c r="M198" s="1131"/>
    </row>
    <row r="199" spans="1:13" ht="16" hidden="1" thickBot="1" x14ac:dyDescent="0.25">
      <c r="A199" s="532" t="s">
        <v>2172</v>
      </c>
      <c r="B199" s="529" t="s">
        <v>2774</v>
      </c>
      <c r="C199" s="529" t="s">
        <v>2783</v>
      </c>
      <c r="D199" s="529" t="s">
        <v>2776</v>
      </c>
      <c r="E199" s="531" t="s">
        <v>2749</v>
      </c>
      <c r="F199" s="529" t="s">
        <v>2784</v>
      </c>
      <c r="G199" s="529" t="s">
        <v>2178</v>
      </c>
      <c r="H199" s="530">
        <v>11872000</v>
      </c>
      <c r="I199" s="529">
        <v>912</v>
      </c>
      <c r="J199" s="528">
        <v>47470</v>
      </c>
      <c r="K199" s="527" t="s">
        <v>2179</v>
      </c>
      <c r="L199" s="1124"/>
      <c r="M199" s="1131"/>
    </row>
    <row r="200" spans="1:13" s="3" customFormat="1" ht="16" hidden="1" thickBot="1" x14ac:dyDescent="0.25">
      <c r="A200" s="544" t="s">
        <v>2172</v>
      </c>
      <c r="B200" s="541" t="s">
        <v>2785</v>
      </c>
      <c r="C200" s="541" t="s">
        <v>2786</v>
      </c>
      <c r="D200" s="541" t="s">
        <v>2787</v>
      </c>
      <c r="E200" s="543" t="s">
        <v>2749</v>
      </c>
      <c r="F200" s="541" t="s">
        <v>2788</v>
      </c>
      <c r="G200" s="541" t="s">
        <v>2178</v>
      </c>
      <c r="H200" s="542">
        <v>1600000</v>
      </c>
      <c r="I200" s="541">
        <v>140</v>
      </c>
      <c r="J200" s="540">
        <v>45994</v>
      </c>
      <c r="K200" s="539" t="s">
        <v>2179</v>
      </c>
      <c r="L200" s="1122" t="s">
        <v>2192</v>
      </c>
      <c r="M200" s="1134"/>
    </row>
    <row r="201" spans="1:13" ht="16" hidden="1" thickBot="1" x14ac:dyDescent="0.25">
      <c r="A201" s="538" t="s">
        <v>2172</v>
      </c>
      <c r="B201" s="535" t="s">
        <v>2785</v>
      </c>
      <c r="C201" s="535" t="s">
        <v>2789</v>
      </c>
      <c r="D201" s="535" t="s">
        <v>2787</v>
      </c>
      <c r="E201" s="537" t="s">
        <v>2749</v>
      </c>
      <c r="F201" s="535" t="s">
        <v>2790</v>
      </c>
      <c r="G201" s="535" t="s">
        <v>2178</v>
      </c>
      <c r="H201" s="536">
        <v>1416800</v>
      </c>
      <c r="I201" s="535">
        <v>60</v>
      </c>
      <c r="J201" s="534">
        <v>45961</v>
      </c>
      <c r="K201" s="533" t="s">
        <v>2179</v>
      </c>
      <c r="L201" s="1123"/>
      <c r="M201" s="1135"/>
    </row>
    <row r="202" spans="1:13" ht="16" hidden="1" thickBot="1" x14ac:dyDescent="0.25">
      <c r="A202" s="538" t="s">
        <v>2172</v>
      </c>
      <c r="B202" s="535" t="s">
        <v>2785</v>
      </c>
      <c r="C202" s="535" t="s">
        <v>2791</v>
      </c>
      <c r="D202" s="535" t="s">
        <v>2787</v>
      </c>
      <c r="E202" s="537" t="s">
        <v>2749</v>
      </c>
      <c r="F202" s="535" t="s">
        <v>2792</v>
      </c>
      <c r="G202" s="535" t="s">
        <v>2178</v>
      </c>
      <c r="H202" s="536">
        <v>416200</v>
      </c>
      <c r="I202" s="535">
        <v>120</v>
      </c>
      <c r="J202" s="534">
        <v>46008</v>
      </c>
      <c r="K202" s="533" t="s">
        <v>2179</v>
      </c>
      <c r="L202" s="1123"/>
      <c r="M202" s="1135"/>
    </row>
    <row r="203" spans="1:13" ht="16" hidden="1" thickBot="1" x14ac:dyDescent="0.25">
      <c r="A203" s="538" t="s">
        <v>2172</v>
      </c>
      <c r="B203" s="535" t="s">
        <v>2785</v>
      </c>
      <c r="C203" s="535" t="s">
        <v>2793</v>
      </c>
      <c r="D203" s="535" t="s">
        <v>2787</v>
      </c>
      <c r="E203" s="537" t="s">
        <v>2749</v>
      </c>
      <c r="F203" s="535" t="s">
        <v>2794</v>
      </c>
      <c r="G203" s="535" t="s">
        <v>2178</v>
      </c>
      <c r="H203" s="536">
        <v>416200</v>
      </c>
      <c r="I203" s="535">
        <v>120</v>
      </c>
      <c r="J203" s="534">
        <v>46008</v>
      </c>
      <c r="K203" s="533" t="s">
        <v>2179</v>
      </c>
      <c r="L203" s="1123"/>
      <c r="M203" s="1135"/>
    </row>
    <row r="204" spans="1:13" s="3" customFormat="1" ht="16" hidden="1" thickBot="1" x14ac:dyDescent="0.25">
      <c r="A204" s="532" t="s">
        <v>2172</v>
      </c>
      <c r="B204" s="529" t="s">
        <v>2785</v>
      </c>
      <c r="C204" s="529" t="s">
        <v>2795</v>
      </c>
      <c r="D204" s="529" t="s">
        <v>2787</v>
      </c>
      <c r="E204" s="531" t="s">
        <v>2749</v>
      </c>
      <c r="F204" s="529" t="s">
        <v>2796</v>
      </c>
      <c r="G204" s="529" t="s">
        <v>2178</v>
      </c>
      <c r="H204" s="530">
        <v>416200</v>
      </c>
      <c r="I204" s="529">
        <v>120</v>
      </c>
      <c r="J204" s="528">
        <v>46008</v>
      </c>
      <c r="K204" s="527" t="s">
        <v>2179</v>
      </c>
      <c r="L204" s="1124"/>
      <c r="M204" s="1136"/>
    </row>
    <row r="205" spans="1:13" ht="16" hidden="1" thickBot="1" x14ac:dyDescent="0.25">
      <c r="A205" s="544" t="s">
        <v>2172</v>
      </c>
      <c r="B205" s="541" t="s">
        <v>2797</v>
      </c>
      <c r="C205" s="541" t="s">
        <v>2798</v>
      </c>
      <c r="D205" s="541" t="s">
        <v>2799</v>
      </c>
      <c r="E205" s="543" t="s">
        <v>2749</v>
      </c>
      <c r="F205" s="541" t="s">
        <v>2800</v>
      </c>
      <c r="G205" s="541" t="s">
        <v>2178</v>
      </c>
      <c r="H205" s="542">
        <v>1684350</v>
      </c>
      <c r="I205" s="541">
        <v>100</v>
      </c>
      <c r="J205" s="540">
        <v>46449</v>
      </c>
      <c r="K205" s="539" t="s">
        <v>2179</v>
      </c>
      <c r="L205" s="1122" t="s">
        <v>2192</v>
      </c>
      <c r="M205" s="1132"/>
    </row>
    <row r="206" spans="1:13" ht="16" hidden="1" thickBot="1" x14ac:dyDescent="0.25">
      <c r="A206" s="538" t="s">
        <v>2172</v>
      </c>
      <c r="B206" s="535" t="s">
        <v>2797</v>
      </c>
      <c r="C206" s="535" t="s">
        <v>2801</v>
      </c>
      <c r="D206" s="535" t="s">
        <v>2799</v>
      </c>
      <c r="E206" s="537" t="s">
        <v>2749</v>
      </c>
      <c r="F206" s="535" t="s">
        <v>2802</v>
      </c>
      <c r="G206" s="535" t="s">
        <v>2178</v>
      </c>
      <c r="H206" s="536">
        <v>1684350</v>
      </c>
      <c r="I206" s="535">
        <v>100</v>
      </c>
      <c r="J206" s="534">
        <v>46598</v>
      </c>
      <c r="K206" s="533" t="s">
        <v>2179</v>
      </c>
      <c r="L206" s="1123"/>
      <c r="M206" s="1131"/>
    </row>
    <row r="207" spans="1:13" s="3" customFormat="1" ht="16" hidden="1" thickBot="1" x14ac:dyDescent="0.25">
      <c r="A207" s="538" t="s">
        <v>2172</v>
      </c>
      <c r="B207" s="535" t="s">
        <v>2797</v>
      </c>
      <c r="C207" s="535" t="s">
        <v>2803</v>
      </c>
      <c r="D207" s="535" t="s">
        <v>2799</v>
      </c>
      <c r="E207" s="537" t="s">
        <v>2749</v>
      </c>
      <c r="F207" s="535" t="s">
        <v>2804</v>
      </c>
      <c r="G207" s="535" t="s">
        <v>2178</v>
      </c>
      <c r="H207" s="536">
        <v>900000</v>
      </c>
      <c r="I207" s="535">
        <v>100</v>
      </c>
      <c r="J207" s="534">
        <v>46406</v>
      </c>
      <c r="K207" s="533" t="s">
        <v>2179</v>
      </c>
      <c r="L207" s="1123"/>
      <c r="M207" s="1131"/>
    </row>
    <row r="208" spans="1:13" ht="16" hidden="1" thickBot="1" x14ac:dyDescent="0.25">
      <c r="A208" s="538" t="s">
        <v>2172</v>
      </c>
      <c r="B208" s="535" t="s">
        <v>2797</v>
      </c>
      <c r="C208" s="535" t="s">
        <v>2805</v>
      </c>
      <c r="D208" s="535" t="s">
        <v>2799</v>
      </c>
      <c r="E208" s="537" t="s">
        <v>2749</v>
      </c>
      <c r="F208" s="535" t="s">
        <v>2806</v>
      </c>
      <c r="G208" s="535" t="s">
        <v>2178</v>
      </c>
      <c r="H208" s="536">
        <v>274900</v>
      </c>
      <c r="I208" s="535">
        <v>100</v>
      </c>
      <c r="J208" s="534">
        <v>46420</v>
      </c>
      <c r="K208" s="533" t="s">
        <v>2179</v>
      </c>
      <c r="L208" s="1123"/>
      <c r="M208" s="1131"/>
    </row>
    <row r="209" spans="1:13" s="3" customFormat="1" ht="16" hidden="1" thickBot="1" x14ac:dyDescent="0.25">
      <c r="A209" s="532" t="s">
        <v>2172</v>
      </c>
      <c r="B209" s="529" t="s">
        <v>2797</v>
      </c>
      <c r="C209" s="529" t="s">
        <v>2807</v>
      </c>
      <c r="D209" s="529" t="s">
        <v>2799</v>
      </c>
      <c r="E209" s="531" t="s">
        <v>2749</v>
      </c>
      <c r="F209" s="529" t="s">
        <v>2808</v>
      </c>
      <c r="G209" s="529" t="s">
        <v>2178</v>
      </c>
      <c r="H209" s="530">
        <v>335100</v>
      </c>
      <c r="I209" s="529">
        <v>120</v>
      </c>
      <c r="J209" s="528">
        <v>46562</v>
      </c>
      <c r="K209" s="527" t="s">
        <v>2179</v>
      </c>
      <c r="L209" s="1124"/>
      <c r="M209" s="1133"/>
    </row>
    <row r="210" spans="1:13" ht="16" hidden="1" thickBot="1" x14ac:dyDescent="0.25">
      <c r="A210" s="544" t="s">
        <v>2172</v>
      </c>
      <c r="B210" s="541" t="s">
        <v>2809</v>
      </c>
      <c r="C210" s="541" t="s">
        <v>2810</v>
      </c>
      <c r="D210" s="541" t="s">
        <v>2811</v>
      </c>
      <c r="E210" s="543" t="s">
        <v>2749</v>
      </c>
      <c r="F210" s="541" t="s">
        <v>2812</v>
      </c>
      <c r="G210" s="541" t="s">
        <v>2178</v>
      </c>
      <c r="H210" s="542">
        <v>641542</v>
      </c>
      <c r="I210" s="541">
        <v>360</v>
      </c>
      <c r="J210" s="540">
        <v>45799</v>
      </c>
      <c r="K210" s="539" t="s">
        <v>2179</v>
      </c>
      <c r="L210" s="1122" t="s">
        <v>2192</v>
      </c>
      <c r="M210" s="1137"/>
    </row>
    <row r="211" spans="1:13" s="3" customFormat="1" ht="16" hidden="1" thickBot="1" x14ac:dyDescent="0.25">
      <c r="A211" s="538" t="s">
        <v>2172</v>
      </c>
      <c r="B211" s="535" t="s">
        <v>2809</v>
      </c>
      <c r="C211" s="535" t="s">
        <v>2813</v>
      </c>
      <c r="D211" s="535" t="s">
        <v>2811</v>
      </c>
      <c r="E211" s="537" t="s">
        <v>2749</v>
      </c>
      <c r="F211" s="535" t="s">
        <v>2814</v>
      </c>
      <c r="G211" s="535" t="s">
        <v>2178</v>
      </c>
      <c r="H211" s="536">
        <v>732050</v>
      </c>
      <c r="I211" s="535">
        <v>360</v>
      </c>
      <c r="J211" s="534">
        <v>45799</v>
      </c>
      <c r="K211" s="533" t="s">
        <v>2179</v>
      </c>
      <c r="L211" s="1123"/>
      <c r="M211" s="1138"/>
    </row>
    <row r="212" spans="1:13" ht="16" hidden="1" thickBot="1" x14ac:dyDescent="0.25">
      <c r="A212" s="538" t="s">
        <v>2172</v>
      </c>
      <c r="B212" s="535" t="s">
        <v>2809</v>
      </c>
      <c r="C212" s="535" t="s">
        <v>2815</v>
      </c>
      <c r="D212" s="535" t="s">
        <v>2811</v>
      </c>
      <c r="E212" s="537" t="s">
        <v>2749</v>
      </c>
      <c r="F212" s="535" t="s">
        <v>2816</v>
      </c>
      <c r="G212" s="535" t="s">
        <v>2178</v>
      </c>
      <c r="H212" s="536">
        <v>304799</v>
      </c>
      <c r="I212" s="535">
        <v>360</v>
      </c>
      <c r="J212" s="534">
        <v>45799</v>
      </c>
      <c r="K212" s="533" t="s">
        <v>2179</v>
      </c>
      <c r="L212" s="1123"/>
      <c r="M212" s="1138"/>
    </row>
    <row r="213" spans="1:13" s="3" customFormat="1" ht="16" hidden="1" thickBot="1" x14ac:dyDescent="0.25">
      <c r="A213" s="538" t="s">
        <v>2172</v>
      </c>
      <c r="B213" s="535" t="s">
        <v>2809</v>
      </c>
      <c r="C213" s="535" t="s">
        <v>2817</v>
      </c>
      <c r="D213" s="535" t="s">
        <v>2811</v>
      </c>
      <c r="E213" s="537" t="s">
        <v>2749</v>
      </c>
      <c r="F213" s="535" t="s">
        <v>2818</v>
      </c>
      <c r="G213" s="535" t="s">
        <v>2178</v>
      </c>
      <c r="H213" s="536">
        <v>304799</v>
      </c>
      <c r="I213" s="535">
        <v>360</v>
      </c>
      <c r="J213" s="534">
        <v>45799</v>
      </c>
      <c r="K213" s="533" t="s">
        <v>2179</v>
      </c>
      <c r="L213" s="1123"/>
      <c r="M213" s="1138"/>
    </row>
    <row r="214" spans="1:13" ht="16" hidden="1" thickBot="1" x14ac:dyDescent="0.25">
      <c r="A214" s="538" t="s">
        <v>2172</v>
      </c>
      <c r="B214" s="535" t="s">
        <v>2809</v>
      </c>
      <c r="C214" s="535" t="s">
        <v>2819</v>
      </c>
      <c r="D214" s="535" t="s">
        <v>2811</v>
      </c>
      <c r="E214" s="537" t="s">
        <v>2749</v>
      </c>
      <c r="F214" s="535" t="s">
        <v>2820</v>
      </c>
      <c r="G214" s="535" t="s">
        <v>2178</v>
      </c>
      <c r="H214" s="536">
        <v>641542</v>
      </c>
      <c r="I214" s="535">
        <v>360</v>
      </c>
      <c r="J214" s="534">
        <v>45828</v>
      </c>
      <c r="K214" s="533" t="s">
        <v>2179</v>
      </c>
      <c r="L214" s="1123"/>
      <c r="M214" s="1138"/>
    </row>
    <row r="215" spans="1:13" ht="16" hidden="1" thickBot="1" x14ac:dyDescent="0.25">
      <c r="A215" s="538" t="s">
        <v>2172</v>
      </c>
      <c r="B215" s="535" t="s">
        <v>2809</v>
      </c>
      <c r="C215" s="535" t="s">
        <v>2821</v>
      </c>
      <c r="D215" s="535" t="s">
        <v>2811</v>
      </c>
      <c r="E215" s="537" t="s">
        <v>2749</v>
      </c>
      <c r="F215" s="535" t="s">
        <v>2822</v>
      </c>
      <c r="G215" s="535" t="s">
        <v>2178</v>
      </c>
      <c r="H215" s="536">
        <v>641542</v>
      </c>
      <c r="I215" s="535">
        <v>360</v>
      </c>
      <c r="J215" s="534">
        <v>45828</v>
      </c>
      <c r="K215" s="533" t="s">
        <v>2179</v>
      </c>
      <c r="L215" s="1123"/>
      <c r="M215" s="1138"/>
    </row>
    <row r="216" spans="1:13" ht="16" hidden="1" thickBot="1" x14ac:dyDescent="0.25">
      <c r="A216" s="538" t="s">
        <v>2172</v>
      </c>
      <c r="B216" s="535" t="s">
        <v>2809</v>
      </c>
      <c r="C216" s="535" t="s">
        <v>2823</v>
      </c>
      <c r="D216" s="535" t="s">
        <v>2811</v>
      </c>
      <c r="E216" s="537" t="s">
        <v>2749</v>
      </c>
      <c r="F216" s="535" t="s">
        <v>2824</v>
      </c>
      <c r="G216" s="535" t="s">
        <v>2178</v>
      </c>
      <c r="H216" s="536">
        <v>732050</v>
      </c>
      <c r="I216" s="535">
        <v>360</v>
      </c>
      <c r="J216" s="534">
        <v>45828</v>
      </c>
      <c r="K216" s="533" t="s">
        <v>2179</v>
      </c>
      <c r="L216" s="1123"/>
      <c r="M216" s="1138"/>
    </row>
    <row r="217" spans="1:13" s="3" customFormat="1" ht="16" hidden="1" thickBot="1" x14ac:dyDescent="0.25">
      <c r="A217" s="538" t="s">
        <v>2172</v>
      </c>
      <c r="B217" s="535" t="s">
        <v>2809</v>
      </c>
      <c r="C217" s="535" t="s">
        <v>2825</v>
      </c>
      <c r="D217" s="535" t="s">
        <v>2811</v>
      </c>
      <c r="E217" s="537" t="s">
        <v>2749</v>
      </c>
      <c r="F217" s="535" t="s">
        <v>2826</v>
      </c>
      <c r="G217" s="535" t="s">
        <v>2178</v>
      </c>
      <c r="H217" s="536">
        <v>641542</v>
      </c>
      <c r="I217" s="535">
        <v>360</v>
      </c>
      <c r="J217" s="534">
        <v>45859</v>
      </c>
      <c r="K217" s="533" t="s">
        <v>2179</v>
      </c>
      <c r="L217" s="1123"/>
      <c r="M217" s="1138"/>
    </row>
    <row r="218" spans="1:13" ht="16" hidden="1" thickBot="1" x14ac:dyDescent="0.25">
      <c r="A218" s="538" t="s">
        <v>2172</v>
      </c>
      <c r="B218" s="535" t="s">
        <v>2809</v>
      </c>
      <c r="C218" s="535" t="s">
        <v>2827</v>
      </c>
      <c r="D218" s="535" t="s">
        <v>2811</v>
      </c>
      <c r="E218" s="537" t="s">
        <v>2749</v>
      </c>
      <c r="F218" s="535" t="s">
        <v>2828</v>
      </c>
      <c r="G218" s="535" t="s">
        <v>2178</v>
      </c>
      <c r="H218" s="536">
        <v>641542</v>
      </c>
      <c r="I218" s="535">
        <v>360</v>
      </c>
      <c r="J218" s="534">
        <v>45859</v>
      </c>
      <c r="K218" s="533" t="s">
        <v>2179</v>
      </c>
      <c r="L218" s="1123"/>
      <c r="M218" s="1138"/>
    </row>
    <row r="219" spans="1:13" ht="16" hidden="1" thickBot="1" x14ac:dyDescent="0.25">
      <c r="A219" s="538" t="s">
        <v>2172</v>
      </c>
      <c r="B219" s="535" t="s">
        <v>2809</v>
      </c>
      <c r="C219" s="535" t="s">
        <v>2829</v>
      </c>
      <c r="D219" s="535" t="s">
        <v>2811</v>
      </c>
      <c r="E219" s="537" t="s">
        <v>2749</v>
      </c>
      <c r="F219" s="535" t="s">
        <v>2830</v>
      </c>
      <c r="G219" s="535" t="s">
        <v>2178</v>
      </c>
      <c r="H219" s="536">
        <v>641542</v>
      </c>
      <c r="I219" s="535">
        <v>360</v>
      </c>
      <c r="J219" s="534">
        <v>45859</v>
      </c>
      <c r="K219" s="533" t="s">
        <v>2179</v>
      </c>
      <c r="L219" s="1123"/>
      <c r="M219" s="1138"/>
    </row>
    <row r="220" spans="1:13" s="3" customFormat="1" ht="16" hidden="1" thickBot="1" x14ac:dyDescent="0.25">
      <c r="A220" s="538" t="s">
        <v>2172</v>
      </c>
      <c r="B220" s="535" t="s">
        <v>2809</v>
      </c>
      <c r="C220" s="535" t="s">
        <v>2831</v>
      </c>
      <c r="D220" s="535" t="s">
        <v>2811</v>
      </c>
      <c r="E220" s="537" t="s">
        <v>2749</v>
      </c>
      <c r="F220" s="535" t="s">
        <v>2832</v>
      </c>
      <c r="G220" s="535" t="s">
        <v>2178</v>
      </c>
      <c r="H220" s="536">
        <v>641542</v>
      </c>
      <c r="I220" s="535">
        <v>360</v>
      </c>
      <c r="J220" s="534">
        <v>45887</v>
      </c>
      <c r="K220" s="533" t="s">
        <v>2179</v>
      </c>
      <c r="L220" s="1123"/>
      <c r="M220" s="1138"/>
    </row>
    <row r="221" spans="1:13" ht="16" hidden="1" thickBot="1" x14ac:dyDescent="0.25">
      <c r="A221" s="538" t="s">
        <v>2172</v>
      </c>
      <c r="B221" s="535" t="s">
        <v>2809</v>
      </c>
      <c r="C221" s="535" t="s">
        <v>2833</v>
      </c>
      <c r="D221" s="535" t="s">
        <v>2811</v>
      </c>
      <c r="E221" s="537" t="s">
        <v>2749</v>
      </c>
      <c r="F221" s="535" t="s">
        <v>2834</v>
      </c>
      <c r="G221" s="535" t="s">
        <v>2178</v>
      </c>
      <c r="H221" s="536">
        <v>641542</v>
      </c>
      <c r="I221" s="535">
        <v>360</v>
      </c>
      <c r="J221" s="534">
        <v>45887</v>
      </c>
      <c r="K221" s="533" t="s">
        <v>2179</v>
      </c>
      <c r="L221" s="1123"/>
      <c r="M221" s="1138"/>
    </row>
    <row r="222" spans="1:13" ht="16" hidden="1" thickBot="1" x14ac:dyDescent="0.25">
      <c r="A222" s="538" t="s">
        <v>2172</v>
      </c>
      <c r="B222" s="535" t="s">
        <v>2809</v>
      </c>
      <c r="C222" s="535" t="s">
        <v>2835</v>
      </c>
      <c r="D222" s="535" t="s">
        <v>2811</v>
      </c>
      <c r="E222" s="537" t="s">
        <v>2749</v>
      </c>
      <c r="F222" s="535" t="s">
        <v>2836</v>
      </c>
      <c r="G222" s="535" t="s">
        <v>2178</v>
      </c>
      <c r="H222" s="536">
        <v>304799</v>
      </c>
      <c r="I222" s="535">
        <v>360</v>
      </c>
      <c r="J222" s="534">
        <v>45887</v>
      </c>
      <c r="K222" s="533" t="s">
        <v>2179</v>
      </c>
      <c r="L222" s="1123"/>
      <c r="M222" s="1138"/>
    </row>
    <row r="223" spans="1:13" ht="16" hidden="1" thickBot="1" x14ac:dyDescent="0.25">
      <c r="A223" s="538" t="s">
        <v>2172</v>
      </c>
      <c r="B223" s="535" t="s">
        <v>2809</v>
      </c>
      <c r="C223" s="535" t="s">
        <v>2837</v>
      </c>
      <c r="D223" s="535" t="s">
        <v>2811</v>
      </c>
      <c r="E223" s="537" t="s">
        <v>2749</v>
      </c>
      <c r="F223" s="535" t="s">
        <v>2838</v>
      </c>
      <c r="G223" s="535" t="s">
        <v>2178</v>
      </c>
      <c r="H223" s="536">
        <v>304799</v>
      </c>
      <c r="I223" s="535">
        <v>360</v>
      </c>
      <c r="J223" s="534">
        <v>45887</v>
      </c>
      <c r="K223" s="533" t="s">
        <v>2179</v>
      </c>
      <c r="L223" s="1123"/>
      <c r="M223" s="1138"/>
    </row>
    <row r="224" spans="1:13" ht="16" hidden="1" thickBot="1" x14ac:dyDescent="0.25">
      <c r="A224" s="538" t="s">
        <v>2172</v>
      </c>
      <c r="B224" s="535" t="s">
        <v>2809</v>
      </c>
      <c r="C224" s="535" t="s">
        <v>2839</v>
      </c>
      <c r="D224" s="535" t="s">
        <v>2811</v>
      </c>
      <c r="E224" s="537" t="s">
        <v>2749</v>
      </c>
      <c r="F224" s="535" t="s">
        <v>2840</v>
      </c>
      <c r="G224" s="535" t="s">
        <v>2178</v>
      </c>
      <c r="H224" s="536">
        <v>641542</v>
      </c>
      <c r="I224" s="535">
        <v>360</v>
      </c>
      <c r="J224" s="534">
        <v>45916</v>
      </c>
      <c r="K224" s="533" t="s">
        <v>2179</v>
      </c>
      <c r="L224" s="1123"/>
      <c r="M224" s="1138"/>
    </row>
    <row r="225" spans="1:13" s="3" customFormat="1" ht="16" hidden="1" thickBot="1" x14ac:dyDescent="0.25">
      <c r="A225" s="538" t="s">
        <v>2172</v>
      </c>
      <c r="B225" s="535" t="s">
        <v>2809</v>
      </c>
      <c r="C225" s="535" t="s">
        <v>2841</v>
      </c>
      <c r="D225" s="535" t="s">
        <v>2811</v>
      </c>
      <c r="E225" s="537" t="s">
        <v>2749</v>
      </c>
      <c r="F225" s="535" t="s">
        <v>2842</v>
      </c>
      <c r="G225" s="535" t="s">
        <v>2178</v>
      </c>
      <c r="H225" s="536">
        <v>641542</v>
      </c>
      <c r="I225" s="535">
        <v>360</v>
      </c>
      <c r="J225" s="534">
        <v>45916</v>
      </c>
      <c r="K225" s="533" t="s">
        <v>2179</v>
      </c>
      <c r="L225" s="1123"/>
      <c r="M225" s="1138"/>
    </row>
    <row r="226" spans="1:13" ht="16" hidden="1" thickBot="1" x14ac:dyDescent="0.25">
      <c r="A226" s="538" t="s">
        <v>2172</v>
      </c>
      <c r="B226" s="535" t="s">
        <v>2809</v>
      </c>
      <c r="C226" s="535" t="s">
        <v>2843</v>
      </c>
      <c r="D226" s="535" t="s">
        <v>2811</v>
      </c>
      <c r="E226" s="537" t="s">
        <v>2749</v>
      </c>
      <c r="F226" s="535" t="s">
        <v>2844</v>
      </c>
      <c r="G226" s="535" t="s">
        <v>2178</v>
      </c>
      <c r="H226" s="536">
        <v>732050</v>
      </c>
      <c r="I226" s="535">
        <v>360</v>
      </c>
      <c r="J226" s="534">
        <v>45916</v>
      </c>
      <c r="K226" s="533" t="s">
        <v>2179</v>
      </c>
      <c r="L226" s="1123"/>
      <c r="M226" s="1138"/>
    </row>
    <row r="227" spans="1:13" ht="16" hidden="1" thickBot="1" x14ac:dyDescent="0.25">
      <c r="A227" s="538" t="s">
        <v>2172</v>
      </c>
      <c r="B227" s="535" t="s">
        <v>2809</v>
      </c>
      <c r="C227" s="535" t="s">
        <v>2845</v>
      </c>
      <c r="D227" s="535" t="s">
        <v>2811</v>
      </c>
      <c r="E227" s="537" t="s">
        <v>2749</v>
      </c>
      <c r="F227" s="535" t="s">
        <v>2846</v>
      </c>
      <c r="G227" s="535" t="s">
        <v>2178</v>
      </c>
      <c r="H227" s="536">
        <v>548372</v>
      </c>
      <c r="I227" s="535">
        <v>360</v>
      </c>
      <c r="J227" s="534">
        <v>46309</v>
      </c>
      <c r="K227" s="533" t="s">
        <v>2179</v>
      </c>
      <c r="L227" s="1123"/>
      <c r="M227" s="1138"/>
    </row>
    <row r="228" spans="1:13" s="3" customFormat="1" ht="16" hidden="1" thickBot="1" x14ac:dyDescent="0.25">
      <c r="A228" s="538" t="s">
        <v>2172</v>
      </c>
      <c r="B228" s="535" t="s">
        <v>2809</v>
      </c>
      <c r="C228" s="535" t="s">
        <v>2847</v>
      </c>
      <c r="D228" s="535" t="s">
        <v>2811</v>
      </c>
      <c r="E228" s="537" t="s">
        <v>2749</v>
      </c>
      <c r="F228" s="535" t="s">
        <v>2848</v>
      </c>
      <c r="G228" s="535" t="s">
        <v>2178</v>
      </c>
      <c r="H228" s="536">
        <v>548372</v>
      </c>
      <c r="I228" s="535">
        <v>360</v>
      </c>
      <c r="J228" s="534">
        <v>46309</v>
      </c>
      <c r="K228" s="533" t="s">
        <v>2179</v>
      </c>
      <c r="L228" s="1123"/>
      <c r="M228" s="1138"/>
    </row>
    <row r="229" spans="1:13" ht="16" hidden="1" thickBot="1" x14ac:dyDescent="0.25">
      <c r="A229" s="538" t="s">
        <v>2172</v>
      </c>
      <c r="B229" s="535" t="s">
        <v>2809</v>
      </c>
      <c r="C229" s="535" t="s">
        <v>2849</v>
      </c>
      <c r="D229" s="535" t="s">
        <v>2811</v>
      </c>
      <c r="E229" s="537" t="s">
        <v>2749</v>
      </c>
      <c r="F229" s="535" t="s">
        <v>2850</v>
      </c>
      <c r="G229" s="535" t="s">
        <v>2178</v>
      </c>
      <c r="H229" s="536">
        <v>734712</v>
      </c>
      <c r="I229" s="535">
        <v>360</v>
      </c>
      <c r="J229" s="534">
        <v>46356</v>
      </c>
      <c r="K229" s="533" t="s">
        <v>2179</v>
      </c>
      <c r="L229" s="1123"/>
      <c r="M229" s="1138"/>
    </row>
    <row r="230" spans="1:13" s="3" customFormat="1" ht="16" hidden="1" thickBot="1" x14ac:dyDescent="0.25">
      <c r="A230" s="538" t="s">
        <v>2172</v>
      </c>
      <c r="B230" s="535" t="s">
        <v>2809</v>
      </c>
      <c r="C230" s="535" t="s">
        <v>2851</v>
      </c>
      <c r="D230" s="535" t="s">
        <v>2811</v>
      </c>
      <c r="E230" s="537" t="s">
        <v>2749</v>
      </c>
      <c r="F230" s="535" t="s">
        <v>2852</v>
      </c>
      <c r="G230" s="535" t="s">
        <v>2178</v>
      </c>
      <c r="H230" s="536">
        <v>734712</v>
      </c>
      <c r="I230" s="535">
        <v>360</v>
      </c>
      <c r="J230" s="534">
        <v>46356</v>
      </c>
      <c r="K230" s="533" t="s">
        <v>2179</v>
      </c>
      <c r="L230" s="1123"/>
      <c r="M230" s="1138"/>
    </row>
    <row r="231" spans="1:13" ht="16" hidden="1" thickBot="1" x14ac:dyDescent="0.25">
      <c r="A231" s="538" t="s">
        <v>2172</v>
      </c>
      <c r="B231" s="535" t="s">
        <v>2809</v>
      </c>
      <c r="C231" s="535" t="s">
        <v>2853</v>
      </c>
      <c r="D231" s="535" t="s">
        <v>2811</v>
      </c>
      <c r="E231" s="537" t="s">
        <v>2749</v>
      </c>
      <c r="F231" s="535" t="s">
        <v>2854</v>
      </c>
      <c r="G231" s="535" t="s">
        <v>2178</v>
      </c>
      <c r="H231" s="536">
        <v>734712</v>
      </c>
      <c r="I231" s="535">
        <v>360</v>
      </c>
      <c r="J231" s="534">
        <v>46356</v>
      </c>
      <c r="K231" s="533" t="s">
        <v>2179</v>
      </c>
      <c r="L231" s="1123"/>
      <c r="M231" s="1138"/>
    </row>
    <row r="232" spans="1:13" s="3" customFormat="1" ht="16" hidden="1" thickBot="1" x14ac:dyDescent="0.25">
      <c r="A232" s="538" t="s">
        <v>2172</v>
      </c>
      <c r="B232" s="535" t="s">
        <v>2809</v>
      </c>
      <c r="C232" s="535" t="s">
        <v>2855</v>
      </c>
      <c r="D232" s="535" t="s">
        <v>2811</v>
      </c>
      <c r="E232" s="537" t="s">
        <v>2749</v>
      </c>
      <c r="F232" s="535" t="s">
        <v>2856</v>
      </c>
      <c r="G232" s="535" t="s">
        <v>2178</v>
      </c>
      <c r="H232" s="536">
        <v>734712</v>
      </c>
      <c r="I232" s="535">
        <v>360</v>
      </c>
      <c r="J232" s="534">
        <v>46356</v>
      </c>
      <c r="K232" s="533" t="s">
        <v>2179</v>
      </c>
      <c r="L232" s="1123"/>
      <c r="M232" s="1138"/>
    </row>
    <row r="233" spans="1:13" ht="16" hidden="1" thickBot="1" x14ac:dyDescent="0.25">
      <c r="A233" s="538" t="s">
        <v>2172</v>
      </c>
      <c r="B233" s="535" t="s">
        <v>2809</v>
      </c>
      <c r="C233" s="535" t="s">
        <v>2857</v>
      </c>
      <c r="D233" s="535" t="s">
        <v>2811</v>
      </c>
      <c r="E233" s="537" t="s">
        <v>2749</v>
      </c>
      <c r="F233" s="535" t="s">
        <v>2858</v>
      </c>
      <c r="G233" s="535" t="s">
        <v>2178</v>
      </c>
      <c r="H233" s="536">
        <v>734712</v>
      </c>
      <c r="I233" s="535">
        <v>360</v>
      </c>
      <c r="J233" s="534">
        <v>46356</v>
      </c>
      <c r="K233" s="533" t="s">
        <v>2179</v>
      </c>
      <c r="L233" s="1123"/>
      <c r="M233" s="1138"/>
    </row>
    <row r="234" spans="1:13" s="3" customFormat="1" ht="16" hidden="1" thickBot="1" x14ac:dyDescent="0.25">
      <c r="A234" s="538" t="s">
        <v>2172</v>
      </c>
      <c r="B234" s="535" t="s">
        <v>2809</v>
      </c>
      <c r="C234" s="535" t="s">
        <v>2859</v>
      </c>
      <c r="D234" s="535" t="s">
        <v>2811</v>
      </c>
      <c r="E234" s="537" t="s">
        <v>2749</v>
      </c>
      <c r="F234" s="535" t="s">
        <v>2860</v>
      </c>
      <c r="G234" s="535" t="s">
        <v>2178</v>
      </c>
      <c r="H234" s="536">
        <v>734712</v>
      </c>
      <c r="I234" s="535">
        <v>360</v>
      </c>
      <c r="J234" s="534">
        <v>46356</v>
      </c>
      <c r="K234" s="533" t="s">
        <v>2179</v>
      </c>
      <c r="L234" s="1123"/>
      <c r="M234" s="1138"/>
    </row>
    <row r="235" spans="1:13" ht="16" hidden="1" thickBot="1" x14ac:dyDescent="0.25">
      <c r="A235" s="538" t="s">
        <v>2172</v>
      </c>
      <c r="B235" s="535" t="s">
        <v>2809</v>
      </c>
      <c r="C235" s="535" t="s">
        <v>2861</v>
      </c>
      <c r="D235" s="535" t="s">
        <v>2811</v>
      </c>
      <c r="E235" s="537" t="s">
        <v>2749</v>
      </c>
      <c r="F235" s="535" t="s">
        <v>2862</v>
      </c>
      <c r="G235" s="535" t="s">
        <v>2178</v>
      </c>
      <c r="H235" s="536">
        <v>734712</v>
      </c>
      <c r="I235" s="535">
        <v>360</v>
      </c>
      <c r="J235" s="534">
        <v>46356</v>
      </c>
      <c r="K235" s="533" t="s">
        <v>2179</v>
      </c>
      <c r="L235" s="1123"/>
      <c r="M235" s="1138"/>
    </row>
    <row r="236" spans="1:13" s="3" customFormat="1" ht="16" hidden="1" thickBot="1" x14ac:dyDescent="0.25">
      <c r="A236" s="538" t="s">
        <v>2172</v>
      </c>
      <c r="B236" s="535" t="s">
        <v>2809</v>
      </c>
      <c r="C236" s="535" t="s">
        <v>2863</v>
      </c>
      <c r="D236" s="535" t="s">
        <v>2811</v>
      </c>
      <c r="E236" s="537" t="s">
        <v>2749</v>
      </c>
      <c r="F236" s="535" t="s">
        <v>2864</v>
      </c>
      <c r="G236" s="535" t="s">
        <v>2178</v>
      </c>
      <c r="H236" s="536">
        <v>734712</v>
      </c>
      <c r="I236" s="535">
        <v>360</v>
      </c>
      <c r="J236" s="534">
        <v>46356</v>
      </c>
      <c r="K236" s="533" t="s">
        <v>2179</v>
      </c>
      <c r="L236" s="1123"/>
      <c r="M236" s="1138"/>
    </row>
    <row r="237" spans="1:13" ht="16" hidden="1" thickBot="1" x14ac:dyDescent="0.25">
      <c r="A237" s="538" t="s">
        <v>2172</v>
      </c>
      <c r="B237" s="535" t="s">
        <v>2809</v>
      </c>
      <c r="C237" s="535" t="s">
        <v>2865</v>
      </c>
      <c r="D237" s="535" t="s">
        <v>2811</v>
      </c>
      <c r="E237" s="537" t="s">
        <v>2749</v>
      </c>
      <c r="F237" s="535" t="s">
        <v>2866</v>
      </c>
      <c r="G237" s="535" t="s">
        <v>2178</v>
      </c>
      <c r="H237" s="536">
        <v>734712</v>
      </c>
      <c r="I237" s="535">
        <v>360</v>
      </c>
      <c r="J237" s="534">
        <v>46356</v>
      </c>
      <c r="K237" s="533" t="s">
        <v>2179</v>
      </c>
      <c r="L237" s="1123"/>
      <c r="M237" s="1138"/>
    </row>
    <row r="238" spans="1:13" s="3" customFormat="1" ht="16" hidden="1" thickBot="1" x14ac:dyDescent="0.25">
      <c r="A238" s="538" t="s">
        <v>2172</v>
      </c>
      <c r="B238" s="535" t="s">
        <v>2809</v>
      </c>
      <c r="C238" s="535" t="s">
        <v>2867</v>
      </c>
      <c r="D238" s="535" t="s">
        <v>2811</v>
      </c>
      <c r="E238" s="537" t="s">
        <v>2749</v>
      </c>
      <c r="F238" s="535" t="s">
        <v>2868</v>
      </c>
      <c r="G238" s="535" t="s">
        <v>2178</v>
      </c>
      <c r="H238" s="536">
        <v>734712</v>
      </c>
      <c r="I238" s="535">
        <v>360</v>
      </c>
      <c r="J238" s="534">
        <v>46356</v>
      </c>
      <c r="K238" s="533" t="s">
        <v>2179</v>
      </c>
      <c r="L238" s="1123"/>
      <c r="M238" s="1138"/>
    </row>
    <row r="239" spans="1:13" ht="16" hidden="1" thickBot="1" x14ac:dyDescent="0.25">
      <c r="A239" s="538" t="s">
        <v>2172</v>
      </c>
      <c r="B239" s="535" t="s">
        <v>2809</v>
      </c>
      <c r="C239" s="535" t="s">
        <v>2869</v>
      </c>
      <c r="D239" s="535" t="s">
        <v>2811</v>
      </c>
      <c r="E239" s="537" t="s">
        <v>2749</v>
      </c>
      <c r="F239" s="535" t="s">
        <v>2870</v>
      </c>
      <c r="G239" s="535" t="s">
        <v>2178</v>
      </c>
      <c r="H239" s="536">
        <v>734712</v>
      </c>
      <c r="I239" s="535">
        <v>360</v>
      </c>
      <c r="J239" s="534">
        <v>46356</v>
      </c>
      <c r="K239" s="533" t="s">
        <v>2179</v>
      </c>
      <c r="L239" s="1123"/>
      <c r="M239" s="1138"/>
    </row>
    <row r="240" spans="1:13" ht="16" hidden="1" thickBot="1" x14ac:dyDescent="0.25">
      <c r="A240" s="538" t="s">
        <v>2172</v>
      </c>
      <c r="B240" s="535" t="s">
        <v>2809</v>
      </c>
      <c r="C240" s="535" t="s">
        <v>2871</v>
      </c>
      <c r="D240" s="535" t="s">
        <v>2811</v>
      </c>
      <c r="E240" s="537" t="s">
        <v>2749</v>
      </c>
      <c r="F240" s="535" t="s">
        <v>2872</v>
      </c>
      <c r="G240" s="535" t="s">
        <v>2178</v>
      </c>
      <c r="H240" s="536">
        <v>8069655</v>
      </c>
      <c r="I240" s="535">
        <v>220</v>
      </c>
      <c r="J240" s="534">
        <v>46475</v>
      </c>
      <c r="K240" s="533" t="s">
        <v>2179</v>
      </c>
      <c r="L240" s="1123"/>
      <c r="M240" s="1138"/>
    </row>
    <row r="241" spans="1:13" ht="16" hidden="1" thickBot="1" x14ac:dyDescent="0.25">
      <c r="A241" s="538" t="s">
        <v>2172</v>
      </c>
      <c r="B241" s="535" t="s">
        <v>2809</v>
      </c>
      <c r="C241" s="535" t="s">
        <v>2873</v>
      </c>
      <c r="D241" s="535" t="s">
        <v>2811</v>
      </c>
      <c r="E241" s="537" t="s">
        <v>2749</v>
      </c>
      <c r="F241" s="535" t="s">
        <v>2874</v>
      </c>
      <c r="G241" s="535" t="s">
        <v>2178</v>
      </c>
      <c r="H241" s="536">
        <v>1182001</v>
      </c>
      <c r="I241" s="535">
        <v>220</v>
      </c>
      <c r="J241" s="534">
        <v>46881</v>
      </c>
      <c r="K241" s="533" t="s">
        <v>2179</v>
      </c>
      <c r="L241" s="1123"/>
      <c r="M241" s="1138"/>
    </row>
    <row r="242" spans="1:13" s="3" customFormat="1" ht="16" hidden="1" thickBot="1" x14ac:dyDescent="0.25">
      <c r="A242" s="532" t="s">
        <v>2172</v>
      </c>
      <c r="B242" s="529" t="s">
        <v>2809</v>
      </c>
      <c r="C242" s="529" t="s">
        <v>2875</v>
      </c>
      <c r="D242" s="529" t="s">
        <v>2811</v>
      </c>
      <c r="E242" s="531" t="s">
        <v>2749</v>
      </c>
      <c r="F242" s="529" t="s">
        <v>2876</v>
      </c>
      <c r="G242" s="529" t="s">
        <v>2178</v>
      </c>
      <c r="H242" s="530">
        <v>5426687</v>
      </c>
      <c r="I242" s="529">
        <v>220</v>
      </c>
      <c r="J242" s="528">
        <v>46881</v>
      </c>
      <c r="K242" s="527" t="s">
        <v>2179</v>
      </c>
      <c r="L242" s="1124"/>
      <c r="M242" s="1138"/>
    </row>
    <row r="243" spans="1:13" ht="16" hidden="1" thickBot="1" x14ac:dyDescent="0.25">
      <c r="A243" s="525" t="s">
        <v>2172</v>
      </c>
      <c r="B243" s="522" t="s">
        <v>2797</v>
      </c>
      <c r="C243" s="522" t="s">
        <v>2877</v>
      </c>
      <c r="D243" s="522" t="s">
        <v>2878</v>
      </c>
      <c r="E243" s="524" t="s">
        <v>2749</v>
      </c>
      <c r="F243" s="522" t="s">
        <v>2879</v>
      </c>
      <c r="G243" s="522" t="s">
        <v>2178</v>
      </c>
      <c r="H243" s="523">
        <v>22105500</v>
      </c>
      <c r="I243" s="522">
        <v>100</v>
      </c>
      <c r="J243" s="521">
        <v>46406</v>
      </c>
      <c r="K243" s="520" t="s">
        <v>2179</v>
      </c>
      <c r="L243" s="519" t="s">
        <v>2192</v>
      </c>
      <c r="M243" s="526"/>
    </row>
    <row r="244" spans="1:13" ht="16" hidden="1" thickBot="1" x14ac:dyDescent="0.25">
      <c r="A244" s="544" t="s">
        <v>2172</v>
      </c>
      <c r="B244" s="541" t="s">
        <v>2880</v>
      </c>
      <c r="C244" s="541" t="s">
        <v>2881</v>
      </c>
      <c r="D244" s="541" t="s">
        <v>2882</v>
      </c>
      <c r="E244" s="543" t="s">
        <v>2749</v>
      </c>
      <c r="F244" s="541" t="s">
        <v>2883</v>
      </c>
      <c r="G244" s="541" t="s">
        <v>2178</v>
      </c>
      <c r="H244" s="542">
        <v>1058200</v>
      </c>
      <c r="I244" s="541">
        <v>250</v>
      </c>
      <c r="J244" s="540">
        <v>46309</v>
      </c>
      <c r="K244" s="539" t="s">
        <v>2179</v>
      </c>
      <c r="L244" s="1122" t="s">
        <v>2192</v>
      </c>
      <c r="M244" s="1132"/>
    </row>
    <row r="245" spans="1:13" ht="16" hidden="1" thickBot="1" x14ac:dyDescent="0.25">
      <c r="A245" s="538" t="s">
        <v>2172</v>
      </c>
      <c r="B245" s="535" t="s">
        <v>2880</v>
      </c>
      <c r="C245" s="535" t="s">
        <v>2884</v>
      </c>
      <c r="D245" s="535" t="s">
        <v>2882</v>
      </c>
      <c r="E245" s="537" t="s">
        <v>2749</v>
      </c>
      <c r="F245" s="535" t="s">
        <v>2885</v>
      </c>
      <c r="G245" s="535" t="s">
        <v>2178</v>
      </c>
      <c r="H245" s="536">
        <v>2148600</v>
      </c>
      <c r="I245" s="535">
        <v>250</v>
      </c>
      <c r="J245" s="534">
        <v>46309</v>
      </c>
      <c r="K245" s="533" t="s">
        <v>2179</v>
      </c>
      <c r="L245" s="1123"/>
      <c r="M245" s="1131"/>
    </row>
    <row r="246" spans="1:13" s="3" customFormat="1" ht="16" hidden="1" thickBot="1" x14ac:dyDescent="0.25">
      <c r="A246" s="532" t="s">
        <v>2172</v>
      </c>
      <c r="B246" s="529" t="s">
        <v>2880</v>
      </c>
      <c r="C246" s="529" t="s">
        <v>2886</v>
      </c>
      <c r="D246" s="529" t="s">
        <v>2882</v>
      </c>
      <c r="E246" s="531" t="s">
        <v>2749</v>
      </c>
      <c r="F246" s="529" t="s">
        <v>2887</v>
      </c>
      <c r="G246" s="529" t="s">
        <v>2178</v>
      </c>
      <c r="H246" s="530">
        <v>454500</v>
      </c>
      <c r="I246" s="529">
        <v>360</v>
      </c>
      <c r="J246" s="528">
        <v>46309</v>
      </c>
      <c r="K246" s="527" t="s">
        <v>2179</v>
      </c>
      <c r="L246" s="1124"/>
      <c r="M246" s="1133"/>
    </row>
    <row r="247" spans="1:13" ht="16" hidden="1" thickBot="1" x14ac:dyDescent="0.25">
      <c r="A247" s="525" t="s">
        <v>2172</v>
      </c>
      <c r="B247" s="522" t="s">
        <v>2797</v>
      </c>
      <c r="C247" s="522" t="s">
        <v>2888</v>
      </c>
      <c r="D247" s="522" t="s">
        <v>2889</v>
      </c>
      <c r="E247" s="524" t="s">
        <v>2749</v>
      </c>
      <c r="F247" s="522" t="s">
        <v>2890</v>
      </c>
      <c r="G247" s="522" t="s">
        <v>2178</v>
      </c>
      <c r="H247" s="523">
        <v>1200000</v>
      </c>
      <c r="I247" s="522">
        <v>30</v>
      </c>
      <c r="J247" s="521">
        <v>46555</v>
      </c>
      <c r="K247" s="520" t="s">
        <v>2179</v>
      </c>
      <c r="L247" s="519" t="s">
        <v>2192</v>
      </c>
      <c r="M247" s="526"/>
    </row>
    <row r="248" spans="1:13" ht="16" hidden="1" thickBot="1" x14ac:dyDescent="0.25">
      <c r="A248" s="525" t="s">
        <v>2172</v>
      </c>
      <c r="B248" s="522" t="s">
        <v>2785</v>
      </c>
      <c r="C248" s="522" t="s">
        <v>2891</v>
      </c>
      <c r="D248" s="522" t="s">
        <v>2892</v>
      </c>
      <c r="E248" s="524" t="s">
        <v>2749</v>
      </c>
      <c r="F248" s="522" t="s">
        <v>2893</v>
      </c>
      <c r="G248" s="522" t="s">
        <v>2178</v>
      </c>
      <c r="H248" s="523">
        <v>1286600</v>
      </c>
      <c r="I248" s="522">
        <v>120</v>
      </c>
      <c r="J248" s="521">
        <v>46055</v>
      </c>
      <c r="K248" s="520" t="s">
        <v>2179</v>
      </c>
      <c r="L248" s="519" t="s">
        <v>2192</v>
      </c>
      <c r="M248" s="518"/>
    </row>
    <row r="249" spans="1:13" ht="16" hidden="1" thickBot="1" x14ac:dyDescent="0.25">
      <c r="A249" s="517" t="s">
        <v>2172</v>
      </c>
      <c r="B249" s="514" t="s">
        <v>2894</v>
      </c>
      <c r="C249" s="514" t="s">
        <v>2895</v>
      </c>
      <c r="D249" s="514" t="s">
        <v>2889</v>
      </c>
      <c r="E249" s="516" t="s">
        <v>2896</v>
      </c>
      <c r="F249" s="514" t="s">
        <v>2897</v>
      </c>
      <c r="G249" s="514" t="s">
        <v>2178</v>
      </c>
      <c r="H249" s="515">
        <v>1200000</v>
      </c>
      <c r="I249" s="514">
        <v>1</v>
      </c>
      <c r="J249" s="513">
        <v>47122</v>
      </c>
      <c r="K249" s="512" t="s">
        <v>2517</v>
      </c>
      <c r="L249" s="1148" t="s">
        <v>2192</v>
      </c>
    </row>
    <row r="250" spans="1:13" s="3" customFormat="1" ht="16" hidden="1" thickBot="1" x14ac:dyDescent="0.25">
      <c r="A250" s="511" t="s">
        <v>2172</v>
      </c>
      <c r="B250" s="508" t="s">
        <v>2894</v>
      </c>
      <c r="C250" s="508" t="s">
        <v>2898</v>
      </c>
      <c r="D250" s="508" t="s">
        <v>2889</v>
      </c>
      <c r="E250" s="510" t="s">
        <v>2896</v>
      </c>
      <c r="F250" s="508" t="s">
        <v>2899</v>
      </c>
      <c r="G250" s="508" t="s">
        <v>2178</v>
      </c>
      <c r="H250" s="509">
        <v>1800000</v>
      </c>
      <c r="I250" s="508">
        <v>1</v>
      </c>
      <c r="J250" s="507">
        <v>47122</v>
      </c>
      <c r="K250" s="506" t="s">
        <v>2517</v>
      </c>
      <c r="L250" s="1149"/>
    </row>
    <row r="251" spans="1:13" ht="16" hidden="1" thickBot="1" x14ac:dyDescent="0.25">
      <c r="A251" s="511" t="s">
        <v>2172</v>
      </c>
      <c r="B251" s="508" t="s">
        <v>2894</v>
      </c>
      <c r="C251" s="508" t="s">
        <v>2900</v>
      </c>
      <c r="D251" s="508" t="s">
        <v>2889</v>
      </c>
      <c r="E251" s="510" t="s">
        <v>2896</v>
      </c>
      <c r="F251" s="508" t="s">
        <v>2901</v>
      </c>
      <c r="G251" s="508" t="s">
        <v>2178</v>
      </c>
      <c r="H251" s="509">
        <v>1200000</v>
      </c>
      <c r="I251" s="508">
        <v>1</v>
      </c>
      <c r="J251" s="507">
        <v>47122</v>
      </c>
      <c r="K251" s="506" t="s">
        <v>2517</v>
      </c>
      <c r="L251" s="1149"/>
    </row>
    <row r="252" spans="1:13" ht="16" hidden="1" thickBot="1" x14ac:dyDescent="0.25">
      <c r="A252" s="511" t="s">
        <v>2172</v>
      </c>
      <c r="B252" s="508" t="s">
        <v>2894</v>
      </c>
      <c r="C252" s="508" t="s">
        <v>2902</v>
      </c>
      <c r="D252" s="508" t="s">
        <v>2889</v>
      </c>
      <c r="E252" s="510" t="s">
        <v>2896</v>
      </c>
      <c r="F252" s="508" t="s">
        <v>2903</v>
      </c>
      <c r="G252" s="508" t="s">
        <v>2178</v>
      </c>
      <c r="H252" s="509">
        <v>1675000</v>
      </c>
      <c r="I252" s="508">
        <v>1</v>
      </c>
      <c r="J252" s="507">
        <v>47122</v>
      </c>
      <c r="K252" s="506" t="s">
        <v>2517</v>
      </c>
      <c r="L252" s="1149"/>
    </row>
    <row r="253" spans="1:13" s="3" customFormat="1" ht="16" hidden="1" thickBot="1" x14ac:dyDescent="0.25">
      <c r="A253" s="511" t="s">
        <v>2172</v>
      </c>
      <c r="B253" s="508" t="s">
        <v>2894</v>
      </c>
      <c r="C253" s="508" t="s">
        <v>2904</v>
      </c>
      <c r="D253" s="508" t="s">
        <v>2889</v>
      </c>
      <c r="E253" s="510" t="s">
        <v>2896</v>
      </c>
      <c r="F253" s="508" t="s">
        <v>2905</v>
      </c>
      <c r="G253" s="508" t="s">
        <v>2178</v>
      </c>
      <c r="H253" s="509">
        <v>700000</v>
      </c>
      <c r="I253" s="508">
        <v>1</v>
      </c>
      <c r="J253" s="507">
        <v>47122</v>
      </c>
      <c r="K253" s="506" t="s">
        <v>2517</v>
      </c>
      <c r="L253" s="1149"/>
    </row>
    <row r="254" spans="1:13" ht="16" hidden="1" thickBot="1" x14ac:dyDescent="0.25">
      <c r="A254" s="511" t="s">
        <v>2172</v>
      </c>
      <c r="B254" s="508" t="s">
        <v>2894</v>
      </c>
      <c r="C254" s="508" t="s">
        <v>2906</v>
      </c>
      <c r="D254" s="508" t="s">
        <v>2889</v>
      </c>
      <c r="E254" s="510" t="s">
        <v>2896</v>
      </c>
      <c r="F254" s="508" t="s">
        <v>2907</v>
      </c>
      <c r="G254" s="508" t="s">
        <v>2178</v>
      </c>
      <c r="H254" s="509">
        <v>1200000</v>
      </c>
      <c r="I254" s="508">
        <v>1</v>
      </c>
      <c r="J254" s="507">
        <v>47122</v>
      </c>
      <c r="K254" s="506" t="s">
        <v>2517</v>
      </c>
      <c r="L254" s="1149"/>
    </row>
    <row r="255" spans="1:13" s="3" customFormat="1" ht="16" hidden="1" thickBot="1" x14ac:dyDescent="0.25">
      <c r="A255" s="511" t="s">
        <v>2172</v>
      </c>
      <c r="B255" s="508" t="s">
        <v>2894</v>
      </c>
      <c r="C255" s="508" t="s">
        <v>2908</v>
      </c>
      <c r="D255" s="508" t="s">
        <v>2889</v>
      </c>
      <c r="E255" s="510" t="s">
        <v>2896</v>
      </c>
      <c r="F255" s="508" t="s">
        <v>2909</v>
      </c>
      <c r="G255" s="508" t="s">
        <v>2178</v>
      </c>
      <c r="H255" s="509">
        <v>1200000</v>
      </c>
      <c r="I255" s="508">
        <v>1</v>
      </c>
      <c r="J255" s="507">
        <v>47122</v>
      </c>
      <c r="K255" s="506" t="s">
        <v>2517</v>
      </c>
      <c r="L255" s="1149"/>
    </row>
    <row r="256" spans="1:13" ht="16" hidden="1" thickBot="1" x14ac:dyDescent="0.25">
      <c r="A256" s="505" t="s">
        <v>2172</v>
      </c>
      <c r="B256" s="502" t="s">
        <v>2894</v>
      </c>
      <c r="C256" s="502" t="s">
        <v>2910</v>
      </c>
      <c r="D256" s="502" t="s">
        <v>2889</v>
      </c>
      <c r="E256" s="504" t="s">
        <v>2896</v>
      </c>
      <c r="F256" s="502" t="s">
        <v>2911</v>
      </c>
      <c r="G256" s="502" t="s">
        <v>2178</v>
      </c>
      <c r="H256" s="503">
        <v>800000</v>
      </c>
      <c r="I256" s="502">
        <v>1</v>
      </c>
      <c r="J256" s="501">
        <v>47122</v>
      </c>
      <c r="K256" s="500" t="s">
        <v>2517</v>
      </c>
      <c r="L256" s="1150"/>
    </row>
    <row r="257" spans="1:12" s="3" customFormat="1" ht="16" hidden="1" thickBot="1" x14ac:dyDescent="0.25">
      <c r="A257" s="499" t="s">
        <v>2172</v>
      </c>
      <c r="B257" s="496" t="s">
        <v>2912</v>
      </c>
      <c r="C257" s="496" t="s">
        <v>2913</v>
      </c>
      <c r="D257" s="496" t="s">
        <v>2914</v>
      </c>
      <c r="E257" s="498" t="s">
        <v>2896</v>
      </c>
      <c r="F257" s="496" t="s">
        <v>2915</v>
      </c>
      <c r="G257" s="496" t="s">
        <v>2178</v>
      </c>
      <c r="H257" s="497">
        <v>1200000</v>
      </c>
      <c r="I257" s="496">
        <v>1</v>
      </c>
      <c r="J257" s="495">
        <v>47403</v>
      </c>
      <c r="K257" s="494" t="s">
        <v>2517</v>
      </c>
      <c r="L257" s="493" t="s">
        <v>2192</v>
      </c>
    </row>
    <row r="258" spans="1:12" ht="16" hidden="1" thickBot="1" x14ac:dyDescent="0.25">
      <c r="A258" s="499" t="s">
        <v>2172</v>
      </c>
      <c r="B258" s="496" t="s">
        <v>2912</v>
      </c>
      <c r="C258" s="496" t="s">
        <v>2916</v>
      </c>
      <c r="D258" s="496" t="s">
        <v>2917</v>
      </c>
      <c r="E258" s="498" t="s">
        <v>2896</v>
      </c>
      <c r="F258" s="496" t="s">
        <v>2918</v>
      </c>
      <c r="G258" s="496" t="s">
        <v>2178</v>
      </c>
      <c r="H258" s="497">
        <v>1200000</v>
      </c>
      <c r="I258" s="496">
        <v>1</v>
      </c>
      <c r="J258" s="495">
        <v>47403</v>
      </c>
      <c r="K258" s="494" t="s">
        <v>2517</v>
      </c>
      <c r="L258" s="493" t="s">
        <v>2192</v>
      </c>
    </row>
    <row r="259" spans="1:12" s="3" customFormat="1" ht="16" hidden="1" thickBot="1" x14ac:dyDescent="0.25">
      <c r="A259" s="499" t="s">
        <v>2172</v>
      </c>
      <c r="B259" s="496" t="s">
        <v>2912</v>
      </c>
      <c r="C259" s="496" t="s">
        <v>2919</v>
      </c>
      <c r="D259" s="496" t="s">
        <v>2920</v>
      </c>
      <c r="E259" s="498" t="s">
        <v>2896</v>
      </c>
      <c r="F259" s="496" t="s">
        <v>2921</v>
      </c>
      <c r="G259" s="496" t="s">
        <v>2178</v>
      </c>
      <c r="H259" s="497">
        <v>1200000</v>
      </c>
      <c r="I259" s="496">
        <v>1</v>
      </c>
      <c r="J259" s="495">
        <v>47403</v>
      </c>
      <c r="K259" s="494" t="s">
        <v>2517</v>
      </c>
      <c r="L259" s="493" t="s">
        <v>2192</v>
      </c>
    </row>
    <row r="260" spans="1:12" ht="16" hidden="1" thickBot="1" x14ac:dyDescent="0.25">
      <c r="A260" s="499" t="s">
        <v>2172</v>
      </c>
      <c r="B260" s="496" t="s">
        <v>2912</v>
      </c>
      <c r="C260" s="496" t="s">
        <v>2922</v>
      </c>
      <c r="D260" s="496" t="s">
        <v>2923</v>
      </c>
      <c r="E260" s="498" t="s">
        <v>2896</v>
      </c>
      <c r="F260" s="496" t="s">
        <v>2924</v>
      </c>
      <c r="G260" s="496" t="s">
        <v>2178</v>
      </c>
      <c r="H260" s="497">
        <v>1200000</v>
      </c>
      <c r="I260" s="496">
        <v>1</v>
      </c>
      <c r="J260" s="495">
        <v>47403</v>
      </c>
      <c r="K260" s="494" t="s">
        <v>2517</v>
      </c>
      <c r="L260" s="493" t="s">
        <v>2192</v>
      </c>
    </row>
    <row r="261" spans="1:12" s="3" customFormat="1" ht="16" hidden="1" thickBot="1" x14ac:dyDescent="0.25">
      <c r="A261" s="499" t="s">
        <v>2172</v>
      </c>
      <c r="B261" s="496" t="s">
        <v>2912</v>
      </c>
      <c r="C261" s="496" t="s">
        <v>2925</v>
      </c>
      <c r="D261" s="496" t="s">
        <v>2926</v>
      </c>
      <c r="E261" s="498" t="s">
        <v>2896</v>
      </c>
      <c r="F261" s="496" t="s">
        <v>2927</v>
      </c>
      <c r="G261" s="496" t="s">
        <v>2178</v>
      </c>
      <c r="H261" s="497">
        <v>1200000</v>
      </c>
      <c r="I261" s="496">
        <v>1</v>
      </c>
      <c r="J261" s="495">
        <v>47403</v>
      </c>
      <c r="K261" s="494" t="s">
        <v>2517</v>
      </c>
      <c r="L261" s="493" t="s">
        <v>2192</v>
      </c>
    </row>
    <row r="262" spans="1:12" ht="16" hidden="1" thickBot="1" x14ac:dyDescent="0.25">
      <c r="A262" s="492" t="s">
        <v>2172</v>
      </c>
      <c r="B262" s="489" t="s">
        <v>2928</v>
      </c>
      <c r="C262" s="489" t="s">
        <v>2929</v>
      </c>
      <c r="D262" s="489" t="s">
        <v>2304</v>
      </c>
      <c r="E262" s="491" t="s">
        <v>2930</v>
      </c>
      <c r="F262" s="489" t="s">
        <v>2931</v>
      </c>
      <c r="G262" s="489" t="s">
        <v>2178</v>
      </c>
      <c r="H262" s="490">
        <v>350000</v>
      </c>
      <c r="I262" s="489">
        <v>80</v>
      </c>
      <c r="J262" s="488">
        <v>46601</v>
      </c>
      <c r="K262" s="487" t="s">
        <v>2179</v>
      </c>
      <c r="L262" s="1142" t="s">
        <v>2192</v>
      </c>
    </row>
    <row r="263" spans="1:12" s="3" customFormat="1" ht="16" hidden="1" thickBot="1" x14ac:dyDescent="0.25">
      <c r="A263" s="486" t="s">
        <v>2172</v>
      </c>
      <c r="B263" s="483" t="s">
        <v>2928</v>
      </c>
      <c r="C263" s="483" t="s">
        <v>2932</v>
      </c>
      <c r="D263" s="483" t="s">
        <v>2304</v>
      </c>
      <c r="E263" s="485" t="s">
        <v>2930</v>
      </c>
      <c r="F263" s="483" t="s">
        <v>2933</v>
      </c>
      <c r="G263" s="483" t="s">
        <v>2178</v>
      </c>
      <c r="H263" s="484">
        <v>350000</v>
      </c>
      <c r="I263" s="483">
        <v>120</v>
      </c>
      <c r="J263" s="482">
        <v>46720</v>
      </c>
      <c r="K263" s="481" t="s">
        <v>2179</v>
      </c>
      <c r="L263" s="1143"/>
    </row>
    <row r="264" spans="1:12" ht="16" hidden="1" thickBot="1" x14ac:dyDescent="0.25">
      <c r="A264" s="486" t="s">
        <v>2172</v>
      </c>
      <c r="B264" s="483" t="s">
        <v>2928</v>
      </c>
      <c r="C264" s="483" t="s">
        <v>2934</v>
      </c>
      <c r="D264" s="483" t="s">
        <v>2304</v>
      </c>
      <c r="E264" s="485" t="s">
        <v>2930</v>
      </c>
      <c r="F264" s="483" t="s">
        <v>2935</v>
      </c>
      <c r="G264" s="483" t="s">
        <v>2178</v>
      </c>
      <c r="H264" s="484">
        <v>700000</v>
      </c>
      <c r="I264" s="483">
        <v>80</v>
      </c>
      <c r="J264" s="482">
        <v>47066</v>
      </c>
      <c r="K264" s="481" t="s">
        <v>2179</v>
      </c>
      <c r="L264" s="1143"/>
    </row>
    <row r="265" spans="1:12" s="3" customFormat="1" ht="16" hidden="1" thickBot="1" x14ac:dyDescent="0.25">
      <c r="A265" s="486" t="s">
        <v>2172</v>
      </c>
      <c r="B265" s="483" t="s">
        <v>2936</v>
      </c>
      <c r="C265" s="483" t="s">
        <v>2937</v>
      </c>
      <c r="D265" s="483" t="s">
        <v>2304</v>
      </c>
      <c r="E265" s="485" t="s">
        <v>2930</v>
      </c>
      <c r="F265" s="483" t="s">
        <v>2938</v>
      </c>
      <c r="G265" s="483" t="s">
        <v>2178</v>
      </c>
      <c r="H265" s="484">
        <v>1469615</v>
      </c>
      <c r="I265" s="483">
        <v>160</v>
      </c>
      <c r="J265" s="482">
        <v>46367</v>
      </c>
      <c r="K265" s="481" t="s">
        <v>2179</v>
      </c>
      <c r="L265" s="1143"/>
    </row>
    <row r="266" spans="1:12" ht="16" hidden="1" thickBot="1" x14ac:dyDescent="0.25">
      <c r="A266" s="486" t="s">
        <v>2172</v>
      </c>
      <c r="B266" s="483" t="s">
        <v>2936</v>
      </c>
      <c r="C266" s="483" t="s">
        <v>2939</v>
      </c>
      <c r="D266" s="483" t="s">
        <v>2304</v>
      </c>
      <c r="E266" s="485" t="s">
        <v>2930</v>
      </c>
      <c r="F266" s="483" t="s">
        <v>2940</v>
      </c>
      <c r="G266" s="483" t="s">
        <v>2178</v>
      </c>
      <c r="H266" s="484">
        <v>925945</v>
      </c>
      <c r="I266" s="483">
        <v>120</v>
      </c>
      <c r="J266" s="482">
        <v>46601</v>
      </c>
      <c r="K266" s="481" t="s">
        <v>2179</v>
      </c>
      <c r="L266" s="1143"/>
    </row>
    <row r="267" spans="1:12" s="3" customFormat="1" ht="16" hidden="1" thickBot="1" x14ac:dyDescent="0.25">
      <c r="A267" s="486" t="s">
        <v>2172</v>
      </c>
      <c r="B267" s="483" t="s">
        <v>2936</v>
      </c>
      <c r="C267" s="483" t="s">
        <v>2941</v>
      </c>
      <c r="D267" s="483" t="s">
        <v>2304</v>
      </c>
      <c r="E267" s="485" t="s">
        <v>2930</v>
      </c>
      <c r="F267" s="483" t="s">
        <v>2942</v>
      </c>
      <c r="G267" s="483" t="s">
        <v>2178</v>
      </c>
      <c r="H267" s="484">
        <v>436581</v>
      </c>
      <c r="I267" s="483">
        <v>160</v>
      </c>
      <c r="J267" s="482">
        <v>46367</v>
      </c>
      <c r="K267" s="481" t="s">
        <v>2179</v>
      </c>
      <c r="L267" s="1143"/>
    </row>
    <row r="268" spans="1:12" ht="16" hidden="1" thickBot="1" x14ac:dyDescent="0.25">
      <c r="A268" s="486" t="s">
        <v>2172</v>
      </c>
      <c r="B268" s="483" t="s">
        <v>2936</v>
      </c>
      <c r="C268" s="483" t="s">
        <v>2943</v>
      </c>
      <c r="D268" s="483" t="s">
        <v>2304</v>
      </c>
      <c r="E268" s="485" t="s">
        <v>2930</v>
      </c>
      <c r="F268" s="483" t="s">
        <v>2944</v>
      </c>
      <c r="G268" s="483" t="s">
        <v>2178</v>
      </c>
      <c r="H268" s="484">
        <v>387166</v>
      </c>
      <c r="I268" s="483">
        <v>60</v>
      </c>
      <c r="J268" s="482">
        <v>46629</v>
      </c>
      <c r="K268" s="481" t="s">
        <v>2179</v>
      </c>
      <c r="L268" s="1143"/>
    </row>
    <row r="269" spans="1:12" ht="16" hidden="1" thickBot="1" x14ac:dyDescent="0.25">
      <c r="A269" s="486" t="s">
        <v>2172</v>
      </c>
      <c r="B269" s="483" t="s">
        <v>2936</v>
      </c>
      <c r="C269" s="483" t="s">
        <v>2945</v>
      </c>
      <c r="D269" s="483" t="s">
        <v>2304</v>
      </c>
      <c r="E269" s="485" t="s">
        <v>2930</v>
      </c>
      <c r="F269" s="483" t="s">
        <v>2946</v>
      </c>
      <c r="G269" s="483" t="s">
        <v>2178</v>
      </c>
      <c r="H269" s="484">
        <v>3742165</v>
      </c>
      <c r="I269" s="483">
        <v>160</v>
      </c>
      <c r="J269" s="482">
        <v>46367</v>
      </c>
      <c r="K269" s="481" t="s">
        <v>2179</v>
      </c>
      <c r="L269" s="1143"/>
    </row>
    <row r="270" spans="1:12" s="3" customFormat="1" ht="16" hidden="1" thickBot="1" x14ac:dyDescent="0.25">
      <c r="A270" s="486" t="s">
        <v>2172</v>
      </c>
      <c r="B270" s="483" t="s">
        <v>2936</v>
      </c>
      <c r="C270" s="483" t="s">
        <v>2947</v>
      </c>
      <c r="D270" s="483" t="s">
        <v>2304</v>
      </c>
      <c r="E270" s="485" t="s">
        <v>2930</v>
      </c>
      <c r="F270" s="483" t="s">
        <v>2948</v>
      </c>
      <c r="G270" s="483" t="s">
        <v>2178</v>
      </c>
      <c r="H270" s="484">
        <v>2286964</v>
      </c>
      <c r="I270" s="483">
        <v>120</v>
      </c>
      <c r="J270" s="482">
        <v>46779</v>
      </c>
      <c r="K270" s="481" t="s">
        <v>2179</v>
      </c>
      <c r="L270" s="1143"/>
    </row>
    <row r="271" spans="1:12" ht="16" hidden="1" thickBot="1" x14ac:dyDescent="0.25">
      <c r="A271" s="486" t="s">
        <v>2172</v>
      </c>
      <c r="B271" s="483" t="s">
        <v>2936</v>
      </c>
      <c r="C271" s="483" t="s">
        <v>2949</v>
      </c>
      <c r="D271" s="483" t="s">
        <v>2304</v>
      </c>
      <c r="E271" s="485" t="s">
        <v>2930</v>
      </c>
      <c r="F271" s="483" t="s">
        <v>2950</v>
      </c>
      <c r="G271" s="483" t="s">
        <v>2178</v>
      </c>
      <c r="H271" s="484">
        <v>417553</v>
      </c>
      <c r="I271" s="483">
        <v>140</v>
      </c>
      <c r="J271" s="482">
        <v>46367</v>
      </c>
      <c r="K271" s="481" t="s">
        <v>2179</v>
      </c>
      <c r="L271" s="1143"/>
    </row>
    <row r="272" spans="1:12" s="3" customFormat="1" ht="16" hidden="1" thickBot="1" x14ac:dyDescent="0.25">
      <c r="A272" s="486" t="s">
        <v>2172</v>
      </c>
      <c r="B272" s="483" t="s">
        <v>2936</v>
      </c>
      <c r="C272" s="483" t="s">
        <v>2951</v>
      </c>
      <c r="D272" s="483" t="s">
        <v>2304</v>
      </c>
      <c r="E272" s="485" t="s">
        <v>2930</v>
      </c>
      <c r="F272" s="483" t="s">
        <v>2952</v>
      </c>
      <c r="G272" s="483" t="s">
        <v>2178</v>
      </c>
      <c r="H272" s="484">
        <v>1176369</v>
      </c>
      <c r="I272" s="483">
        <v>160</v>
      </c>
      <c r="J272" s="482">
        <v>46367</v>
      </c>
      <c r="K272" s="481" t="s">
        <v>2179</v>
      </c>
      <c r="L272" s="1143"/>
    </row>
    <row r="273" spans="1:12" ht="16" hidden="1" thickBot="1" x14ac:dyDescent="0.25">
      <c r="A273" s="486" t="s">
        <v>2172</v>
      </c>
      <c r="B273" s="483" t="s">
        <v>2936</v>
      </c>
      <c r="C273" s="483" t="s">
        <v>2953</v>
      </c>
      <c r="D273" s="483" t="s">
        <v>2304</v>
      </c>
      <c r="E273" s="485" t="s">
        <v>2930</v>
      </c>
      <c r="F273" s="483" t="s">
        <v>2954</v>
      </c>
      <c r="G273" s="483" t="s">
        <v>2178</v>
      </c>
      <c r="H273" s="484">
        <v>634474</v>
      </c>
      <c r="I273" s="483">
        <v>80</v>
      </c>
      <c r="J273" s="482">
        <v>46952</v>
      </c>
      <c r="K273" s="481" t="s">
        <v>2179</v>
      </c>
      <c r="L273" s="1143"/>
    </row>
    <row r="274" spans="1:12" s="3" customFormat="1" ht="16" hidden="1" thickBot="1" x14ac:dyDescent="0.25">
      <c r="A274" s="486" t="s">
        <v>2172</v>
      </c>
      <c r="B274" s="483" t="s">
        <v>2936</v>
      </c>
      <c r="C274" s="483" t="s">
        <v>2955</v>
      </c>
      <c r="D274" s="483" t="s">
        <v>2304</v>
      </c>
      <c r="E274" s="485" t="s">
        <v>2930</v>
      </c>
      <c r="F274" s="483" t="s">
        <v>2956</v>
      </c>
      <c r="G274" s="483" t="s">
        <v>2178</v>
      </c>
      <c r="H274" s="484">
        <v>1278543</v>
      </c>
      <c r="I274" s="483">
        <v>160</v>
      </c>
      <c r="J274" s="482">
        <v>46367</v>
      </c>
      <c r="K274" s="481" t="s">
        <v>2179</v>
      </c>
      <c r="L274" s="1143"/>
    </row>
    <row r="275" spans="1:12" ht="16" hidden="1" thickBot="1" x14ac:dyDescent="0.25">
      <c r="A275" s="486" t="s">
        <v>2172</v>
      </c>
      <c r="B275" s="483" t="s">
        <v>2936</v>
      </c>
      <c r="C275" s="483" t="s">
        <v>2957</v>
      </c>
      <c r="D275" s="483" t="s">
        <v>2304</v>
      </c>
      <c r="E275" s="485" t="s">
        <v>2930</v>
      </c>
      <c r="F275" s="483" t="s">
        <v>2958</v>
      </c>
      <c r="G275" s="483" t="s">
        <v>2178</v>
      </c>
      <c r="H275" s="484">
        <v>707716</v>
      </c>
      <c r="I275" s="483">
        <v>100</v>
      </c>
      <c r="J275" s="482">
        <v>47066</v>
      </c>
      <c r="K275" s="481" t="s">
        <v>2179</v>
      </c>
      <c r="L275" s="1143"/>
    </row>
    <row r="276" spans="1:12" ht="16" hidden="1" thickBot="1" x14ac:dyDescent="0.25">
      <c r="A276" s="486" t="s">
        <v>2172</v>
      </c>
      <c r="B276" s="483" t="s">
        <v>2936</v>
      </c>
      <c r="C276" s="483" t="s">
        <v>2959</v>
      </c>
      <c r="D276" s="483" t="s">
        <v>2304</v>
      </c>
      <c r="E276" s="485" t="s">
        <v>2930</v>
      </c>
      <c r="F276" s="483" t="s">
        <v>2960</v>
      </c>
      <c r="G276" s="483" t="s">
        <v>2178</v>
      </c>
      <c r="H276" s="484">
        <v>430160</v>
      </c>
      <c r="I276" s="483">
        <v>160</v>
      </c>
      <c r="J276" s="482">
        <v>46367</v>
      </c>
      <c r="K276" s="481" t="s">
        <v>2179</v>
      </c>
      <c r="L276" s="1143"/>
    </row>
    <row r="277" spans="1:12" ht="16" hidden="1" thickBot="1" x14ac:dyDescent="0.25">
      <c r="A277" s="486" t="s">
        <v>2172</v>
      </c>
      <c r="B277" s="483" t="s">
        <v>2936</v>
      </c>
      <c r="C277" s="483" t="s">
        <v>2961</v>
      </c>
      <c r="D277" s="483" t="s">
        <v>2304</v>
      </c>
      <c r="E277" s="485" t="s">
        <v>2930</v>
      </c>
      <c r="F277" s="483" t="s">
        <v>2962</v>
      </c>
      <c r="G277" s="483" t="s">
        <v>2178</v>
      </c>
      <c r="H277" s="484">
        <v>427991</v>
      </c>
      <c r="I277" s="483">
        <v>160</v>
      </c>
      <c r="J277" s="482">
        <v>46367</v>
      </c>
      <c r="K277" s="481" t="s">
        <v>2179</v>
      </c>
      <c r="L277" s="1143"/>
    </row>
    <row r="278" spans="1:12" ht="16" hidden="1" thickBot="1" x14ac:dyDescent="0.25">
      <c r="A278" s="486" t="s">
        <v>2172</v>
      </c>
      <c r="B278" s="483" t="s">
        <v>2936</v>
      </c>
      <c r="C278" s="483" t="s">
        <v>2963</v>
      </c>
      <c r="D278" s="483" t="s">
        <v>2304</v>
      </c>
      <c r="E278" s="485" t="s">
        <v>2930</v>
      </c>
      <c r="F278" s="483" t="s">
        <v>2964</v>
      </c>
      <c r="G278" s="483" t="s">
        <v>2178</v>
      </c>
      <c r="H278" s="484">
        <v>257063</v>
      </c>
      <c r="I278" s="483">
        <v>60</v>
      </c>
      <c r="J278" s="482">
        <v>47217</v>
      </c>
      <c r="K278" s="481" t="s">
        <v>2179</v>
      </c>
      <c r="L278" s="1143"/>
    </row>
    <row r="279" spans="1:12" ht="16" hidden="1" thickBot="1" x14ac:dyDescent="0.25">
      <c r="A279" s="486" t="s">
        <v>2172</v>
      </c>
      <c r="B279" s="483" t="s">
        <v>2936</v>
      </c>
      <c r="C279" s="483" t="s">
        <v>2965</v>
      </c>
      <c r="D279" s="483" t="s">
        <v>2304</v>
      </c>
      <c r="E279" s="485" t="s">
        <v>2930</v>
      </c>
      <c r="F279" s="483" t="s">
        <v>2966</v>
      </c>
      <c r="G279" s="483" t="s">
        <v>2178</v>
      </c>
      <c r="H279" s="484">
        <v>4350661</v>
      </c>
      <c r="I279" s="483">
        <v>150</v>
      </c>
      <c r="J279" s="482">
        <v>46308</v>
      </c>
      <c r="K279" s="481" t="s">
        <v>2179</v>
      </c>
      <c r="L279" s="1143"/>
    </row>
    <row r="280" spans="1:12" s="3" customFormat="1" ht="16" hidden="1" thickBot="1" x14ac:dyDescent="0.25">
      <c r="A280" s="486" t="s">
        <v>2172</v>
      </c>
      <c r="B280" s="483" t="s">
        <v>2936</v>
      </c>
      <c r="C280" s="483" t="s">
        <v>2967</v>
      </c>
      <c r="D280" s="483" t="s">
        <v>2304</v>
      </c>
      <c r="E280" s="485" t="s">
        <v>2930</v>
      </c>
      <c r="F280" s="483" t="s">
        <v>2968</v>
      </c>
      <c r="G280" s="483" t="s">
        <v>2178</v>
      </c>
      <c r="H280" s="484">
        <v>1135432</v>
      </c>
      <c r="I280" s="483">
        <v>70</v>
      </c>
      <c r="J280" s="482">
        <v>46779</v>
      </c>
      <c r="K280" s="481" t="s">
        <v>2179</v>
      </c>
      <c r="L280" s="1143"/>
    </row>
    <row r="281" spans="1:12" ht="16" hidden="1" thickBot="1" x14ac:dyDescent="0.25">
      <c r="A281" s="486" t="s">
        <v>2172</v>
      </c>
      <c r="B281" s="483" t="s">
        <v>2936</v>
      </c>
      <c r="C281" s="483" t="s">
        <v>2969</v>
      </c>
      <c r="D281" s="483" t="s">
        <v>2304</v>
      </c>
      <c r="E281" s="485" t="s">
        <v>2930</v>
      </c>
      <c r="F281" s="483" t="s">
        <v>2970</v>
      </c>
      <c r="G281" s="483" t="s">
        <v>2178</v>
      </c>
      <c r="H281" s="484">
        <v>1135432</v>
      </c>
      <c r="I281" s="483">
        <v>70</v>
      </c>
      <c r="J281" s="482">
        <v>46878</v>
      </c>
      <c r="K281" s="481" t="s">
        <v>2179</v>
      </c>
      <c r="L281" s="1143"/>
    </row>
    <row r="282" spans="1:12" s="3" customFormat="1" ht="16" hidden="1" thickBot="1" x14ac:dyDescent="0.25">
      <c r="A282" s="486" t="s">
        <v>2172</v>
      </c>
      <c r="B282" s="483" t="s">
        <v>2936</v>
      </c>
      <c r="C282" s="483" t="s">
        <v>2971</v>
      </c>
      <c r="D282" s="483" t="s">
        <v>2304</v>
      </c>
      <c r="E282" s="485" t="s">
        <v>2930</v>
      </c>
      <c r="F282" s="483" t="s">
        <v>2972</v>
      </c>
      <c r="G282" s="483" t="s">
        <v>2178</v>
      </c>
      <c r="H282" s="484">
        <v>1135432</v>
      </c>
      <c r="I282" s="483">
        <v>70</v>
      </c>
      <c r="J282" s="482">
        <v>46980</v>
      </c>
      <c r="K282" s="481" t="s">
        <v>2179</v>
      </c>
      <c r="L282" s="1143"/>
    </row>
    <row r="283" spans="1:12" ht="16" hidden="1" thickBot="1" x14ac:dyDescent="0.25">
      <c r="A283" s="486" t="s">
        <v>2172</v>
      </c>
      <c r="B283" s="483" t="s">
        <v>2936</v>
      </c>
      <c r="C283" s="483" t="s">
        <v>2973</v>
      </c>
      <c r="D283" s="483" t="s">
        <v>2304</v>
      </c>
      <c r="E283" s="485" t="s">
        <v>2930</v>
      </c>
      <c r="F283" s="483" t="s">
        <v>2974</v>
      </c>
      <c r="G283" s="483" t="s">
        <v>2178</v>
      </c>
      <c r="H283" s="484">
        <v>1135432</v>
      </c>
      <c r="I283" s="483">
        <v>70</v>
      </c>
      <c r="J283" s="482">
        <v>47085</v>
      </c>
      <c r="K283" s="481" t="s">
        <v>2179</v>
      </c>
      <c r="L283" s="1143"/>
    </row>
    <row r="284" spans="1:12" ht="16" hidden="1" thickBot="1" x14ac:dyDescent="0.25">
      <c r="A284" s="486" t="s">
        <v>2172</v>
      </c>
      <c r="B284" s="483" t="s">
        <v>2936</v>
      </c>
      <c r="C284" s="483" t="s">
        <v>2975</v>
      </c>
      <c r="D284" s="483" t="s">
        <v>2304</v>
      </c>
      <c r="E284" s="485" t="s">
        <v>2930</v>
      </c>
      <c r="F284" s="483" t="s">
        <v>2976</v>
      </c>
      <c r="G284" s="483" t="s">
        <v>2178</v>
      </c>
      <c r="H284" s="484">
        <v>1135432</v>
      </c>
      <c r="I284" s="483">
        <v>70</v>
      </c>
      <c r="J284" s="482">
        <v>47189</v>
      </c>
      <c r="K284" s="481" t="s">
        <v>2179</v>
      </c>
      <c r="L284" s="1143"/>
    </row>
    <row r="285" spans="1:12" ht="16" hidden="1" thickBot="1" x14ac:dyDescent="0.25">
      <c r="A285" s="486" t="s">
        <v>2172</v>
      </c>
      <c r="B285" s="483" t="s">
        <v>2936</v>
      </c>
      <c r="C285" s="483" t="s">
        <v>2977</v>
      </c>
      <c r="D285" s="483" t="s">
        <v>2304</v>
      </c>
      <c r="E285" s="485" t="s">
        <v>2930</v>
      </c>
      <c r="F285" s="483" t="s">
        <v>2978</v>
      </c>
      <c r="G285" s="483" t="s">
        <v>2178</v>
      </c>
      <c r="H285" s="484">
        <v>1135432</v>
      </c>
      <c r="I285" s="483">
        <v>70</v>
      </c>
      <c r="J285" s="482">
        <v>47288</v>
      </c>
      <c r="K285" s="481" t="s">
        <v>2179</v>
      </c>
      <c r="L285" s="1143"/>
    </row>
    <row r="286" spans="1:12" ht="16" hidden="1" thickBot="1" x14ac:dyDescent="0.25">
      <c r="A286" s="486" t="s">
        <v>2172</v>
      </c>
      <c r="B286" s="483" t="s">
        <v>2979</v>
      </c>
      <c r="C286" s="483" t="s">
        <v>2980</v>
      </c>
      <c r="D286" s="483" t="s">
        <v>2304</v>
      </c>
      <c r="E286" s="485" t="s">
        <v>2930</v>
      </c>
      <c r="F286" s="483" t="s">
        <v>2981</v>
      </c>
      <c r="G286" s="483" t="s">
        <v>2178</v>
      </c>
      <c r="H286" s="484">
        <v>1866769</v>
      </c>
      <c r="I286" s="483">
        <v>180</v>
      </c>
      <c r="J286" s="482">
        <v>46308</v>
      </c>
      <c r="K286" s="481" t="s">
        <v>2179</v>
      </c>
      <c r="L286" s="1143"/>
    </row>
    <row r="287" spans="1:12" s="3" customFormat="1" ht="16" hidden="1" thickBot="1" x14ac:dyDescent="0.25">
      <c r="A287" s="486" t="s">
        <v>2172</v>
      </c>
      <c r="B287" s="483" t="s">
        <v>2979</v>
      </c>
      <c r="C287" s="483" t="s">
        <v>2982</v>
      </c>
      <c r="D287" s="483" t="s">
        <v>2304</v>
      </c>
      <c r="E287" s="485" t="s">
        <v>2930</v>
      </c>
      <c r="F287" s="483" t="s">
        <v>2983</v>
      </c>
      <c r="G287" s="483" t="s">
        <v>2178</v>
      </c>
      <c r="H287" s="484">
        <v>900000</v>
      </c>
      <c r="I287" s="483">
        <v>90</v>
      </c>
      <c r="J287" s="482">
        <v>46601</v>
      </c>
      <c r="K287" s="481" t="s">
        <v>2179</v>
      </c>
      <c r="L287" s="1143"/>
    </row>
    <row r="288" spans="1:12" ht="16" hidden="1" thickBot="1" x14ac:dyDescent="0.25">
      <c r="A288" s="486" t="s">
        <v>2172</v>
      </c>
      <c r="B288" s="483" t="s">
        <v>2979</v>
      </c>
      <c r="C288" s="483" t="s">
        <v>2984</v>
      </c>
      <c r="D288" s="483" t="s">
        <v>2304</v>
      </c>
      <c r="E288" s="485" t="s">
        <v>2930</v>
      </c>
      <c r="F288" s="483" t="s">
        <v>2985</v>
      </c>
      <c r="G288" s="483" t="s">
        <v>2178</v>
      </c>
      <c r="H288" s="484">
        <v>2270521</v>
      </c>
      <c r="I288" s="483">
        <v>180</v>
      </c>
      <c r="J288" s="482">
        <v>46308</v>
      </c>
      <c r="K288" s="481" t="s">
        <v>2179</v>
      </c>
      <c r="L288" s="1143"/>
    </row>
    <row r="289" spans="1:12" s="3" customFormat="1" ht="16" hidden="1" thickBot="1" x14ac:dyDescent="0.25">
      <c r="A289" s="486" t="s">
        <v>2172</v>
      </c>
      <c r="B289" s="483" t="s">
        <v>2979</v>
      </c>
      <c r="C289" s="483" t="s">
        <v>2986</v>
      </c>
      <c r="D289" s="483" t="s">
        <v>2304</v>
      </c>
      <c r="E289" s="485" t="s">
        <v>2930</v>
      </c>
      <c r="F289" s="483" t="s">
        <v>2987</v>
      </c>
      <c r="G289" s="483" t="s">
        <v>2178</v>
      </c>
      <c r="H289" s="484">
        <v>900000</v>
      </c>
      <c r="I289" s="483">
        <v>145</v>
      </c>
      <c r="J289" s="482">
        <v>46779</v>
      </c>
      <c r="K289" s="481" t="s">
        <v>2179</v>
      </c>
      <c r="L289" s="1143"/>
    </row>
    <row r="290" spans="1:12" ht="16" hidden="1" thickBot="1" x14ac:dyDescent="0.25">
      <c r="A290" s="486" t="s">
        <v>2172</v>
      </c>
      <c r="B290" s="483" t="s">
        <v>2979</v>
      </c>
      <c r="C290" s="483" t="s">
        <v>2988</v>
      </c>
      <c r="D290" s="483" t="s">
        <v>2304</v>
      </c>
      <c r="E290" s="485" t="s">
        <v>2930</v>
      </c>
      <c r="F290" s="483" t="s">
        <v>2989</v>
      </c>
      <c r="G290" s="483" t="s">
        <v>2178</v>
      </c>
      <c r="H290" s="484">
        <v>1409512</v>
      </c>
      <c r="I290" s="483">
        <v>180</v>
      </c>
      <c r="J290" s="482">
        <v>46308</v>
      </c>
      <c r="K290" s="481" t="s">
        <v>2179</v>
      </c>
      <c r="L290" s="1143"/>
    </row>
    <row r="291" spans="1:12" ht="16" hidden="1" thickBot="1" x14ac:dyDescent="0.25">
      <c r="A291" s="486" t="s">
        <v>2172</v>
      </c>
      <c r="B291" s="483" t="s">
        <v>2979</v>
      </c>
      <c r="C291" s="483" t="s">
        <v>2990</v>
      </c>
      <c r="D291" s="483" t="s">
        <v>2304</v>
      </c>
      <c r="E291" s="485" t="s">
        <v>2930</v>
      </c>
      <c r="F291" s="483" t="s">
        <v>2991</v>
      </c>
      <c r="G291" s="483" t="s">
        <v>2178</v>
      </c>
      <c r="H291" s="484">
        <v>900000</v>
      </c>
      <c r="I291" s="483">
        <v>90</v>
      </c>
      <c r="J291" s="482">
        <v>46987</v>
      </c>
      <c r="K291" s="481" t="s">
        <v>2179</v>
      </c>
      <c r="L291" s="1143"/>
    </row>
    <row r="292" spans="1:12" ht="16" hidden="1" thickBot="1" x14ac:dyDescent="0.25">
      <c r="A292" s="486" t="s">
        <v>2172</v>
      </c>
      <c r="B292" s="483" t="s">
        <v>2979</v>
      </c>
      <c r="C292" s="483" t="s">
        <v>2992</v>
      </c>
      <c r="D292" s="483" t="s">
        <v>2304</v>
      </c>
      <c r="E292" s="485" t="s">
        <v>2930</v>
      </c>
      <c r="F292" s="483" t="s">
        <v>2993</v>
      </c>
      <c r="G292" s="483" t="s">
        <v>2178</v>
      </c>
      <c r="H292" s="484">
        <v>1698858</v>
      </c>
      <c r="I292" s="483">
        <v>180</v>
      </c>
      <c r="J292" s="482">
        <v>46308</v>
      </c>
      <c r="K292" s="481" t="s">
        <v>2179</v>
      </c>
      <c r="L292" s="1143"/>
    </row>
    <row r="293" spans="1:12" ht="16" hidden="1" thickBot="1" x14ac:dyDescent="0.25">
      <c r="A293" s="486" t="s">
        <v>2172</v>
      </c>
      <c r="B293" s="483" t="s">
        <v>2979</v>
      </c>
      <c r="C293" s="483" t="s">
        <v>2994</v>
      </c>
      <c r="D293" s="483" t="s">
        <v>2304</v>
      </c>
      <c r="E293" s="485" t="s">
        <v>2930</v>
      </c>
      <c r="F293" s="483" t="s">
        <v>2995</v>
      </c>
      <c r="G293" s="483" t="s">
        <v>2178</v>
      </c>
      <c r="H293" s="484">
        <v>900000</v>
      </c>
      <c r="I293" s="483">
        <v>90</v>
      </c>
      <c r="J293" s="482">
        <v>47122</v>
      </c>
      <c r="K293" s="481" t="s">
        <v>2179</v>
      </c>
      <c r="L293" s="1143"/>
    </row>
    <row r="294" spans="1:12" ht="16" hidden="1" thickBot="1" x14ac:dyDescent="0.25">
      <c r="A294" s="480" t="s">
        <v>2172</v>
      </c>
      <c r="B294" s="477" t="s">
        <v>2979</v>
      </c>
      <c r="C294" s="477" t="s">
        <v>2996</v>
      </c>
      <c r="D294" s="477" t="s">
        <v>2304</v>
      </c>
      <c r="E294" s="479" t="s">
        <v>2930</v>
      </c>
      <c r="F294" s="477" t="s">
        <v>2997</v>
      </c>
      <c r="G294" s="477" t="s">
        <v>2178</v>
      </c>
      <c r="H294" s="478">
        <v>900000</v>
      </c>
      <c r="I294" s="477">
        <v>90</v>
      </c>
      <c r="J294" s="476">
        <v>47252</v>
      </c>
      <c r="K294" s="475" t="s">
        <v>2179</v>
      </c>
      <c r="L294" s="1144"/>
    </row>
    <row r="295" spans="1:12" s="3" customFormat="1" ht="16" hidden="1" thickBot="1" x14ac:dyDescent="0.25">
      <c r="A295" s="402" t="s">
        <v>2172</v>
      </c>
      <c r="B295" s="399" t="s">
        <v>2998</v>
      </c>
      <c r="C295" s="399" t="s">
        <v>2999</v>
      </c>
      <c r="D295" s="399" t="s">
        <v>3000</v>
      </c>
      <c r="E295" s="401" t="s">
        <v>3001</v>
      </c>
      <c r="F295" s="399" t="s">
        <v>3002</v>
      </c>
      <c r="G295" s="399" t="s">
        <v>2178</v>
      </c>
      <c r="H295" s="400">
        <v>392950</v>
      </c>
      <c r="I295" s="399">
        <v>300</v>
      </c>
      <c r="J295" s="429">
        <v>46309</v>
      </c>
      <c r="K295" s="398" t="s">
        <v>2517</v>
      </c>
    </row>
    <row r="296" spans="1:12" ht="16" hidden="1" thickBot="1" x14ac:dyDescent="0.25">
      <c r="A296" s="402" t="s">
        <v>2172</v>
      </c>
      <c r="B296" s="399" t="s">
        <v>2998</v>
      </c>
      <c r="C296" s="399" t="s">
        <v>3003</v>
      </c>
      <c r="D296" s="399" t="s">
        <v>3004</v>
      </c>
      <c r="E296" s="401" t="s">
        <v>3001</v>
      </c>
      <c r="F296" s="399" t="s">
        <v>3005</v>
      </c>
      <c r="G296" s="399" t="s">
        <v>2178</v>
      </c>
      <c r="H296" s="400">
        <v>674000</v>
      </c>
      <c r="I296" s="399">
        <v>100</v>
      </c>
      <c r="J296" s="429">
        <v>46309</v>
      </c>
      <c r="K296" s="398" t="s">
        <v>2517</v>
      </c>
    </row>
    <row r="297" spans="1:12" s="3" customFormat="1" ht="16" hidden="1" thickBot="1" x14ac:dyDescent="0.25">
      <c r="A297" s="402" t="s">
        <v>2172</v>
      </c>
      <c r="B297" s="399" t="s">
        <v>3006</v>
      </c>
      <c r="C297" s="399" t="s">
        <v>3007</v>
      </c>
      <c r="D297" s="399" t="s">
        <v>3008</v>
      </c>
      <c r="E297" s="401" t="s">
        <v>3001</v>
      </c>
      <c r="F297" s="399" t="s">
        <v>3009</v>
      </c>
      <c r="G297" s="399" t="s">
        <v>2178</v>
      </c>
      <c r="H297" s="400">
        <v>270893</v>
      </c>
      <c r="I297" s="399">
        <v>300</v>
      </c>
      <c r="J297" s="429">
        <v>46309</v>
      </c>
      <c r="K297" s="398" t="s">
        <v>2517</v>
      </c>
    </row>
    <row r="298" spans="1:12" ht="16" hidden="1" thickBot="1" x14ac:dyDescent="0.25">
      <c r="A298" s="402" t="s">
        <v>2172</v>
      </c>
      <c r="B298" s="399" t="s">
        <v>3010</v>
      </c>
      <c r="C298" s="399" t="s">
        <v>3011</v>
      </c>
      <c r="D298" s="399" t="s">
        <v>3012</v>
      </c>
      <c r="E298" s="401" t="s">
        <v>3001</v>
      </c>
      <c r="F298" s="399" t="s">
        <v>3013</v>
      </c>
      <c r="G298" s="399" t="s">
        <v>2178</v>
      </c>
      <c r="H298" s="400">
        <v>270893</v>
      </c>
      <c r="I298" s="399">
        <v>300</v>
      </c>
      <c r="J298" s="429">
        <v>46309</v>
      </c>
      <c r="K298" s="398" t="s">
        <v>2517</v>
      </c>
    </row>
    <row r="299" spans="1:12" ht="16" hidden="1" thickBot="1" x14ac:dyDescent="0.25">
      <c r="A299" s="402" t="s">
        <v>2172</v>
      </c>
      <c r="B299" s="399" t="s">
        <v>3014</v>
      </c>
      <c r="C299" s="399" t="s">
        <v>3015</v>
      </c>
      <c r="D299" s="399" t="s">
        <v>3016</v>
      </c>
      <c r="E299" s="401" t="s">
        <v>3001</v>
      </c>
      <c r="F299" s="399" t="s">
        <v>3017</v>
      </c>
      <c r="G299" s="399" t="s">
        <v>2178</v>
      </c>
      <c r="H299" s="400">
        <v>1193893</v>
      </c>
      <c r="I299" s="399">
        <v>300</v>
      </c>
      <c r="J299" s="429">
        <v>46309</v>
      </c>
      <c r="K299" s="398" t="s">
        <v>2517</v>
      </c>
    </row>
    <row r="300" spans="1:12" s="3" customFormat="1" ht="16" hidden="1" thickBot="1" x14ac:dyDescent="0.25">
      <c r="A300" s="402" t="s">
        <v>2172</v>
      </c>
      <c r="B300" s="399" t="s">
        <v>3014</v>
      </c>
      <c r="C300" s="399" t="s">
        <v>3018</v>
      </c>
      <c r="D300" s="399" t="s">
        <v>3019</v>
      </c>
      <c r="E300" s="401" t="s">
        <v>3001</v>
      </c>
      <c r="F300" s="399" t="s">
        <v>3020</v>
      </c>
      <c r="G300" s="399" t="s">
        <v>2178</v>
      </c>
      <c r="H300" s="400">
        <v>636187</v>
      </c>
      <c r="I300" s="399">
        <v>100</v>
      </c>
      <c r="J300" s="429">
        <v>46309</v>
      </c>
      <c r="K300" s="398" t="s">
        <v>2517</v>
      </c>
    </row>
    <row r="301" spans="1:12" ht="16" hidden="1" thickBot="1" x14ac:dyDescent="0.25">
      <c r="A301" s="402" t="s">
        <v>2172</v>
      </c>
      <c r="B301" s="399" t="s">
        <v>3021</v>
      </c>
      <c r="C301" s="399" t="s">
        <v>3022</v>
      </c>
      <c r="D301" s="399" t="s">
        <v>3023</v>
      </c>
      <c r="E301" s="401" t="s">
        <v>3001</v>
      </c>
      <c r="F301" s="399" t="s">
        <v>3024</v>
      </c>
      <c r="G301" s="399" t="s">
        <v>2178</v>
      </c>
      <c r="H301" s="400">
        <v>357072</v>
      </c>
      <c r="I301" s="399">
        <v>150</v>
      </c>
      <c r="J301" s="429">
        <v>46309</v>
      </c>
      <c r="K301" s="398" t="s">
        <v>2517</v>
      </c>
    </row>
    <row r="302" spans="1:12" s="3" customFormat="1" ht="16" hidden="1" thickBot="1" x14ac:dyDescent="0.25">
      <c r="A302" s="402" t="s">
        <v>2172</v>
      </c>
      <c r="B302" s="399" t="s">
        <v>3021</v>
      </c>
      <c r="C302" s="399" t="s">
        <v>3025</v>
      </c>
      <c r="D302" s="399" t="s">
        <v>3026</v>
      </c>
      <c r="E302" s="401" t="s">
        <v>3001</v>
      </c>
      <c r="F302" s="399" t="s">
        <v>3027</v>
      </c>
      <c r="G302" s="399" t="s">
        <v>2178</v>
      </c>
      <c r="H302" s="400">
        <v>686000</v>
      </c>
      <c r="I302" s="399">
        <v>100</v>
      </c>
      <c r="J302" s="429">
        <v>46343</v>
      </c>
      <c r="K302" s="398" t="s">
        <v>2517</v>
      </c>
    </row>
    <row r="303" spans="1:12" ht="16" hidden="1" thickBot="1" x14ac:dyDescent="0.25">
      <c r="A303" s="402" t="s">
        <v>2172</v>
      </c>
      <c r="B303" s="399" t="s">
        <v>3028</v>
      </c>
      <c r="C303" s="399" t="s">
        <v>3029</v>
      </c>
      <c r="D303" s="399" t="s">
        <v>3030</v>
      </c>
      <c r="E303" s="401" t="s">
        <v>3031</v>
      </c>
      <c r="F303" s="399" t="s">
        <v>3032</v>
      </c>
      <c r="G303" s="399" t="s">
        <v>2178</v>
      </c>
      <c r="H303" s="400">
        <v>2995807</v>
      </c>
      <c r="I303" s="399">
        <v>500</v>
      </c>
      <c r="J303" s="429">
        <v>46308</v>
      </c>
      <c r="K303" s="398" t="s">
        <v>2179</v>
      </c>
    </row>
    <row r="304" spans="1:12" s="3" customFormat="1" ht="16" hidden="1" thickBot="1" x14ac:dyDescent="0.25">
      <c r="A304" s="402" t="s">
        <v>2172</v>
      </c>
      <c r="B304" s="399" t="s">
        <v>3028</v>
      </c>
      <c r="C304" s="399" t="s">
        <v>3033</v>
      </c>
      <c r="D304" s="399" t="s">
        <v>3034</v>
      </c>
      <c r="E304" s="401" t="s">
        <v>3031</v>
      </c>
      <c r="F304" s="399" t="s">
        <v>3035</v>
      </c>
      <c r="G304" s="399" t="s">
        <v>2178</v>
      </c>
      <c r="H304" s="400">
        <v>1528473</v>
      </c>
      <c r="I304" s="399">
        <v>499</v>
      </c>
      <c r="J304" s="429">
        <v>45996</v>
      </c>
      <c r="K304" s="398" t="s">
        <v>2179</v>
      </c>
    </row>
    <row r="305" spans="1:13" ht="16" hidden="1" thickBot="1" x14ac:dyDescent="0.25">
      <c r="A305" s="402" t="s">
        <v>2172</v>
      </c>
      <c r="B305" s="399" t="s">
        <v>3036</v>
      </c>
      <c r="C305" s="399" t="s">
        <v>3037</v>
      </c>
      <c r="D305" s="399" t="s">
        <v>3038</v>
      </c>
      <c r="E305" s="401" t="s">
        <v>3039</v>
      </c>
      <c r="F305" s="399" t="s">
        <v>3040</v>
      </c>
      <c r="G305" s="399" t="s">
        <v>2178</v>
      </c>
      <c r="H305" s="400">
        <v>9576557</v>
      </c>
      <c r="I305" s="399">
        <v>750</v>
      </c>
      <c r="J305" s="429">
        <v>45931</v>
      </c>
      <c r="K305" s="398" t="s">
        <v>2191</v>
      </c>
    </row>
    <row r="306" spans="1:13" ht="16" hidden="1" thickBot="1" x14ac:dyDescent="0.25">
      <c r="A306" s="402" t="s">
        <v>2172</v>
      </c>
      <c r="B306" s="399" t="s">
        <v>3036</v>
      </c>
      <c r="C306" s="399" t="s">
        <v>3041</v>
      </c>
      <c r="D306" s="399" t="s">
        <v>2776</v>
      </c>
      <c r="E306" s="401" t="s">
        <v>3039</v>
      </c>
      <c r="F306" s="399" t="s">
        <v>3042</v>
      </c>
      <c r="G306" s="399" t="s">
        <v>2178</v>
      </c>
      <c r="H306" s="400">
        <v>3192186</v>
      </c>
      <c r="I306" s="399">
        <v>750</v>
      </c>
      <c r="J306" s="429">
        <v>45931</v>
      </c>
      <c r="K306" s="398" t="s">
        <v>2191</v>
      </c>
    </row>
    <row r="307" spans="1:13" s="3" customFormat="1" ht="16" thickBot="1" x14ac:dyDescent="0.25">
      <c r="A307" s="474" t="s">
        <v>2172</v>
      </c>
      <c r="B307" s="471" t="s">
        <v>3043</v>
      </c>
      <c r="C307" s="471" t="s">
        <v>3044</v>
      </c>
      <c r="D307" s="471" t="s">
        <v>3045</v>
      </c>
      <c r="E307" s="473" t="s">
        <v>3046</v>
      </c>
      <c r="F307" s="471" t="s">
        <v>3047</v>
      </c>
      <c r="G307" s="471" t="s">
        <v>2178</v>
      </c>
      <c r="H307" s="472">
        <v>1831233</v>
      </c>
      <c r="I307" s="471">
        <v>250</v>
      </c>
      <c r="J307" s="470">
        <v>45757</v>
      </c>
      <c r="K307" s="469" t="s">
        <v>2432</v>
      </c>
      <c r="L307" s="1151" t="s">
        <v>2211</v>
      </c>
    </row>
    <row r="308" spans="1:13" ht="16" hidden="1" thickBot="1" x14ac:dyDescent="0.25">
      <c r="A308" s="468" t="s">
        <v>2172</v>
      </c>
      <c r="B308" s="465" t="s">
        <v>3043</v>
      </c>
      <c r="C308" s="465" t="s">
        <v>3048</v>
      </c>
      <c r="D308" s="465" t="s">
        <v>3045</v>
      </c>
      <c r="E308" s="467" t="s">
        <v>3046</v>
      </c>
      <c r="F308" s="465" t="s">
        <v>3049</v>
      </c>
      <c r="G308" s="465" t="s">
        <v>2178</v>
      </c>
      <c r="H308" s="466">
        <v>16481096</v>
      </c>
      <c r="I308" s="465">
        <v>500</v>
      </c>
      <c r="J308" s="464">
        <v>46122</v>
      </c>
      <c r="K308" s="463" t="s">
        <v>2432</v>
      </c>
      <c r="L308" s="1152"/>
    </row>
    <row r="309" spans="1:13" ht="16" thickBot="1" x14ac:dyDescent="0.25">
      <c r="A309" s="461" t="s">
        <v>2172</v>
      </c>
      <c r="B309" s="458" t="s">
        <v>3050</v>
      </c>
      <c r="C309" s="458" t="s">
        <v>3051</v>
      </c>
      <c r="D309" s="458" t="s">
        <v>3052</v>
      </c>
      <c r="E309" s="460" t="s">
        <v>3046</v>
      </c>
      <c r="F309" s="458" t="s">
        <v>3053</v>
      </c>
      <c r="G309" s="458" t="s">
        <v>2178</v>
      </c>
      <c r="H309" s="459">
        <v>890121</v>
      </c>
      <c r="I309" s="458">
        <v>120</v>
      </c>
      <c r="J309" s="457">
        <v>46346</v>
      </c>
      <c r="K309" s="456" t="s">
        <v>2432</v>
      </c>
      <c r="L309" s="455" t="s">
        <v>2211</v>
      </c>
    </row>
    <row r="310" spans="1:13" ht="16" thickBot="1" x14ac:dyDescent="0.25">
      <c r="A310" s="461" t="s">
        <v>2172</v>
      </c>
      <c r="B310" s="458" t="s">
        <v>3050</v>
      </c>
      <c r="C310" s="458" t="s">
        <v>3054</v>
      </c>
      <c r="D310" s="458" t="s">
        <v>3055</v>
      </c>
      <c r="E310" s="460" t="s">
        <v>3046</v>
      </c>
      <c r="F310" s="458" t="s">
        <v>3056</v>
      </c>
      <c r="G310" s="458" t="s">
        <v>2178</v>
      </c>
      <c r="H310" s="459">
        <v>350000</v>
      </c>
      <c r="I310" s="458">
        <v>120</v>
      </c>
      <c r="J310" s="457">
        <v>46385</v>
      </c>
      <c r="K310" s="456" t="s">
        <v>2432</v>
      </c>
      <c r="L310" s="455" t="s">
        <v>3057</v>
      </c>
      <c r="M310" t="s">
        <v>3058</v>
      </c>
    </row>
    <row r="311" spans="1:13" ht="16" hidden="1" thickBot="1" x14ac:dyDescent="0.25">
      <c r="A311" s="461" t="s">
        <v>2172</v>
      </c>
      <c r="B311" s="458" t="s">
        <v>3050</v>
      </c>
      <c r="C311" s="458" t="s">
        <v>3059</v>
      </c>
      <c r="D311" s="458" t="s">
        <v>3060</v>
      </c>
      <c r="E311" s="460" t="s">
        <v>3046</v>
      </c>
      <c r="F311" s="458" t="s">
        <v>3061</v>
      </c>
      <c r="G311" s="458" t="s">
        <v>2178</v>
      </c>
      <c r="H311" s="459">
        <v>398000</v>
      </c>
      <c r="I311" s="458">
        <v>160</v>
      </c>
      <c r="J311" s="457">
        <v>46428</v>
      </c>
      <c r="K311" s="456" t="s">
        <v>2432</v>
      </c>
      <c r="L311" s="455" t="s">
        <v>2192</v>
      </c>
      <c r="M311" t="s">
        <v>3062</v>
      </c>
    </row>
    <row r="312" spans="1:13" ht="16" hidden="1" thickBot="1" x14ac:dyDescent="0.25">
      <c r="A312" s="461" t="s">
        <v>2172</v>
      </c>
      <c r="B312" s="458" t="s">
        <v>3050</v>
      </c>
      <c r="C312" s="458" t="s">
        <v>3063</v>
      </c>
      <c r="D312" s="458" t="s">
        <v>3064</v>
      </c>
      <c r="E312" s="460" t="s">
        <v>3046</v>
      </c>
      <c r="F312" s="458" t="s">
        <v>3065</v>
      </c>
      <c r="G312" s="458" t="s">
        <v>2178</v>
      </c>
      <c r="H312" s="459">
        <v>500164</v>
      </c>
      <c r="I312" s="458">
        <v>160</v>
      </c>
      <c r="J312" s="457">
        <v>46491</v>
      </c>
      <c r="K312" s="456" t="s">
        <v>2432</v>
      </c>
      <c r="L312" s="973" t="s">
        <v>2192</v>
      </c>
    </row>
    <row r="313" spans="1:13" ht="16" thickBot="1" x14ac:dyDescent="0.25">
      <c r="A313" s="461" t="s">
        <v>2172</v>
      </c>
      <c r="B313" s="458" t="s">
        <v>3050</v>
      </c>
      <c r="C313" s="458" t="s">
        <v>3066</v>
      </c>
      <c r="D313" s="458" t="s">
        <v>3067</v>
      </c>
      <c r="E313" s="460" t="s">
        <v>3046</v>
      </c>
      <c r="F313" s="458" t="s">
        <v>3068</v>
      </c>
      <c r="G313" s="458" t="s">
        <v>2178</v>
      </c>
      <c r="H313" s="459">
        <v>458000</v>
      </c>
      <c r="I313" s="458">
        <v>160</v>
      </c>
      <c r="J313" s="457">
        <v>46428</v>
      </c>
      <c r="K313" s="456" t="s">
        <v>2432</v>
      </c>
      <c r="L313" s="455" t="s">
        <v>3057</v>
      </c>
      <c r="M313" t="s">
        <v>3058</v>
      </c>
    </row>
    <row r="314" spans="1:13" ht="16" hidden="1" thickBot="1" x14ac:dyDescent="0.25">
      <c r="A314" s="461" t="s">
        <v>2172</v>
      </c>
      <c r="B314" s="458" t="s">
        <v>3043</v>
      </c>
      <c r="C314" s="458" t="s">
        <v>3069</v>
      </c>
      <c r="D314" s="458" t="s">
        <v>3070</v>
      </c>
      <c r="E314" s="460" t="s">
        <v>3046</v>
      </c>
      <c r="F314" s="458" t="s">
        <v>3071</v>
      </c>
      <c r="G314" s="458" t="s">
        <v>2178</v>
      </c>
      <c r="H314" s="459">
        <v>750000</v>
      </c>
      <c r="I314" s="458">
        <v>121</v>
      </c>
      <c r="J314" s="457">
        <v>46681</v>
      </c>
      <c r="K314" s="456" t="s">
        <v>2432</v>
      </c>
      <c r="L314" s="462" t="s">
        <v>2192</v>
      </c>
    </row>
    <row r="315" spans="1:13" ht="16" thickBot="1" x14ac:dyDescent="0.25">
      <c r="A315" s="461" t="s">
        <v>2172</v>
      </c>
      <c r="B315" s="458" t="s">
        <v>3072</v>
      </c>
      <c r="C315" s="458" t="s">
        <v>3073</v>
      </c>
      <c r="D315" s="458" t="s">
        <v>3074</v>
      </c>
      <c r="E315" s="460" t="s">
        <v>3046</v>
      </c>
      <c r="F315" s="458" t="s">
        <v>3075</v>
      </c>
      <c r="G315" s="458" t="s">
        <v>2178</v>
      </c>
      <c r="H315" s="459">
        <v>610000</v>
      </c>
      <c r="I315" s="458">
        <v>250</v>
      </c>
      <c r="J315" s="457">
        <v>46351</v>
      </c>
      <c r="K315" s="456" t="s">
        <v>2432</v>
      </c>
      <c r="L315" s="455" t="s">
        <v>3057</v>
      </c>
      <c r="M315" t="s">
        <v>3058</v>
      </c>
    </row>
    <row r="316" spans="1:13" ht="16" hidden="1" thickBot="1" x14ac:dyDescent="0.25">
      <c r="A316" s="402" t="s">
        <v>2172</v>
      </c>
      <c r="B316" s="399" t="s">
        <v>3076</v>
      </c>
      <c r="C316" s="399" t="s">
        <v>3077</v>
      </c>
      <c r="D316" s="399" t="s">
        <v>2615</v>
      </c>
      <c r="E316" s="401" t="s">
        <v>3078</v>
      </c>
      <c r="F316" s="399" t="s">
        <v>3079</v>
      </c>
      <c r="G316" s="399" t="s">
        <v>2178</v>
      </c>
      <c r="H316" s="400">
        <v>502131</v>
      </c>
      <c r="I316" s="399">
        <v>147</v>
      </c>
      <c r="J316" s="429">
        <v>45859</v>
      </c>
      <c r="K316" s="398" t="s">
        <v>2665</v>
      </c>
      <c r="L316" s="397"/>
    </row>
    <row r="317" spans="1:13" ht="16" hidden="1" thickBot="1" x14ac:dyDescent="0.25">
      <c r="A317" s="402" t="s">
        <v>2172</v>
      </c>
      <c r="B317" s="399" t="s">
        <v>3076</v>
      </c>
      <c r="C317" s="399" t="s">
        <v>3080</v>
      </c>
      <c r="D317" s="399" t="s">
        <v>3081</v>
      </c>
      <c r="E317" s="401" t="s">
        <v>3078</v>
      </c>
      <c r="F317" s="399" t="s">
        <v>3082</v>
      </c>
      <c r="G317" s="399" t="s">
        <v>2178</v>
      </c>
      <c r="H317" s="400">
        <v>334754</v>
      </c>
      <c r="I317" s="399">
        <v>147</v>
      </c>
      <c r="J317" s="429">
        <v>46049</v>
      </c>
      <c r="K317" s="398" t="s">
        <v>2665</v>
      </c>
      <c r="L317" s="430"/>
    </row>
    <row r="318" spans="1:13" ht="16" hidden="1" thickBot="1" x14ac:dyDescent="0.25">
      <c r="A318" s="402" t="s">
        <v>2172</v>
      </c>
      <c r="B318" s="399" t="s">
        <v>3083</v>
      </c>
      <c r="C318" s="399" t="s">
        <v>3084</v>
      </c>
      <c r="D318" s="399" t="s">
        <v>3085</v>
      </c>
      <c r="E318" s="401" t="s">
        <v>3078</v>
      </c>
      <c r="F318" s="399" t="s">
        <v>3086</v>
      </c>
      <c r="G318" s="399" t="s">
        <v>2178</v>
      </c>
      <c r="H318" s="400">
        <v>334754</v>
      </c>
      <c r="I318" s="399">
        <v>60</v>
      </c>
      <c r="J318" s="429">
        <v>47270</v>
      </c>
      <c r="K318" s="398" t="s">
        <v>2665</v>
      </c>
      <c r="L318" s="431"/>
    </row>
    <row r="319" spans="1:13" ht="16" hidden="1" thickBot="1" x14ac:dyDescent="0.25">
      <c r="A319" s="402" t="s">
        <v>2172</v>
      </c>
      <c r="B319" s="399" t="s">
        <v>3087</v>
      </c>
      <c r="C319" s="399" t="s">
        <v>3088</v>
      </c>
      <c r="D319" s="399" t="s">
        <v>3089</v>
      </c>
      <c r="E319" s="401" t="s">
        <v>3078</v>
      </c>
      <c r="F319" s="399" t="s">
        <v>3090</v>
      </c>
      <c r="G319" s="399" t="s">
        <v>2178</v>
      </c>
      <c r="H319" s="400">
        <v>1004261</v>
      </c>
      <c r="I319" s="399">
        <v>233</v>
      </c>
      <c r="J319" s="429">
        <v>45958</v>
      </c>
      <c r="K319" s="398" t="s">
        <v>2665</v>
      </c>
      <c r="L319" s="430"/>
    </row>
    <row r="320" spans="1:13" ht="16" hidden="1" thickBot="1" x14ac:dyDescent="0.25">
      <c r="A320" s="402" t="s">
        <v>2172</v>
      </c>
      <c r="B320" s="399" t="s">
        <v>3091</v>
      </c>
      <c r="C320" s="399" t="s">
        <v>3092</v>
      </c>
      <c r="D320" s="399" t="s">
        <v>3093</v>
      </c>
      <c r="E320" s="401" t="s">
        <v>3078</v>
      </c>
      <c r="F320" s="399" t="s">
        <v>3094</v>
      </c>
      <c r="G320" s="399" t="s">
        <v>2178</v>
      </c>
      <c r="H320" s="400">
        <v>334754</v>
      </c>
      <c r="I320" s="399">
        <v>275</v>
      </c>
      <c r="J320" s="429">
        <v>46526</v>
      </c>
      <c r="K320" s="398" t="s">
        <v>2665</v>
      </c>
      <c r="L320" s="431"/>
    </row>
    <row r="321" spans="1:12" ht="16" hidden="1" thickBot="1" x14ac:dyDescent="0.25">
      <c r="A321" s="402" t="s">
        <v>2172</v>
      </c>
      <c r="B321" s="399" t="s">
        <v>3083</v>
      </c>
      <c r="C321" s="399" t="s">
        <v>3095</v>
      </c>
      <c r="D321" s="399" t="s">
        <v>3096</v>
      </c>
      <c r="E321" s="401" t="s">
        <v>3078</v>
      </c>
      <c r="F321" s="399" t="s">
        <v>3097</v>
      </c>
      <c r="G321" s="399" t="s">
        <v>2178</v>
      </c>
      <c r="H321" s="400">
        <v>557923</v>
      </c>
      <c r="I321" s="399">
        <v>168</v>
      </c>
      <c r="J321" s="429">
        <v>46891</v>
      </c>
      <c r="K321" s="398" t="s">
        <v>2665</v>
      </c>
      <c r="L321" s="430"/>
    </row>
    <row r="322" spans="1:12" ht="16" hidden="1" thickBot="1" x14ac:dyDescent="0.25">
      <c r="A322" s="402" t="s">
        <v>2172</v>
      </c>
      <c r="B322" s="399" t="s">
        <v>3098</v>
      </c>
      <c r="C322" s="399" t="s">
        <v>3099</v>
      </c>
      <c r="D322" s="399" t="s">
        <v>3100</v>
      </c>
      <c r="E322" s="401" t="s">
        <v>3101</v>
      </c>
      <c r="F322" s="399" t="s">
        <v>3102</v>
      </c>
      <c r="G322" s="399" t="s">
        <v>2178</v>
      </c>
      <c r="H322" s="400">
        <v>260000</v>
      </c>
      <c r="I322" s="399">
        <v>1</v>
      </c>
      <c r="J322" s="429">
        <v>45572</v>
      </c>
      <c r="K322" s="398" t="s">
        <v>2517</v>
      </c>
      <c r="L322" s="431"/>
    </row>
    <row r="323" spans="1:12" ht="16" hidden="1" thickBot="1" x14ac:dyDescent="0.25">
      <c r="A323" s="402" t="s">
        <v>2172</v>
      </c>
      <c r="B323" s="399" t="s">
        <v>3098</v>
      </c>
      <c r="C323" s="399" t="s">
        <v>3103</v>
      </c>
      <c r="D323" s="399" t="s">
        <v>3104</v>
      </c>
      <c r="E323" s="401" t="s">
        <v>3101</v>
      </c>
      <c r="F323" s="399" t="s">
        <v>3105</v>
      </c>
      <c r="G323" s="399" t="s">
        <v>2178</v>
      </c>
      <c r="H323" s="400">
        <v>600000</v>
      </c>
      <c r="I323" s="399">
        <v>1</v>
      </c>
      <c r="J323" s="429">
        <v>45750</v>
      </c>
      <c r="K323" s="398" t="s">
        <v>2517</v>
      </c>
      <c r="L323" s="430"/>
    </row>
    <row r="324" spans="1:12" ht="16" hidden="1" thickBot="1" x14ac:dyDescent="0.25">
      <c r="A324" s="402" t="s">
        <v>2172</v>
      </c>
      <c r="B324" s="399" t="s">
        <v>3098</v>
      </c>
      <c r="C324" s="399" t="s">
        <v>3106</v>
      </c>
      <c r="D324" s="399" t="s">
        <v>3107</v>
      </c>
      <c r="E324" s="401" t="s">
        <v>3101</v>
      </c>
      <c r="F324" s="399" t="s">
        <v>3108</v>
      </c>
      <c r="G324" s="399" t="s">
        <v>2178</v>
      </c>
      <c r="H324" s="400">
        <v>527000</v>
      </c>
      <c r="I324" s="399">
        <v>1</v>
      </c>
      <c r="J324" s="429">
        <v>45835</v>
      </c>
      <c r="K324" s="398" t="s">
        <v>2517</v>
      </c>
      <c r="L324" s="431"/>
    </row>
    <row r="325" spans="1:12" ht="16" hidden="1" thickBot="1" x14ac:dyDescent="0.25">
      <c r="A325" s="402" t="s">
        <v>2172</v>
      </c>
      <c r="B325" s="399" t="s">
        <v>3098</v>
      </c>
      <c r="C325" s="399" t="s">
        <v>3109</v>
      </c>
      <c r="D325" s="399" t="s">
        <v>3110</v>
      </c>
      <c r="E325" s="401" t="s">
        <v>3101</v>
      </c>
      <c r="F325" s="399" t="s">
        <v>3111</v>
      </c>
      <c r="G325" s="399" t="s">
        <v>2178</v>
      </c>
      <c r="H325" s="400">
        <v>573000</v>
      </c>
      <c r="I325" s="399">
        <v>1</v>
      </c>
      <c r="J325" s="429">
        <v>46454</v>
      </c>
      <c r="K325" s="398" t="s">
        <v>2517</v>
      </c>
      <c r="L325" s="430"/>
    </row>
    <row r="326" spans="1:12" ht="16" hidden="1" thickBot="1" x14ac:dyDescent="0.25">
      <c r="A326" s="453" t="s">
        <v>2172</v>
      </c>
      <c r="B326" s="450" t="s">
        <v>3112</v>
      </c>
      <c r="C326" s="450" t="s">
        <v>3113</v>
      </c>
      <c r="D326" s="450" t="s">
        <v>3114</v>
      </c>
      <c r="E326" s="452" t="s">
        <v>3115</v>
      </c>
      <c r="F326" s="450" t="s">
        <v>3116</v>
      </c>
      <c r="G326" s="450" t="s">
        <v>2178</v>
      </c>
      <c r="H326" s="451">
        <v>5119500</v>
      </c>
      <c r="I326" s="450">
        <v>1</v>
      </c>
      <c r="J326" s="449">
        <v>47025</v>
      </c>
      <c r="K326" s="448" t="s">
        <v>2517</v>
      </c>
      <c r="L326" s="447" t="s">
        <v>2192</v>
      </c>
    </row>
    <row r="327" spans="1:12" ht="16" hidden="1" thickBot="1" x14ac:dyDescent="0.25">
      <c r="A327" s="453" t="s">
        <v>2172</v>
      </c>
      <c r="B327" s="450" t="s">
        <v>3117</v>
      </c>
      <c r="C327" s="450" t="s">
        <v>3118</v>
      </c>
      <c r="D327" s="450" t="s">
        <v>3119</v>
      </c>
      <c r="E327" s="452" t="s">
        <v>3115</v>
      </c>
      <c r="F327" s="450" t="s">
        <v>3120</v>
      </c>
      <c r="G327" s="450" t="s">
        <v>2178</v>
      </c>
      <c r="H327" s="451">
        <v>5119500</v>
      </c>
      <c r="I327" s="450">
        <v>1</v>
      </c>
      <c r="J327" s="449">
        <v>47071</v>
      </c>
      <c r="K327" s="448" t="s">
        <v>2517</v>
      </c>
      <c r="L327" s="447" t="s">
        <v>2192</v>
      </c>
    </row>
    <row r="328" spans="1:12" ht="16" hidden="1" thickBot="1" x14ac:dyDescent="0.25">
      <c r="A328" s="453" t="s">
        <v>2172</v>
      </c>
      <c r="B328" s="450" t="s">
        <v>3121</v>
      </c>
      <c r="C328" s="450" t="s">
        <v>3122</v>
      </c>
      <c r="D328" s="450" t="s">
        <v>2650</v>
      </c>
      <c r="E328" s="452" t="s">
        <v>3115</v>
      </c>
      <c r="F328" s="450" t="s">
        <v>3123</v>
      </c>
      <c r="G328" s="450" t="s">
        <v>2178</v>
      </c>
      <c r="H328" s="451">
        <v>5520000</v>
      </c>
      <c r="I328" s="450">
        <v>1</v>
      </c>
      <c r="J328" s="449">
        <v>47011</v>
      </c>
      <c r="K328" s="448" t="s">
        <v>2517</v>
      </c>
      <c r="L328" s="447" t="s">
        <v>2192</v>
      </c>
    </row>
    <row r="329" spans="1:12" ht="16" hidden="1" thickBot="1" x14ac:dyDescent="0.25">
      <c r="A329" s="453" t="s">
        <v>2172</v>
      </c>
      <c r="B329" s="450" t="s">
        <v>3124</v>
      </c>
      <c r="C329" s="450" t="s">
        <v>3125</v>
      </c>
      <c r="D329" s="450" t="s">
        <v>3126</v>
      </c>
      <c r="E329" s="452" t="s">
        <v>3115</v>
      </c>
      <c r="F329" s="450" t="s">
        <v>3127</v>
      </c>
      <c r="G329" s="450" t="s">
        <v>2178</v>
      </c>
      <c r="H329" s="451">
        <v>802800</v>
      </c>
      <c r="I329" s="450">
        <v>1</v>
      </c>
      <c r="J329" s="449">
        <v>47428</v>
      </c>
      <c r="K329" s="448" t="s">
        <v>2517</v>
      </c>
      <c r="L329" s="454" t="s">
        <v>2192</v>
      </c>
    </row>
    <row r="330" spans="1:12" ht="16" hidden="1" thickBot="1" x14ac:dyDescent="0.25">
      <c r="A330" s="453" t="s">
        <v>2172</v>
      </c>
      <c r="B330" s="450" t="s">
        <v>3124</v>
      </c>
      <c r="C330" s="450" t="s">
        <v>3128</v>
      </c>
      <c r="D330" s="450" t="s">
        <v>3129</v>
      </c>
      <c r="E330" s="452" t="s">
        <v>3115</v>
      </c>
      <c r="F330" s="450" t="s">
        <v>3130</v>
      </c>
      <c r="G330" s="450" t="s">
        <v>2178</v>
      </c>
      <c r="H330" s="451">
        <v>1225200</v>
      </c>
      <c r="I330" s="450">
        <v>1</v>
      </c>
      <c r="J330" s="449">
        <v>47254</v>
      </c>
      <c r="K330" s="448" t="s">
        <v>2517</v>
      </c>
      <c r="L330" s="447" t="s">
        <v>2192</v>
      </c>
    </row>
    <row r="331" spans="1:12" ht="16" hidden="1" thickBot="1" x14ac:dyDescent="0.25">
      <c r="A331" s="453" t="s">
        <v>2172</v>
      </c>
      <c r="B331" s="450" t="s">
        <v>3124</v>
      </c>
      <c r="C331" s="450" t="s">
        <v>3131</v>
      </c>
      <c r="D331" s="450" t="s">
        <v>3132</v>
      </c>
      <c r="E331" s="452" t="s">
        <v>3115</v>
      </c>
      <c r="F331" s="450" t="s">
        <v>3133</v>
      </c>
      <c r="G331" s="450" t="s">
        <v>2178</v>
      </c>
      <c r="H331" s="451">
        <v>956400</v>
      </c>
      <c r="I331" s="450">
        <v>1</v>
      </c>
      <c r="J331" s="449">
        <v>47011</v>
      </c>
      <c r="K331" s="448" t="s">
        <v>2517</v>
      </c>
      <c r="L331" s="447" t="s">
        <v>2192</v>
      </c>
    </row>
    <row r="332" spans="1:12" ht="16" hidden="1" thickBot="1" x14ac:dyDescent="0.25">
      <c r="A332" s="402" t="s">
        <v>2172</v>
      </c>
      <c r="B332" s="399" t="s">
        <v>3134</v>
      </c>
      <c r="C332" s="399" t="s">
        <v>3135</v>
      </c>
      <c r="D332" s="399" t="s">
        <v>3136</v>
      </c>
      <c r="E332" s="401" t="s">
        <v>3137</v>
      </c>
      <c r="F332" s="399" t="s">
        <v>3138</v>
      </c>
      <c r="G332" s="399" t="s">
        <v>2178</v>
      </c>
      <c r="H332" s="400">
        <v>500000</v>
      </c>
      <c r="I332" s="399">
        <v>120</v>
      </c>
      <c r="J332" s="429">
        <v>46309</v>
      </c>
      <c r="K332" s="398" t="s">
        <v>2432</v>
      </c>
      <c r="L332" s="431"/>
    </row>
    <row r="333" spans="1:12" ht="16" hidden="1" thickBot="1" x14ac:dyDescent="0.25">
      <c r="A333" s="402" t="s">
        <v>2172</v>
      </c>
      <c r="B333" s="399" t="s">
        <v>3134</v>
      </c>
      <c r="C333" s="399" t="s">
        <v>3139</v>
      </c>
      <c r="D333" s="399" t="s">
        <v>3140</v>
      </c>
      <c r="E333" s="401" t="s">
        <v>3137</v>
      </c>
      <c r="F333" s="399" t="s">
        <v>3141</v>
      </c>
      <c r="G333" s="399" t="s">
        <v>2178</v>
      </c>
      <c r="H333" s="400">
        <v>400000</v>
      </c>
      <c r="I333" s="399">
        <v>160</v>
      </c>
      <c r="J333" s="429">
        <v>46309</v>
      </c>
      <c r="K333" s="398" t="s">
        <v>2432</v>
      </c>
      <c r="L333" s="430"/>
    </row>
    <row r="334" spans="1:12" ht="16" hidden="1" thickBot="1" x14ac:dyDescent="0.25">
      <c r="A334" s="402" t="s">
        <v>2172</v>
      </c>
      <c r="B334" s="399" t="s">
        <v>3134</v>
      </c>
      <c r="C334" s="399" t="s">
        <v>3142</v>
      </c>
      <c r="D334" s="399" t="s">
        <v>3143</v>
      </c>
      <c r="E334" s="401" t="s">
        <v>3137</v>
      </c>
      <c r="F334" s="399" t="s">
        <v>3144</v>
      </c>
      <c r="G334" s="399" t="s">
        <v>2178</v>
      </c>
      <c r="H334" s="400">
        <v>265000</v>
      </c>
      <c r="I334" s="399">
        <v>20</v>
      </c>
      <c r="J334" s="429">
        <v>46476</v>
      </c>
      <c r="K334" s="398" t="s">
        <v>2432</v>
      </c>
      <c r="L334" s="428"/>
    </row>
    <row r="335" spans="1:12" ht="16" hidden="1" thickBot="1" x14ac:dyDescent="0.25">
      <c r="A335" s="446" t="s">
        <v>2172</v>
      </c>
      <c r="B335" s="315" t="s">
        <v>3145</v>
      </c>
      <c r="C335" s="315" t="s">
        <v>3146</v>
      </c>
      <c r="D335" s="315" t="s">
        <v>3147</v>
      </c>
      <c r="E335" s="445" t="s">
        <v>3148</v>
      </c>
      <c r="F335" s="315" t="s">
        <v>3149</v>
      </c>
      <c r="G335" s="315" t="s">
        <v>2178</v>
      </c>
      <c r="H335" s="444">
        <v>1593250</v>
      </c>
      <c r="I335" s="315">
        <v>160</v>
      </c>
      <c r="J335" s="443">
        <v>44965</v>
      </c>
      <c r="K335" s="442" t="s">
        <v>2191</v>
      </c>
      <c r="L335" s="1145"/>
    </row>
    <row r="336" spans="1:12" ht="16" hidden="1" thickBot="1" x14ac:dyDescent="0.25">
      <c r="A336" s="441" t="s">
        <v>2172</v>
      </c>
      <c r="B336" t="s">
        <v>3145</v>
      </c>
      <c r="C336" t="s">
        <v>3150</v>
      </c>
      <c r="D336" t="s">
        <v>3147</v>
      </c>
      <c r="E336" s="440" t="s">
        <v>3148</v>
      </c>
      <c r="F336" t="s">
        <v>3151</v>
      </c>
      <c r="G336" t="s">
        <v>2178</v>
      </c>
      <c r="H336" s="439">
        <v>1166500</v>
      </c>
      <c r="I336">
        <v>160</v>
      </c>
      <c r="J336" s="263">
        <v>45274</v>
      </c>
      <c r="K336" s="438" t="s">
        <v>2191</v>
      </c>
      <c r="L336" s="1146"/>
    </row>
    <row r="337" spans="1:12" ht="16" hidden="1" thickBot="1" x14ac:dyDescent="0.25">
      <c r="A337" s="437" t="s">
        <v>2172</v>
      </c>
      <c r="B337" s="434" t="s">
        <v>3145</v>
      </c>
      <c r="C337" s="434" t="s">
        <v>3152</v>
      </c>
      <c r="D337" s="434" t="s">
        <v>3147</v>
      </c>
      <c r="E337" s="436" t="s">
        <v>3148</v>
      </c>
      <c r="F337" s="434" t="s">
        <v>3153</v>
      </c>
      <c r="G337" s="434" t="s">
        <v>2178</v>
      </c>
      <c r="H337" s="435">
        <v>689500</v>
      </c>
      <c r="I337" s="434">
        <v>160</v>
      </c>
      <c r="J337" s="433">
        <v>45583</v>
      </c>
      <c r="K337" s="432" t="s">
        <v>2191</v>
      </c>
      <c r="L337" s="1147"/>
    </row>
    <row r="338" spans="1:12" ht="16" hidden="1" thickBot="1" x14ac:dyDescent="0.25">
      <c r="A338" s="446" t="s">
        <v>2172</v>
      </c>
      <c r="B338" s="315" t="s">
        <v>3154</v>
      </c>
      <c r="C338" s="315" t="s">
        <v>3155</v>
      </c>
      <c r="D338" s="315" t="s">
        <v>3156</v>
      </c>
      <c r="E338" s="445" t="s">
        <v>3157</v>
      </c>
      <c r="F338" s="315" t="s">
        <v>3158</v>
      </c>
      <c r="G338" s="315" t="s">
        <v>2178</v>
      </c>
      <c r="H338" s="444">
        <v>312000</v>
      </c>
      <c r="I338" s="315">
        <v>20</v>
      </c>
      <c r="J338" s="443">
        <v>44886</v>
      </c>
      <c r="K338" s="442" t="s">
        <v>2179</v>
      </c>
      <c r="L338" s="1145"/>
    </row>
    <row r="339" spans="1:12" ht="16" hidden="1" thickBot="1" x14ac:dyDescent="0.25">
      <c r="A339" s="441" t="s">
        <v>2172</v>
      </c>
      <c r="B339" t="s">
        <v>3154</v>
      </c>
      <c r="C339" t="s">
        <v>3159</v>
      </c>
      <c r="D339" t="s">
        <v>3156</v>
      </c>
      <c r="E339" s="440" t="s">
        <v>3157</v>
      </c>
      <c r="F339" t="s">
        <v>3160</v>
      </c>
      <c r="G339" t="s">
        <v>2178</v>
      </c>
      <c r="H339" s="439">
        <v>708000</v>
      </c>
      <c r="I339">
        <v>180</v>
      </c>
      <c r="J339" s="263">
        <v>44916</v>
      </c>
      <c r="K339" s="438" t="s">
        <v>2179</v>
      </c>
      <c r="L339" s="1146"/>
    </row>
    <row r="340" spans="1:12" ht="16" hidden="1" thickBot="1" x14ac:dyDescent="0.25">
      <c r="A340" s="437" t="s">
        <v>2172</v>
      </c>
      <c r="B340" s="434" t="s">
        <v>3154</v>
      </c>
      <c r="C340" s="434" t="s">
        <v>3161</v>
      </c>
      <c r="D340" s="434" t="s">
        <v>3156</v>
      </c>
      <c r="E340" s="436" t="s">
        <v>3157</v>
      </c>
      <c r="F340" s="434" t="s">
        <v>3162</v>
      </c>
      <c r="G340" s="434" t="s">
        <v>2178</v>
      </c>
      <c r="H340" s="435">
        <v>975000</v>
      </c>
      <c r="I340" s="434">
        <v>240</v>
      </c>
      <c r="J340" s="433">
        <v>45177</v>
      </c>
      <c r="K340" s="432" t="s">
        <v>2179</v>
      </c>
      <c r="L340" s="1146"/>
    </row>
    <row r="341" spans="1:12" s="3" customFormat="1" ht="16" hidden="1" thickBot="1" x14ac:dyDescent="0.25">
      <c r="A341" s="402" t="s">
        <v>2172</v>
      </c>
      <c r="B341" s="399" t="s">
        <v>3154</v>
      </c>
      <c r="C341" s="399" t="s">
        <v>3163</v>
      </c>
      <c r="D341" s="399" t="s">
        <v>3164</v>
      </c>
      <c r="E341" s="401" t="s">
        <v>3157</v>
      </c>
      <c r="F341" s="399" t="s">
        <v>3165</v>
      </c>
      <c r="G341" s="399" t="s">
        <v>2178</v>
      </c>
      <c r="H341" s="400">
        <v>400000</v>
      </c>
      <c r="I341" s="399">
        <v>200</v>
      </c>
      <c r="J341" s="429">
        <v>45138</v>
      </c>
      <c r="K341" s="398" t="s">
        <v>2179</v>
      </c>
      <c r="L341" s="430"/>
    </row>
    <row r="342" spans="1:12" ht="16" hidden="1" thickBot="1" x14ac:dyDescent="0.25">
      <c r="A342" s="402" t="s">
        <v>2172</v>
      </c>
      <c r="B342" s="399" t="s">
        <v>3166</v>
      </c>
      <c r="C342" s="399" t="s">
        <v>3167</v>
      </c>
      <c r="D342" s="399" t="s">
        <v>3168</v>
      </c>
      <c r="E342" s="401" t="s">
        <v>3157</v>
      </c>
      <c r="F342" s="399" t="s">
        <v>3169</v>
      </c>
      <c r="G342" s="399" t="s">
        <v>2178</v>
      </c>
      <c r="H342" s="400">
        <v>300000</v>
      </c>
      <c r="I342" s="399">
        <v>250</v>
      </c>
      <c r="J342" s="399" t="s">
        <v>3170</v>
      </c>
      <c r="K342" s="398" t="s">
        <v>2179</v>
      </c>
      <c r="L342" s="431"/>
    </row>
    <row r="343" spans="1:12" ht="16" hidden="1" thickBot="1" x14ac:dyDescent="0.25">
      <c r="A343" s="402" t="s">
        <v>2172</v>
      </c>
      <c r="B343" s="399" t="s">
        <v>3171</v>
      </c>
      <c r="C343" s="399" t="s">
        <v>3172</v>
      </c>
      <c r="D343" s="399" t="s">
        <v>3173</v>
      </c>
      <c r="E343" s="401" t="s">
        <v>3174</v>
      </c>
      <c r="F343" s="399" t="s">
        <v>3175</v>
      </c>
      <c r="G343" s="399" t="s">
        <v>2178</v>
      </c>
      <c r="H343" s="400">
        <v>2020410</v>
      </c>
      <c r="I343" s="399">
        <v>120</v>
      </c>
      <c r="J343" s="429">
        <v>46309</v>
      </c>
      <c r="K343" s="398" t="s">
        <v>2191</v>
      </c>
      <c r="L343" s="430"/>
    </row>
    <row r="344" spans="1:12" s="3" customFormat="1" ht="16" hidden="1" thickBot="1" x14ac:dyDescent="0.25">
      <c r="A344" s="402" t="s">
        <v>2172</v>
      </c>
      <c r="B344" s="399" t="s">
        <v>3171</v>
      </c>
      <c r="C344" s="399" t="s">
        <v>3176</v>
      </c>
      <c r="D344" s="399" t="s">
        <v>3177</v>
      </c>
      <c r="E344" s="401" t="s">
        <v>3174</v>
      </c>
      <c r="F344" s="399" t="s">
        <v>3178</v>
      </c>
      <c r="G344" s="399" t="s">
        <v>2178</v>
      </c>
      <c r="H344" s="400">
        <v>320610</v>
      </c>
      <c r="I344" s="399">
        <v>250</v>
      </c>
      <c r="J344" s="429">
        <v>46309</v>
      </c>
      <c r="K344" s="398" t="s">
        <v>2191</v>
      </c>
      <c r="L344" s="431"/>
    </row>
    <row r="345" spans="1:12" ht="16" hidden="1" thickBot="1" x14ac:dyDescent="0.25">
      <c r="A345" s="402" t="s">
        <v>2172</v>
      </c>
      <c r="B345" s="399" t="s">
        <v>3171</v>
      </c>
      <c r="C345" s="399" t="s">
        <v>3179</v>
      </c>
      <c r="D345" s="399" t="s">
        <v>3180</v>
      </c>
      <c r="E345" s="401" t="s">
        <v>3174</v>
      </c>
      <c r="F345" s="399" t="s">
        <v>3181</v>
      </c>
      <c r="G345" s="399" t="s">
        <v>2178</v>
      </c>
      <c r="H345" s="400">
        <v>1675350</v>
      </c>
      <c r="I345" s="399">
        <v>250</v>
      </c>
      <c r="J345" s="429">
        <v>46476</v>
      </c>
      <c r="K345" s="398" t="s">
        <v>2191</v>
      </c>
      <c r="L345" s="430"/>
    </row>
    <row r="346" spans="1:12" s="3" customFormat="1" ht="16" hidden="1" thickBot="1" x14ac:dyDescent="0.25">
      <c r="A346" s="402" t="s">
        <v>2172</v>
      </c>
      <c r="B346" s="399" t="s">
        <v>3182</v>
      </c>
      <c r="C346" s="399" t="s">
        <v>3183</v>
      </c>
      <c r="D346" s="399" t="s">
        <v>3184</v>
      </c>
      <c r="E346" s="401" t="s">
        <v>3174</v>
      </c>
      <c r="F346" s="399" t="s">
        <v>3185</v>
      </c>
      <c r="G346" s="399" t="s">
        <v>2178</v>
      </c>
      <c r="H346" s="400">
        <v>259150</v>
      </c>
      <c r="I346" s="399">
        <v>250</v>
      </c>
      <c r="J346" s="429">
        <v>46309</v>
      </c>
      <c r="K346" s="398" t="s">
        <v>2191</v>
      </c>
      <c r="L346" s="431"/>
    </row>
    <row r="347" spans="1:12" ht="16" hidden="1" thickBot="1" x14ac:dyDescent="0.25">
      <c r="A347" s="402" t="s">
        <v>2172</v>
      </c>
      <c r="B347" s="399" t="s">
        <v>3186</v>
      </c>
      <c r="C347" s="399" t="s">
        <v>3187</v>
      </c>
      <c r="D347" s="399" t="s">
        <v>3188</v>
      </c>
      <c r="E347" s="401" t="s">
        <v>3174</v>
      </c>
      <c r="F347" s="399" t="s">
        <v>3189</v>
      </c>
      <c r="G347" s="399" t="s">
        <v>2178</v>
      </c>
      <c r="H347" s="400">
        <v>531600</v>
      </c>
      <c r="I347" s="399">
        <v>250</v>
      </c>
      <c r="J347" s="429">
        <v>46623</v>
      </c>
      <c r="K347" s="398" t="s">
        <v>2191</v>
      </c>
      <c r="L347" s="430"/>
    </row>
    <row r="348" spans="1:12" ht="16" hidden="1" thickBot="1" x14ac:dyDescent="0.25">
      <c r="A348" s="402" t="s">
        <v>2172</v>
      </c>
      <c r="B348" s="399" t="s">
        <v>3186</v>
      </c>
      <c r="C348" s="399" t="s">
        <v>3190</v>
      </c>
      <c r="D348" s="399" t="s">
        <v>3191</v>
      </c>
      <c r="E348" s="401" t="s">
        <v>3174</v>
      </c>
      <c r="F348" s="399" t="s">
        <v>3192</v>
      </c>
      <c r="G348" s="399" t="s">
        <v>2178</v>
      </c>
      <c r="H348" s="400">
        <v>277875</v>
      </c>
      <c r="I348" s="399">
        <v>250</v>
      </c>
      <c r="J348" s="429">
        <v>46623</v>
      </c>
      <c r="K348" s="398" t="s">
        <v>2191</v>
      </c>
      <c r="L348" s="431"/>
    </row>
    <row r="349" spans="1:12" ht="16" hidden="1" thickBot="1" x14ac:dyDescent="0.25">
      <c r="A349" s="402" t="s">
        <v>2172</v>
      </c>
      <c r="B349" s="399" t="s">
        <v>3186</v>
      </c>
      <c r="C349" s="399" t="s">
        <v>3193</v>
      </c>
      <c r="D349" s="399" t="s">
        <v>3194</v>
      </c>
      <c r="E349" s="401" t="s">
        <v>3174</v>
      </c>
      <c r="F349" s="399" t="s">
        <v>3195</v>
      </c>
      <c r="G349" s="399" t="s">
        <v>2178</v>
      </c>
      <c r="H349" s="400">
        <v>387800</v>
      </c>
      <c r="I349" s="399">
        <v>250</v>
      </c>
      <c r="J349" s="429">
        <v>46623</v>
      </c>
      <c r="K349" s="398" t="s">
        <v>2191</v>
      </c>
      <c r="L349" s="430"/>
    </row>
    <row r="350" spans="1:12" s="3" customFormat="1" ht="16" hidden="1" thickBot="1" x14ac:dyDescent="0.25">
      <c r="A350" s="402" t="s">
        <v>2172</v>
      </c>
      <c r="B350" s="399" t="s">
        <v>3186</v>
      </c>
      <c r="C350" s="399" t="s">
        <v>3196</v>
      </c>
      <c r="D350" s="399" t="s">
        <v>3197</v>
      </c>
      <c r="E350" s="401" t="s">
        <v>3174</v>
      </c>
      <c r="F350" s="399" t="s">
        <v>3198</v>
      </c>
      <c r="G350" s="399" t="s">
        <v>2178</v>
      </c>
      <c r="H350" s="400">
        <v>257400</v>
      </c>
      <c r="I350" s="399">
        <v>120</v>
      </c>
      <c r="J350" s="429">
        <v>46710</v>
      </c>
      <c r="K350" s="398" t="s">
        <v>2191</v>
      </c>
      <c r="L350" s="428"/>
    </row>
    <row r="351" spans="1:12" ht="16" thickBot="1" x14ac:dyDescent="0.25">
      <c r="A351" s="409" t="s">
        <v>2172</v>
      </c>
      <c r="B351" s="406" t="s">
        <v>3199</v>
      </c>
      <c r="C351" s="406" t="s">
        <v>3200</v>
      </c>
      <c r="D351" s="406" t="s">
        <v>3201</v>
      </c>
      <c r="E351" s="408" t="s">
        <v>3202</v>
      </c>
      <c r="F351" s="406" t="s">
        <v>3203</v>
      </c>
      <c r="G351" s="406" t="s">
        <v>2178</v>
      </c>
      <c r="H351" s="407">
        <v>29310000</v>
      </c>
      <c r="I351" s="406">
        <v>750</v>
      </c>
      <c r="J351" s="405">
        <v>46309</v>
      </c>
      <c r="K351" s="404" t="s">
        <v>2432</v>
      </c>
      <c r="L351" s="403" t="s">
        <v>2211</v>
      </c>
    </row>
    <row r="352" spans="1:12" s="3" customFormat="1" ht="16" thickBot="1" x14ac:dyDescent="0.25">
      <c r="A352" s="409" t="s">
        <v>2172</v>
      </c>
      <c r="B352" s="406" t="s">
        <v>3204</v>
      </c>
      <c r="C352" s="406" t="s">
        <v>3205</v>
      </c>
      <c r="D352" s="406" t="s">
        <v>2214</v>
      </c>
      <c r="E352" s="408" t="s">
        <v>3202</v>
      </c>
      <c r="F352" s="406" t="s">
        <v>3206</v>
      </c>
      <c r="G352" s="406" t="s">
        <v>2178</v>
      </c>
      <c r="H352" s="407">
        <v>15306239</v>
      </c>
      <c r="I352" s="406">
        <v>750</v>
      </c>
      <c r="J352" s="405">
        <v>46097</v>
      </c>
      <c r="K352" s="404" t="s">
        <v>2432</v>
      </c>
      <c r="L352" s="974" t="s">
        <v>2211</v>
      </c>
    </row>
    <row r="353" spans="1:13" ht="16" thickBot="1" x14ac:dyDescent="0.25">
      <c r="A353" s="409" t="s">
        <v>2172</v>
      </c>
      <c r="B353" s="406" t="s">
        <v>3204</v>
      </c>
      <c r="C353" s="406" t="s">
        <v>3207</v>
      </c>
      <c r="D353" s="406" t="s">
        <v>2710</v>
      </c>
      <c r="E353" s="408" t="s">
        <v>3202</v>
      </c>
      <c r="F353" s="406" t="s">
        <v>3208</v>
      </c>
      <c r="G353" s="406" t="s">
        <v>2178</v>
      </c>
      <c r="H353" s="407">
        <v>15306239</v>
      </c>
      <c r="I353" s="406">
        <v>750</v>
      </c>
      <c r="J353" s="405">
        <v>46097</v>
      </c>
      <c r="K353" s="404" t="s">
        <v>2432</v>
      </c>
      <c r="L353" s="403" t="s">
        <v>2211</v>
      </c>
    </row>
    <row r="354" spans="1:13" s="3" customFormat="1" ht="16" hidden="1" thickBot="1" x14ac:dyDescent="0.25">
      <c r="A354" s="409" t="s">
        <v>2172</v>
      </c>
      <c r="B354" s="406" t="s">
        <v>3209</v>
      </c>
      <c r="C354" s="406" t="s">
        <v>3210</v>
      </c>
      <c r="D354" s="406" t="s">
        <v>3211</v>
      </c>
      <c r="E354" s="408" t="s">
        <v>3202</v>
      </c>
      <c r="F354" s="406" t="s">
        <v>3212</v>
      </c>
      <c r="G354" s="406" t="s">
        <v>2178</v>
      </c>
      <c r="H354" s="407">
        <v>9880000</v>
      </c>
      <c r="I354" s="406">
        <v>500</v>
      </c>
      <c r="J354" s="405">
        <v>45978</v>
      </c>
      <c r="K354" s="404" t="s">
        <v>2432</v>
      </c>
      <c r="L354" s="974" t="s">
        <v>2192</v>
      </c>
    </row>
    <row r="355" spans="1:13" ht="16" hidden="1" thickBot="1" x14ac:dyDescent="0.25">
      <c r="A355" s="421" t="s">
        <v>2172</v>
      </c>
      <c r="B355" s="418" t="s">
        <v>3213</v>
      </c>
      <c r="C355" s="418" t="s">
        <v>3214</v>
      </c>
      <c r="D355" s="418" t="s">
        <v>3215</v>
      </c>
      <c r="E355" s="420" t="s">
        <v>3202</v>
      </c>
      <c r="F355" s="418" t="s">
        <v>3216</v>
      </c>
      <c r="G355" s="418" t="s">
        <v>2178</v>
      </c>
      <c r="H355" s="419">
        <v>7680000</v>
      </c>
      <c r="I355" s="418">
        <v>500</v>
      </c>
      <c r="J355" s="417">
        <v>46309</v>
      </c>
      <c r="K355" s="416" t="s">
        <v>2432</v>
      </c>
      <c r="L355" s="1153" t="s">
        <v>2192</v>
      </c>
    </row>
    <row r="356" spans="1:13" s="3" customFormat="1" ht="16" hidden="1" thickBot="1" x14ac:dyDescent="0.25">
      <c r="A356" s="415" t="s">
        <v>2172</v>
      </c>
      <c r="B356" s="412" t="s">
        <v>3213</v>
      </c>
      <c r="C356" s="412" t="s">
        <v>3217</v>
      </c>
      <c r="D356" s="412" t="s">
        <v>3215</v>
      </c>
      <c r="E356" s="414" t="s">
        <v>3202</v>
      </c>
      <c r="F356" s="412" t="s">
        <v>3218</v>
      </c>
      <c r="G356" s="412" t="s">
        <v>2178</v>
      </c>
      <c r="H356" s="413">
        <v>660000</v>
      </c>
      <c r="I356" s="412">
        <v>500</v>
      </c>
      <c r="J356" s="411">
        <v>46309</v>
      </c>
      <c r="K356" s="410" t="s">
        <v>2432</v>
      </c>
      <c r="L356" s="1155"/>
    </row>
    <row r="357" spans="1:13" ht="16" thickBot="1" x14ac:dyDescent="0.25">
      <c r="A357" s="409" t="s">
        <v>2172</v>
      </c>
      <c r="B357" s="406" t="s">
        <v>3219</v>
      </c>
      <c r="C357" s="406" t="s">
        <v>3220</v>
      </c>
      <c r="D357" s="406" t="s">
        <v>3221</v>
      </c>
      <c r="E357" s="408" t="s">
        <v>3202</v>
      </c>
      <c r="F357" s="406" t="s">
        <v>3222</v>
      </c>
      <c r="G357" s="406" t="s">
        <v>2178</v>
      </c>
      <c r="H357" s="407">
        <v>2413369</v>
      </c>
      <c r="I357" s="406">
        <v>250</v>
      </c>
      <c r="J357" s="405">
        <v>46309</v>
      </c>
      <c r="K357" s="404" t="s">
        <v>2432</v>
      </c>
      <c r="L357" s="974" t="s">
        <v>2211</v>
      </c>
    </row>
    <row r="358" spans="1:13" s="3" customFormat="1" ht="16" thickBot="1" x14ac:dyDescent="0.25">
      <c r="A358" s="409" t="s">
        <v>2172</v>
      </c>
      <c r="B358" s="406" t="s">
        <v>3223</v>
      </c>
      <c r="C358" s="406" t="s">
        <v>3224</v>
      </c>
      <c r="D358" s="406" t="s">
        <v>3225</v>
      </c>
      <c r="E358" s="408" t="s">
        <v>3202</v>
      </c>
      <c r="F358" s="406" t="s">
        <v>3226</v>
      </c>
      <c r="G358" s="406" t="s">
        <v>2178</v>
      </c>
      <c r="H358" s="407">
        <v>3962206</v>
      </c>
      <c r="I358" s="406">
        <v>750</v>
      </c>
      <c r="J358" s="405">
        <v>45975</v>
      </c>
      <c r="K358" s="404" t="s">
        <v>2432</v>
      </c>
      <c r="L358" s="403" t="s">
        <v>2211</v>
      </c>
    </row>
    <row r="359" spans="1:13" ht="16" thickBot="1" x14ac:dyDescent="0.25">
      <c r="A359" s="421" t="s">
        <v>2172</v>
      </c>
      <c r="B359" s="418" t="s">
        <v>3227</v>
      </c>
      <c r="C359" s="418" t="s">
        <v>3228</v>
      </c>
      <c r="D359" s="418" t="s">
        <v>3229</v>
      </c>
      <c r="E359" s="420" t="s">
        <v>3202</v>
      </c>
      <c r="F359" s="418" t="s">
        <v>3230</v>
      </c>
      <c r="G359" s="418" t="s">
        <v>2178</v>
      </c>
      <c r="H359" s="419">
        <v>2407960</v>
      </c>
      <c r="I359" s="418">
        <v>750</v>
      </c>
      <c r="J359" s="417">
        <v>46097</v>
      </c>
      <c r="K359" s="416" t="s">
        <v>2432</v>
      </c>
      <c r="L359" s="1153" t="s">
        <v>2211</v>
      </c>
    </row>
    <row r="360" spans="1:13" s="3" customFormat="1" ht="16" hidden="1" thickBot="1" x14ac:dyDescent="0.25">
      <c r="A360" s="415" t="s">
        <v>2172</v>
      </c>
      <c r="B360" s="412" t="s">
        <v>3227</v>
      </c>
      <c r="C360" s="412" t="s">
        <v>3231</v>
      </c>
      <c r="D360" s="412" t="s">
        <v>3229</v>
      </c>
      <c r="E360" s="414" t="s">
        <v>3202</v>
      </c>
      <c r="F360" s="412" t="s">
        <v>3232</v>
      </c>
      <c r="G360" s="412" t="s">
        <v>2178</v>
      </c>
      <c r="H360" s="413">
        <v>2407960</v>
      </c>
      <c r="I360" s="412">
        <v>750</v>
      </c>
      <c r="J360" s="411">
        <v>46097</v>
      </c>
      <c r="K360" s="410" t="s">
        <v>2432</v>
      </c>
      <c r="L360" s="1155"/>
    </row>
    <row r="361" spans="1:13" ht="16" thickBot="1" x14ac:dyDescent="0.25">
      <c r="A361" s="409" t="s">
        <v>2172</v>
      </c>
      <c r="B361" s="406" t="s">
        <v>3233</v>
      </c>
      <c r="C361" s="406" t="s">
        <v>3234</v>
      </c>
      <c r="D361" s="406" t="s">
        <v>3235</v>
      </c>
      <c r="E361" s="408" t="s">
        <v>3202</v>
      </c>
      <c r="F361" s="406" t="s">
        <v>3236</v>
      </c>
      <c r="G361" s="406" t="s">
        <v>2178</v>
      </c>
      <c r="H361" s="407">
        <v>3715000</v>
      </c>
      <c r="I361" s="406">
        <v>750</v>
      </c>
      <c r="J361" s="405">
        <v>46328</v>
      </c>
      <c r="K361" s="404" t="s">
        <v>2432</v>
      </c>
      <c r="L361" s="974" t="s">
        <v>2211</v>
      </c>
      <c r="M361" t="s">
        <v>3237</v>
      </c>
    </row>
    <row r="362" spans="1:13" s="3" customFormat="1" ht="16" thickBot="1" x14ac:dyDescent="0.25">
      <c r="A362" s="409" t="s">
        <v>2172</v>
      </c>
      <c r="B362" s="406" t="s">
        <v>3233</v>
      </c>
      <c r="C362" s="406" t="s">
        <v>3238</v>
      </c>
      <c r="D362" s="406" t="s">
        <v>3239</v>
      </c>
      <c r="E362" s="408" t="s">
        <v>3202</v>
      </c>
      <c r="F362" s="406" t="s">
        <v>3240</v>
      </c>
      <c r="G362" s="406" t="s">
        <v>2178</v>
      </c>
      <c r="H362" s="407">
        <v>3715000</v>
      </c>
      <c r="I362" s="406">
        <v>750</v>
      </c>
      <c r="J362" s="405">
        <v>46328</v>
      </c>
      <c r="K362" s="404" t="s">
        <v>2432</v>
      </c>
      <c r="L362" s="403" t="s">
        <v>2211</v>
      </c>
      <c r="M362" t="s">
        <v>3237</v>
      </c>
    </row>
    <row r="363" spans="1:13" ht="16" thickBot="1" x14ac:dyDescent="0.25">
      <c r="A363" s="409" t="s">
        <v>2172</v>
      </c>
      <c r="B363" s="406" t="s">
        <v>3233</v>
      </c>
      <c r="C363" s="406" t="s">
        <v>3241</v>
      </c>
      <c r="D363" s="406" t="s">
        <v>3242</v>
      </c>
      <c r="E363" s="408" t="s">
        <v>3202</v>
      </c>
      <c r="F363" s="406" t="s">
        <v>3243</v>
      </c>
      <c r="G363" s="406" t="s">
        <v>2178</v>
      </c>
      <c r="H363" s="407">
        <v>3715000</v>
      </c>
      <c r="I363" s="406">
        <v>750</v>
      </c>
      <c r="J363" s="405">
        <v>46328</v>
      </c>
      <c r="K363" s="404" t="s">
        <v>2432</v>
      </c>
      <c r="L363" s="974" t="s">
        <v>2211</v>
      </c>
      <c r="M363" t="s">
        <v>3237</v>
      </c>
    </row>
    <row r="364" spans="1:13" s="3" customFormat="1" ht="16" thickBot="1" x14ac:dyDescent="0.25">
      <c r="A364" s="409" t="s">
        <v>2172</v>
      </c>
      <c r="B364" s="406" t="s">
        <v>3233</v>
      </c>
      <c r="C364" s="406" t="s">
        <v>3244</v>
      </c>
      <c r="D364" s="406" t="s">
        <v>3245</v>
      </c>
      <c r="E364" s="408" t="s">
        <v>3202</v>
      </c>
      <c r="F364" s="406" t="s">
        <v>3246</v>
      </c>
      <c r="G364" s="406" t="s">
        <v>2178</v>
      </c>
      <c r="H364" s="407">
        <v>3318000</v>
      </c>
      <c r="I364" s="406">
        <v>750</v>
      </c>
      <c r="J364" s="405">
        <v>46328</v>
      </c>
      <c r="K364" s="404" t="s">
        <v>2432</v>
      </c>
      <c r="L364" s="403" t="s">
        <v>2211</v>
      </c>
      <c r="M364" t="s">
        <v>3237</v>
      </c>
    </row>
    <row r="365" spans="1:13" ht="16" thickBot="1" x14ac:dyDescent="0.25">
      <c r="A365" s="409" t="s">
        <v>2172</v>
      </c>
      <c r="B365" s="406" t="s">
        <v>3233</v>
      </c>
      <c r="C365" s="406" t="s">
        <v>3247</v>
      </c>
      <c r="D365" s="406" t="s">
        <v>3248</v>
      </c>
      <c r="E365" s="408" t="s">
        <v>3202</v>
      </c>
      <c r="F365" s="406" t="s">
        <v>3249</v>
      </c>
      <c r="G365" s="406" t="s">
        <v>2178</v>
      </c>
      <c r="H365" s="407">
        <v>3318000</v>
      </c>
      <c r="I365" s="406">
        <v>750</v>
      </c>
      <c r="J365" s="405">
        <v>46328</v>
      </c>
      <c r="K365" s="404" t="s">
        <v>2432</v>
      </c>
      <c r="L365" s="974" t="s">
        <v>2211</v>
      </c>
      <c r="M365" t="s">
        <v>3237</v>
      </c>
    </row>
    <row r="366" spans="1:13" s="3" customFormat="1" ht="16" thickBot="1" x14ac:dyDescent="0.25">
      <c r="A366" s="409" t="s">
        <v>2172</v>
      </c>
      <c r="B366" s="406" t="s">
        <v>3250</v>
      </c>
      <c r="C366" s="406" t="s">
        <v>3251</v>
      </c>
      <c r="D366" s="406" t="s">
        <v>3252</v>
      </c>
      <c r="E366" s="408" t="s">
        <v>3202</v>
      </c>
      <c r="F366" s="406" t="s">
        <v>3253</v>
      </c>
      <c r="G366" s="406" t="s">
        <v>2178</v>
      </c>
      <c r="H366" s="407">
        <v>3306650</v>
      </c>
      <c r="I366" s="406">
        <v>750</v>
      </c>
      <c r="J366" s="405">
        <v>45975</v>
      </c>
      <c r="K366" s="404" t="s">
        <v>2432</v>
      </c>
      <c r="L366" s="403" t="s">
        <v>2211</v>
      </c>
      <c r="M366"/>
    </row>
    <row r="367" spans="1:13" ht="16" thickBot="1" x14ac:dyDescent="0.25">
      <c r="A367" s="409" t="s">
        <v>2172</v>
      </c>
      <c r="B367" s="406" t="s">
        <v>3254</v>
      </c>
      <c r="C367" s="406" t="s">
        <v>3255</v>
      </c>
      <c r="D367" s="406" t="s">
        <v>3256</v>
      </c>
      <c r="E367" s="408" t="s">
        <v>3202</v>
      </c>
      <c r="F367" s="406" t="s">
        <v>3257</v>
      </c>
      <c r="G367" s="406" t="s">
        <v>2178</v>
      </c>
      <c r="H367" s="407">
        <v>6569583</v>
      </c>
      <c r="I367" s="406">
        <v>500</v>
      </c>
      <c r="J367" s="405">
        <v>46944</v>
      </c>
      <c r="K367" s="404" t="s">
        <v>2432</v>
      </c>
      <c r="L367" s="974" t="s">
        <v>2211</v>
      </c>
      <c r="M367" t="s">
        <v>3258</v>
      </c>
    </row>
    <row r="368" spans="1:13" s="3" customFormat="1" ht="16" thickBot="1" x14ac:dyDescent="0.25">
      <c r="A368" s="421" t="s">
        <v>2172</v>
      </c>
      <c r="B368" s="418" t="s">
        <v>3259</v>
      </c>
      <c r="C368" s="418" t="s">
        <v>3260</v>
      </c>
      <c r="D368" s="418" t="s">
        <v>3261</v>
      </c>
      <c r="E368" s="420" t="s">
        <v>3202</v>
      </c>
      <c r="F368" s="418" t="s">
        <v>3262</v>
      </c>
      <c r="G368" s="418" t="s">
        <v>2178</v>
      </c>
      <c r="H368" s="419">
        <v>3318000</v>
      </c>
      <c r="I368" s="418">
        <v>750</v>
      </c>
      <c r="J368" s="417">
        <v>46308</v>
      </c>
      <c r="K368" s="416" t="s">
        <v>2432</v>
      </c>
      <c r="L368" s="1153" t="s">
        <v>3263</v>
      </c>
    </row>
    <row r="369" spans="1:13" ht="16" hidden="1" thickBot="1" x14ac:dyDescent="0.25">
      <c r="A369" s="427" t="s">
        <v>2172</v>
      </c>
      <c r="B369" s="424" t="s">
        <v>3259</v>
      </c>
      <c r="C369" s="424" t="s">
        <v>3264</v>
      </c>
      <c r="D369" s="424" t="s">
        <v>3261</v>
      </c>
      <c r="E369" s="426" t="s">
        <v>3202</v>
      </c>
      <c r="F369" s="424" t="s">
        <v>3265</v>
      </c>
      <c r="G369" s="424" t="s">
        <v>2178</v>
      </c>
      <c r="H369" s="425">
        <v>3318000</v>
      </c>
      <c r="I369" s="424">
        <v>750</v>
      </c>
      <c r="J369" s="423">
        <v>46443</v>
      </c>
      <c r="K369" s="422" t="s">
        <v>2432</v>
      </c>
      <c r="L369" s="1154"/>
    </row>
    <row r="370" spans="1:13" s="3" customFormat="1" ht="16" hidden="1" thickBot="1" x14ac:dyDescent="0.25">
      <c r="A370" s="427" t="s">
        <v>2172</v>
      </c>
      <c r="B370" s="424" t="s">
        <v>3259</v>
      </c>
      <c r="C370" s="424" t="s">
        <v>3266</v>
      </c>
      <c r="D370" s="424" t="s">
        <v>3261</v>
      </c>
      <c r="E370" s="426" t="s">
        <v>3202</v>
      </c>
      <c r="F370" s="424" t="s">
        <v>3267</v>
      </c>
      <c r="G370" s="424" t="s">
        <v>2178</v>
      </c>
      <c r="H370" s="425">
        <v>350000</v>
      </c>
      <c r="I370" s="424">
        <v>750</v>
      </c>
      <c r="J370" s="423">
        <v>46308</v>
      </c>
      <c r="K370" s="422" t="s">
        <v>2432</v>
      </c>
      <c r="L370" s="1154"/>
    </row>
    <row r="371" spans="1:13" ht="16" hidden="1" thickBot="1" x14ac:dyDescent="0.25">
      <c r="A371" s="415" t="s">
        <v>2172</v>
      </c>
      <c r="B371" s="412" t="s">
        <v>3259</v>
      </c>
      <c r="C371" s="412" t="s">
        <v>3268</v>
      </c>
      <c r="D371" s="412" t="s">
        <v>3261</v>
      </c>
      <c r="E371" s="414" t="s">
        <v>3202</v>
      </c>
      <c r="F371" s="412" t="s">
        <v>3269</v>
      </c>
      <c r="G371" s="412" t="s">
        <v>2178</v>
      </c>
      <c r="H371" s="413">
        <v>350000</v>
      </c>
      <c r="I371" s="412">
        <v>750</v>
      </c>
      <c r="J371" s="411">
        <v>46443</v>
      </c>
      <c r="K371" s="410" t="s">
        <v>2432</v>
      </c>
      <c r="L371" s="1155"/>
    </row>
    <row r="372" spans="1:13" s="3" customFormat="1" ht="16" thickBot="1" x14ac:dyDescent="0.25">
      <c r="A372" s="409" t="s">
        <v>2172</v>
      </c>
      <c r="B372" s="406" t="s">
        <v>3223</v>
      </c>
      <c r="C372" s="406" t="s">
        <v>3270</v>
      </c>
      <c r="D372" s="406" t="s">
        <v>3271</v>
      </c>
      <c r="E372" s="408" t="s">
        <v>3202</v>
      </c>
      <c r="F372" s="406" t="s">
        <v>3272</v>
      </c>
      <c r="G372" s="406" t="s">
        <v>2178</v>
      </c>
      <c r="H372" s="407">
        <v>3962206</v>
      </c>
      <c r="I372" s="406">
        <v>750</v>
      </c>
      <c r="J372" s="405">
        <v>45975</v>
      </c>
      <c r="K372" s="404" t="s">
        <v>2432</v>
      </c>
      <c r="L372" s="974" t="s">
        <v>2211</v>
      </c>
    </row>
    <row r="373" spans="1:13" ht="16" hidden="1" thickBot="1" x14ac:dyDescent="0.25">
      <c r="A373" s="409" t="s">
        <v>2172</v>
      </c>
      <c r="B373" s="406" t="s">
        <v>3273</v>
      </c>
      <c r="C373" s="406" t="s">
        <v>3274</v>
      </c>
      <c r="D373" s="406" t="s">
        <v>3275</v>
      </c>
      <c r="E373" s="408" t="s">
        <v>3202</v>
      </c>
      <c r="F373" s="406" t="s">
        <v>3276</v>
      </c>
      <c r="G373" s="406" t="s">
        <v>2178</v>
      </c>
      <c r="H373" s="407">
        <v>773330</v>
      </c>
      <c r="I373" s="406">
        <v>60</v>
      </c>
      <c r="J373" s="405">
        <v>45162</v>
      </c>
      <c r="K373" s="404" t="s">
        <v>2432</v>
      </c>
      <c r="L373" s="403" t="s">
        <v>2192</v>
      </c>
    </row>
    <row r="374" spans="1:13" s="3" customFormat="1" hidden="1" x14ac:dyDescent="0.2">
      <c r="A374" s="421" t="s">
        <v>2172</v>
      </c>
      <c r="B374" s="418" t="s">
        <v>3273</v>
      </c>
      <c r="C374" s="418" t="s">
        <v>3277</v>
      </c>
      <c r="D374" s="418" t="s">
        <v>3278</v>
      </c>
      <c r="E374" s="420" t="s">
        <v>3202</v>
      </c>
      <c r="F374" s="418" t="s">
        <v>3279</v>
      </c>
      <c r="G374" s="418" t="s">
        <v>2178</v>
      </c>
      <c r="H374" s="419">
        <v>1605568</v>
      </c>
      <c r="I374" s="418">
        <v>100</v>
      </c>
      <c r="J374" s="417">
        <v>45091</v>
      </c>
      <c r="K374" s="416" t="s">
        <v>2432</v>
      </c>
      <c r="L374" s="1154" t="s">
        <v>2192</v>
      </c>
    </row>
    <row r="375" spans="1:13" ht="16" hidden="1" thickBot="1" x14ac:dyDescent="0.25">
      <c r="A375" s="415" t="s">
        <v>2172</v>
      </c>
      <c r="B375" s="412" t="s">
        <v>3273</v>
      </c>
      <c r="C375" s="412" t="s">
        <v>3280</v>
      </c>
      <c r="D375" s="412" t="s">
        <v>3278</v>
      </c>
      <c r="E375" s="414" t="s">
        <v>3202</v>
      </c>
      <c r="F375" s="412" t="s">
        <v>3281</v>
      </c>
      <c r="G375" s="412" t="s">
        <v>2178</v>
      </c>
      <c r="H375" s="413">
        <v>1068943</v>
      </c>
      <c r="I375" s="412">
        <v>100</v>
      </c>
      <c r="J375" s="411">
        <v>45152</v>
      </c>
      <c r="K375" s="410" t="s">
        <v>2432</v>
      </c>
      <c r="L375" s="1154"/>
    </row>
    <row r="376" spans="1:13" s="3" customFormat="1" ht="16" hidden="1" thickBot="1" x14ac:dyDescent="0.25">
      <c r="A376" s="409" t="s">
        <v>2172</v>
      </c>
      <c r="B376" s="406" t="s">
        <v>3282</v>
      </c>
      <c r="C376" s="406" t="s">
        <v>3283</v>
      </c>
      <c r="D376" s="406" t="s">
        <v>3284</v>
      </c>
      <c r="E376" s="408" t="s">
        <v>3202</v>
      </c>
      <c r="F376" s="406" t="s">
        <v>3285</v>
      </c>
      <c r="G376" s="406" t="s">
        <v>2178</v>
      </c>
      <c r="H376" s="407">
        <v>683109</v>
      </c>
      <c r="I376" s="406">
        <v>80</v>
      </c>
      <c r="J376" s="405">
        <v>46100</v>
      </c>
      <c r="K376" s="404" t="s">
        <v>2432</v>
      </c>
      <c r="L376" s="403" t="s">
        <v>2192</v>
      </c>
    </row>
    <row r="377" spans="1:13" ht="16" hidden="1" thickBot="1" x14ac:dyDescent="0.25">
      <c r="A377" s="409" t="s">
        <v>2172</v>
      </c>
      <c r="B377" s="406" t="s">
        <v>3282</v>
      </c>
      <c r="C377" s="406" t="s">
        <v>3286</v>
      </c>
      <c r="D377" s="406" t="s">
        <v>3287</v>
      </c>
      <c r="E377" s="408" t="s">
        <v>3202</v>
      </c>
      <c r="F377" s="406" t="s">
        <v>3288</v>
      </c>
      <c r="G377" s="406" t="s">
        <v>2178</v>
      </c>
      <c r="H377" s="407">
        <v>800214</v>
      </c>
      <c r="I377" s="406">
        <v>120</v>
      </c>
      <c r="J377" s="405">
        <v>46244</v>
      </c>
      <c r="K377" s="404" t="s">
        <v>2432</v>
      </c>
      <c r="L377" s="974" t="s">
        <v>2696</v>
      </c>
    </row>
    <row r="378" spans="1:13" ht="16" hidden="1" thickBot="1" x14ac:dyDescent="0.25">
      <c r="A378" s="409" t="s">
        <v>2172</v>
      </c>
      <c r="B378" s="406" t="s">
        <v>3282</v>
      </c>
      <c r="C378" s="406" t="s">
        <v>3289</v>
      </c>
      <c r="D378" s="406" t="s">
        <v>3290</v>
      </c>
      <c r="E378" s="408" t="s">
        <v>3202</v>
      </c>
      <c r="F378" s="406" t="s">
        <v>3291</v>
      </c>
      <c r="G378" s="406" t="s">
        <v>2178</v>
      </c>
      <c r="H378" s="407">
        <v>495248</v>
      </c>
      <c r="I378" s="406">
        <v>60</v>
      </c>
      <c r="J378" s="405">
        <v>46258</v>
      </c>
      <c r="K378" s="404" t="s">
        <v>2432</v>
      </c>
      <c r="L378" s="403" t="s">
        <v>2696</v>
      </c>
      <c r="M378" t="s">
        <v>3292</v>
      </c>
    </row>
    <row r="379" spans="1:13" s="3" customFormat="1" ht="16" hidden="1" thickBot="1" x14ac:dyDescent="0.25">
      <c r="A379" s="409" t="s">
        <v>2172</v>
      </c>
      <c r="B379" s="406" t="s">
        <v>3282</v>
      </c>
      <c r="C379" s="406" t="s">
        <v>3293</v>
      </c>
      <c r="D379" s="406" t="s">
        <v>3294</v>
      </c>
      <c r="E379" s="408" t="s">
        <v>3202</v>
      </c>
      <c r="F379" s="406" t="s">
        <v>3295</v>
      </c>
      <c r="G379" s="406" t="s">
        <v>2178</v>
      </c>
      <c r="H379" s="407">
        <v>338039</v>
      </c>
      <c r="I379" s="406">
        <v>80</v>
      </c>
      <c r="J379" s="405">
        <v>46507</v>
      </c>
      <c r="K379" s="404" t="s">
        <v>2432</v>
      </c>
      <c r="L379" s="974" t="s">
        <v>2192</v>
      </c>
    </row>
    <row r="380" spans="1:13" ht="16" hidden="1" thickBot="1" x14ac:dyDescent="0.25">
      <c r="A380" s="409" t="s">
        <v>2172</v>
      </c>
      <c r="B380" s="406" t="s">
        <v>3282</v>
      </c>
      <c r="C380" s="406" t="s">
        <v>3296</v>
      </c>
      <c r="D380" s="406" t="s">
        <v>3297</v>
      </c>
      <c r="E380" s="408" t="s">
        <v>3202</v>
      </c>
      <c r="F380" s="406" t="s">
        <v>3298</v>
      </c>
      <c r="G380" s="406" t="s">
        <v>2178</v>
      </c>
      <c r="H380" s="407">
        <v>280325</v>
      </c>
      <c r="I380" s="406">
        <v>120</v>
      </c>
      <c r="J380" s="405">
        <v>46652</v>
      </c>
      <c r="K380" s="404" t="s">
        <v>2432</v>
      </c>
      <c r="L380" s="974" t="s">
        <v>2192</v>
      </c>
    </row>
    <row r="381" spans="1:13" s="3" customFormat="1" ht="16" hidden="1" thickBot="1" x14ac:dyDescent="0.25">
      <c r="A381" s="409" t="s">
        <v>2172</v>
      </c>
      <c r="B381" s="406" t="s">
        <v>3254</v>
      </c>
      <c r="C381" s="406" t="s">
        <v>3299</v>
      </c>
      <c r="D381" s="406" t="s">
        <v>3300</v>
      </c>
      <c r="E381" s="408" t="s">
        <v>3202</v>
      </c>
      <c r="F381" s="406" t="s">
        <v>3301</v>
      </c>
      <c r="G381" s="406" t="s">
        <v>2178</v>
      </c>
      <c r="H381" s="407">
        <v>2650000</v>
      </c>
      <c r="I381" s="406">
        <v>250</v>
      </c>
      <c r="J381" s="405">
        <v>46972</v>
      </c>
      <c r="K381" s="404" t="s">
        <v>2432</v>
      </c>
      <c r="L381" s="974" t="s">
        <v>2192</v>
      </c>
    </row>
    <row r="382" spans="1:13" hidden="1" x14ac:dyDescent="0.2">
      <c r="A382" s="421" t="s">
        <v>2172</v>
      </c>
      <c r="B382" s="418" t="s">
        <v>3302</v>
      </c>
      <c r="C382" s="418" t="s">
        <v>3303</v>
      </c>
      <c r="D382" s="418" t="s">
        <v>3304</v>
      </c>
      <c r="E382" s="420" t="s">
        <v>3202</v>
      </c>
      <c r="F382" s="418" t="s">
        <v>3305</v>
      </c>
      <c r="G382" s="418" t="s">
        <v>2178</v>
      </c>
      <c r="H382" s="419">
        <v>1552500</v>
      </c>
      <c r="I382" s="418">
        <v>520</v>
      </c>
      <c r="J382" s="417">
        <v>45757</v>
      </c>
      <c r="K382" s="416" t="s">
        <v>2432</v>
      </c>
      <c r="L382" s="974" t="s">
        <v>2696</v>
      </c>
    </row>
    <row r="383" spans="1:13" s="3" customFormat="1" ht="16" thickBot="1" x14ac:dyDescent="0.25">
      <c r="A383" s="415" t="s">
        <v>2172</v>
      </c>
      <c r="B383" s="412" t="s">
        <v>3199</v>
      </c>
      <c r="C383" s="412" t="s">
        <v>3306</v>
      </c>
      <c r="D383" s="412" t="s">
        <v>3304</v>
      </c>
      <c r="E383" s="414" t="s">
        <v>3202</v>
      </c>
      <c r="F383" s="412" t="s">
        <v>3307</v>
      </c>
      <c r="G383" s="412" t="s">
        <v>2178</v>
      </c>
      <c r="H383" s="413">
        <v>748464</v>
      </c>
      <c r="I383" s="412">
        <v>750</v>
      </c>
      <c r="J383" s="411">
        <v>46283</v>
      </c>
      <c r="K383" s="410" t="s">
        <v>2432</v>
      </c>
      <c r="L383" s="974" t="s">
        <v>2211</v>
      </c>
    </row>
    <row r="384" spans="1:13" ht="16" thickBot="1" x14ac:dyDescent="0.25">
      <c r="A384" s="409" t="s">
        <v>2172</v>
      </c>
      <c r="B384" s="406" t="s">
        <v>3308</v>
      </c>
      <c r="C384" s="406" t="s">
        <v>3309</v>
      </c>
      <c r="D384" s="406" t="s">
        <v>3310</v>
      </c>
      <c r="E384" s="408" t="s">
        <v>3202</v>
      </c>
      <c r="F384" s="406" t="s">
        <v>3311</v>
      </c>
      <c r="G384" s="406" t="s">
        <v>2178</v>
      </c>
      <c r="H384" s="407">
        <v>867900</v>
      </c>
      <c r="I384" s="406">
        <v>250</v>
      </c>
      <c r="J384" s="405">
        <v>46309</v>
      </c>
      <c r="K384" s="404" t="s">
        <v>2432</v>
      </c>
      <c r="L384" s="974" t="s">
        <v>2211</v>
      </c>
    </row>
    <row r="385" spans="1:13" s="3" customFormat="1" ht="16" hidden="1" thickBot="1" x14ac:dyDescent="0.25">
      <c r="A385" s="409" t="s">
        <v>2172</v>
      </c>
      <c r="B385" s="406" t="s">
        <v>3250</v>
      </c>
      <c r="C385" s="406" t="s">
        <v>3312</v>
      </c>
      <c r="D385" s="406" t="s">
        <v>3313</v>
      </c>
      <c r="E385" s="408" t="s">
        <v>3202</v>
      </c>
      <c r="F385" s="406" t="s">
        <v>3314</v>
      </c>
      <c r="G385" s="406" t="s">
        <v>2178</v>
      </c>
      <c r="H385" s="407">
        <v>3306650</v>
      </c>
      <c r="I385" s="406">
        <v>750</v>
      </c>
      <c r="J385" s="405">
        <v>45975</v>
      </c>
      <c r="K385" s="404" t="s">
        <v>2432</v>
      </c>
      <c r="L385" s="403" t="s">
        <v>2192</v>
      </c>
    </row>
    <row r="386" spans="1:13" ht="16" hidden="1" thickBot="1" x14ac:dyDescent="0.25">
      <c r="A386" s="409" t="s">
        <v>2172</v>
      </c>
      <c r="B386" s="406" t="s">
        <v>3315</v>
      </c>
      <c r="C386" s="406" t="s">
        <v>3316</v>
      </c>
      <c r="D386" s="406" t="s">
        <v>3317</v>
      </c>
      <c r="E386" s="408" t="s">
        <v>3202</v>
      </c>
      <c r="F386" s="406" t="s">
        <v>3318</v>
      </c>
      <c r="G386" s="406" t="s">
        <v>2178</v>
      </c>
      <c r="H386" s="407">
        <v>880848</v>
      </c>
      <c r="I386" s="406">
        <v>250</v>
      </c>
      <c r="J386" s="405">
        <v>45525</v>
      </c>
      <c r="K386" s="404" t="s">
        <v>2432</v>
      </c>
      <c r="L386" s="974" t="s">
        <v>2192</v>
      </c>
    </row>
    <row r="387" spans="1:13" s="3" customFormat="1" ht="16" thickBot="1" x14ac:dyDescent="0.25">
      <c r="A387" s="409" t="s">
        <v>2172</v>
      </c>
      <c r="B387" s="406" t="s">
        <v>3273</v>
      </c>
      <c r="C387" s="406" t="s">
        <v>3319</v>
      </c>
      <c r="D387" s="406" t="s">
        <v>3320</v>
      </c>
      <c r="E387" s="408" t="s">
        <v>3202</v>
      </c>
      <c r="F387" s="406" t="s">
        <v>3321</v>
      </c>
      <c r="G387" s="406" t="s">
        <v>2178</v>
      </c>
      <c r="H387" s="407">
        <v>450000</v>
      </c>
      <c r="I387" s="406">
        <v>60</v>
      </c>
      <c r="J387" s="405">
        <v>45120</v>
      </c>
      <c r="K387" s="404" t="s">
        <v>2432</v>
      </c>
      <c r="L387" s="403" t="s">
        <v>2211</v>
      </c>
      <c r="M387" s="3" t="s">
        <v>3322</v>
      </c>
    </row>
    <row r="388" spans="1:13" ht="16" hidden="1" thickBot="1" x14ac:dyDescent="0.25">
      <c r="A388" s="402" t="s">
        <v>2180</v>
      </c>
      <c r="B388" s="399" t="s">
        <v>3323</v>
      </c>
      <c r="C388" s="399" t="s">
        <v>3324</v>
      </c>
      <c r="D388" s="399" t="s">
        <v>3325</v>
      </c>
      <c r="E388" s="401" t="s">
        <v>3326</v>
      </c>
      <c r="F388" s="399" t="s">
        <v>3327</v>
      </c>
      <c r="G388" s="399" t="s">
        <v>2178</v>
      </c>
      <c r="H388" s="400">
        <v>1500000</v>
      </c>
      <c r="I388" s="399">
        <v>293</v>
      </c>
      <c r="J388" s="399" t="s">
        <v>3328</v>
      </c>
      <c r="K388" s="398" t="s">
        <v>2185</v>
      </c>
      <c r="L388" s="397"/>
    </row>
    <row r="389" spans="1:13" s="3" customFormat="1" ht="16" thickBot="1" x14ac:dyDescent="0.25">
      <c r="A389" s="384" t="s">
        <v>2172</v>
      </c>
      <c r="B389" s="381" t="s">
        <v>3329</v>
      </c>
      <c r="C389" s="381" t="s">
        <v>3330</v>
      </c>
      <c r="D389" s="381" t="s">
        <v>3331</v>
      </c>
      <c r="E389" s="383" t="s">
        <v>3332</v>
      </c>
      <c r="F389" s="381" t="s">
        <v>3333</v>
      </c>
      <c r="G389" s="381" t="s">
        <v>2178</v>
      </c>
      <c r="H389" s="382">
        <v>1000000</v>
      </c>
      <c r="I389" s="381">
        <v>125</v>
      </c>
      <c r="J389" s="380">
        <v>45140</v>
      </c>
      <c r="K389" s="379" t="s">
        <v>2665</v>
      </c>
      <c r="L389" s="1139" t="s">
        <v>3263</v>
      </c>
    </row>
    <row r="390" spans="1:13" ht="16" hidden="1" thickBot="1" x14ac:dyDescent="0.25">
      <c r="A390" s="396" t="s">
        <v>2172</v>
      </c>
      <c r="B390" s="393" t="s">
        <v>3329</v>
      </c>
      <c r="C390" s="393" t="s">
        <v>3334</v>
      </c>
      <c r="D390" s="393" t="s">
        <v>3331</v>
      </c>
      <c r="E390" s="395" t="s">
        <v>3332</v>
      </c>
      <c r="F390" s="393" t="s">
        <v>3335</v>
      </c>
      <c r="G390" s="393" t="s">
        <v>2178</v>
      </c>
      <c r="H390" s="394">
        <v>1500000</v>
      </c>
      <c r="I390" s="393">
        <v>170</v>
      </c>
      <c r="J390" s="392">
        <v>45328</v>
      </c>
      <c r="K390" s="391" t="s">
        <v>2665</v>
      </c>
      <c r="L390" s="1139"/>
    </row>
    <row r="391" spans="1:13" s="3" customFormat="1" ht="16" hidden="1" thickBot="1" x14ac:dyDescent="0.25">
      <c r="A391" s="396" t="s">
        <v>2172</v>
      </c>
      <c r="B391" s="393" t="s">
        <v>3329</v>
      </c>
      <c r="C391" s="393" t="s">
        <v>3336</v>
      </c>
      <c r="D391" s="393" t="s">
        <v>3331</v>
      </c>
      <c r="E391" s="395" t="s">
        <v>3332</v>
      </c>
      <c r="F391" s="393" t="s">
        <v>3337</v>
      </c>
      <c r="G391" s="393" t="s">
        <v>2178</v>
      </c>
      <c r="H391" s="394">
        <v>700000</v>
      </c>
      <c r="I391" s="393">
        <v>170</v>
      </c>
      <c r="J391" s="392">
        <v>45573</v>
      </c>
      <c r="K391" s="391" t="s">
        <v>2665</v>
      </c>
      <c r="L391" s="1139"/>
    </row>
    <row r="392" spans="1:13" ht="16" hidden="1" thickBot="1" x14ac:dyDescent="0.25">
      <c r="A392" s="396" t="s">
        <v>2172</v>
      </c>
      <c r="B392" s="393" t="s">
        <v>3329</v>
      </c>
      <c r="C392" s="393" t="s">
        <v>3338</v>
      </c>
      <c r="D392" s="393" t="s">
        <v>3331</v>
      </c>
      <c r="E392" s="395" t="s">
        <v>3332</v>
      </c>
      <c r="F392" s="393" t="s">
        <v>3339</v>
      </c>
      <c r="G392" s="393" t="s">
        <v>2178</v>
      </c>
      <c r="H392" s="394">
        <v>6000000</v>
      </c>
      <c r="I392" s="393">
        <v>250</v>
      </c>
      <c r="J392" s="392">
        <v>45825</v>
      </c>
      <c r="K392" s="391" t="s">
        <v>2665</v>
      </c>
      <c r="L392" s="1139"/>
    </row>
    <row r="393" spans="1:13" s="3" customFormat="1" ht="16" hidden="1" thickBot="1" x14ac:dyDescent="0.25">
      <c r="A393" s="378" t="s">
        <v>2172</v>
      </c>
      <c r="B393" s="375" t="s">
        <v>3329</v>
      </c>
      <c r="C393" s="375" t="s">
        <v>3340</v>
      </c>
      <c r="D393" s="375" t="s">
        <v>3331</v>
      </c>
      <c r="E393" s="377" t="s">
        <v>3332</v>
      </c>
      <c r="F393" s="375" t="s">
        <v>3341</v>
      </c>
      <c r="G393" s="375" t="s">
        <v>2178</v>
      </c>
      <c r="H393" s="376">
        <v>1000000</v>
      </c>
      <c r="I393" s="375">
        <v>250</v>
      </c>
      <c r="J393" s="374">
        <v>45244</v>
      </c>
      <c r="K393" s="373" t="s">
        <v>2665</v>
      </c>
      <c r="L393" s="1139"/>
    </row>
    <row r="394" spans="1:13" ht="16" hidden="1" thickBot="1" x14ac:dyDescent="0.25">
      <c r="A394" s="390" t="s">
        <v>2172</v>
      </c>
      <c r="B394" s="387" t="s">
        <v>3342</v>
      </c>
      <c r="C394" s="387" t="s">
        <v>3343</v>
      </c>
      <c r="D394" s="387" t="s">
        <v>2748</v>
      </c>
      <c r="E394" s="389" t="s">
        <v>3332</v>
      </c>
      <c r="F394" s="387" t="s">
        <v>3344</v>
      </c>
      <c r="G394" s="387" t="s">
        <v>2178</v>
      </c>
      <c r="H394" s="388">
        <v>13200000</v>
      </c>
      <c r="I394" s="387">
        <v>500</v>
      </c>
      <c r="J394" s="386">
        <v>46744</v>
      </c>
      <c r="K394" s="385" t="s">
        <v>2665</v>
      </c>
      <c r="L394" s="972" t="s">
        <v>2696</v>
      </c>
      <c r="M394" t="s">
        <v>3292</v>
      </c>
    </row>
    <row r="395" spans="1:13" ht="16" hidden="1" thickBot="1" x14ac:dyDescent="0.25">
      <c r="A395" s="390" t="s">
        <v>2172</v>
      </c>
      <c r="B395" s="387" t="s">
        <v>3345</v>
      </c>
      <c r="C395" s="387" t="s">
        <v>3346</v>
      </c>
      <c r="D395" s="387" t="s">
        <v>3347</v>
      </c>
      <c r="E395" s="389" t="s">
        <v>3332</v>
      </c>
      <c r="F395" s="387" t="s">
        <v>3348</v>
      </c>
      <c r="G395" s="387" t="s">
        <v>2178</v>
      </c>
      <c r="H395" s="388">
        <v>600000</v>
      </c>
      <c r="I395" s="387">
        <v>200</v>
      </c>
      <c r="J395" s="386">
        <v>46308</v>
      </c>
      <c r="K395" s="385" t="s">
        <v>2665</v>
      </c>
      <c r="L395" s="972" t="s">
        <v>2192</v>
      </c>
    </row>
    <row r="396" spans="1:13" s="3" customFormat="1" ht="16" hidden="1" thickBot="1" x14ac:dyDescent="0.25">
      <c r="A396" s="390" t="s">
        <v>2172</v>
      </c>
      <c r="B396" s="387" t="s">
        <v>3345</v>
      </c>
      <c r="C396" s="387" t="s">
        <v>3349</v>
      </c>
      <c r="D396" s="387" t="s">
        <v>3350</v>
      </c>
      <c r="E396" s="389" t="s">
        <v>3332</v>
      </c>
      <c r="F396" s="387" t="s">
        <v>3351</v>
      </c>
      <c r="G396" s="387" t="s">
        <v>2178</v>
      </c>
      <c r="H396" s="388">
        <v>322500</v>
      </c>
      <c r="I396" s="387">
        <v>200</v>
      </c>
      <c r="J396" s="386">
        <v>46308</v>
      </c>
      <c r="K396" s="385" t="s">
        <v>2665</v>
      </c>
      <c r="L396" s="972" t="s">
        <v>2192</v>
      </c>
    </row>
    <row r="397" spans="1:13" ht="16" hidden="1" thickBot="1" x14ac:dyDescent="0.25">
      <c r="A397" s="390" t="s">
        <v>2172</v>
      </c>
      <c r="B397" s="387" t="s">
        <v>3345</v>
      </c>
      <c r="C397" s="387" t="s">
        <v>3352</v>
      </c>
      <c r="D397" s="387" t="s">
        <v>2209</v>
      </c>
      <c r="E397" s="389" t="s">
        <v>3332</v>
      </c>
      <c r="F397" s="387" t="s">
        <v>3353</v>
      </c>
      <c r="G397" s="387" t="s">
        <v>2178</v>
      </c>
      <c r="H397" s="388">
        <v>322500</v>
      </c>
      <c r="I397" s="387">
        <v>200</v>
      </c>
      <c r="J397" s="386">
        <v>46308</v>
      </c>
      <c r="K397" s="385" t="s">
        <v>2665</v>
      </c>
      <c r="L397" s="972" t="s">
        <v>2192</v>
      </c>
    </row>
    <row r="398" spans="1:13" s="3" customFormat="1" ht="16" hidden="1" thickBot="1" x14ac:dyDescent="0.25">
      <c r="A398" s="390" t="s">
        <v>2172</v>
      </c>
      <c r="B398" s="387" t="s">
        <v>3342</v>
      </c>
      <c r="C398" s="387" t="s">
        <v>3354</v>
      </c>
      <c r="D398" s="387" t="s">
        <v>3355</v>
      </c>
      <c r="E398" s="389" t="s">
        <v>3332</v>
      </c>
      <c r="F398" s="387" t="s">
        <v>3356</v>
      </c>
      <c r="G398" s="387" t="s">
        <v>2178</v>
      </c>
      <c r="H398" s="388">
        <v>2200000</v>
      </c>
      <c r="I398" s="387">
        <v>500</v>
      </c>
      <c r="J398" s="386">
        <v>46841</v>
      </c>
      <c r="K398" s="385" t="s">
        <v>2665</v>
      </c>
      <c r="L398" s="972" t="s">
        <v>2192</v>
      </c>
    </row>
    <row r="399" spans="1:13" ht="16" hidden="1" thickBot="1" x14ac:dyDescent="0.25">
      <c r="A399" s="390" t="s">
        <v>2172</v>
      </c>
      <c r="B399" s="387" t="s">
        <v>3342</v>
      </c>
      <c r="C399" s="387" t="s">
        <v>3357</v>
      </c>
      <c r="D399" s="387" t="s">
        <v>3358</v>
      </c>
      <c r="E399" s="389" t="s">
        <v>3332</v>
      </c>
      <c r="F399" s="387" t="s">
        <v>3359</v>
      </c>
      <c r="G399" s="387" t="s">
        <v>2178</v>
      </c>
      <c r="H399" s="388">
        <v>1760000</v>
      </c>
      <c r="I399" s="387">
        <v>500</v>
      </c>
      <c r="J399" s="386">
        <v>46841</v>
      </c>
      <c r="K399" s="385" t="s">
        <v>2665</v>
      </c>
      <c r="L399" s="972" t="s">
        <v>2192</v>
      </c>
    </row>
    <row r="400" spans="1:13" s="3" customFormat="1" ht="16" thickBot="1" x14ac:dyDescent="0.25">
      <c r="A400" s="384" t="s">
        <v>2172</v>
      </c>
      <c r="B400" s="381" t="s">
        <v>3360</v>
      </c>
      <c r="C400" s="381" t="s">
        <v>3361</v>
      </c>
      <c r="D400" s="381" t="s">
        <v>3362</v>
      </c>
      <c r="E400" s="383" t="s">
        <v>3332</v>
      </c>
      <c r="F400" s="381" t="s">
        <v>3363</v>
      </c>
      <c r="G400" s="381" t="s">
        <v>2178</v>
      </c>
      <c r="H400" s="382">
        <v>956580</v>
      </c>
      <c r="I400" s="381">
        <v>222</v>
      </c>
      <c r="J400" s="380">
        <v>46741</v>
      </c>
      <c r="K400" s="379" t="s">
        <v>2665</v>
      </c>
      <c r="L400" s="1139" t="s">
        <v>2211</v>
      </c>
    </row>
    <row r="401" spans="1:13" ht="16" hidden="1" thickBot="1" x14ac:dyDescent="0.25">
      <c r="A401" s="378" t="s">
        <v>2172</v>
      </c>
      <c r="B401" s="375" t="s">
        <v>3360</v>
      </c>
      <c r="C401" s="375" t="s">
        <v>3364</v>
      </c>
      <c r="D401" s="375" t="s">
        <v>3362</v>
      </c>
      <c r="E401" s="377" t="s">
        <v>3332</v>
      </c>
      <c r="F401" s="375" t="s">
        <v>3365</v>
      </c>
      <c r="G401" s="375" t="s">
        <v>2178</v>
      </c>
      <c r="H401" s="376">
        <v>5739480</v>
      </c>
      <c r="I401" s="375">
        <v>60</v>
      </c>
      <c r="J401" s="374">
        <v>47126</v>
      </c>
      <c r="K401" s="373" t="s">
        <v>2665</v>
      </c>
      <c r="L401" s="1139"/>
    </row>
    <row r="402" spans="1:13" s="3" customFormat="1" ht="16" thickBot="1" x14ac:dyDescent="0.25">
      <c r="A402" s="390" t="s">
        <v>2172</v>
      </c>
      <c r="B402" s="387" t="s">
        <v>3366</v>
      </c>
      <c r="C402" s="387" t="s">
        <v>3367</v>
      </c>
      <c r="D402" s="387" t="s">
        <v>3368</v>
      </c>
      <c r="E402" s="389" t="s">
        <v>3332</v>
      </c>
      <c r="F402" s="387" t="s">
        <v>3369</v>
      </c>
      <c r="G402" s="387" t="s">
        <v>2178</v>
      </c>
      <c r="H402" s="388">
        <v>563771</v>
      </c>
      <c r="I402" s="387">
        <v>222</v>
      </c>
      <c r="J402" s="386">
        <v>46309</v>
      </c>
      <c r="K402" s="385" t="s">
        <v>2665</v>
      </c>
      <c r="L402" s="972" t="s">
        <v>2211</v>
      </c>
    </row>
    <row r="403" spans="1:13" ht="16" thickBot="1" x14ac:dyDescent="0.25">
      <c r="A403" s="390" t="s">
        <v>2172</v>
      </c>
      <c r="B403" s="387" t="s">
        <v>3366</v>
      </c>
      <c r="C403" s="387" t="s">
        <v>3370</v>
      </c>
      <c r="D403" s="387" t="s">
        <v>3368</v>
      </c>
      <c r="E403" s="389" t="s">
        <v>3332</v>
      </c>
      <c r="F403" s="387" t="s">
        <v>3371</v>
      </c>
      <c r="G403" s="387" t="s">
        <v>2178</v>
      </c>
      <c r="H403" s="388">
        <v>2818857</v>
      </c>
      <c r="I403" s="387">
        <v>61</v>
      </c>
      <c r="J403" s="386">
        <v>46692</v>
      </c>
      <c r="K403" s="385" t="s">
        <v>2665</v>
      </c>
      <c r="L403" s="972" t="s">
        <v>2211</v>
      </c>
    </row>
    <row r="404" spans="1:13" s="3" customFormat="1" ht="16" thickBot="1" x14ac:dyDescent="0.25">
      <c r="A404" s="390" t="s">
        <v>2172</v>
      </c>
      <c r="B404" s="387" t="s">
        <v>3372</v>
      </c>
      <c r="C404" s="387" t="s">
        <v>3373</v>
      </c>
      <c r="D404" s="387" t="s">
        <v>3374</v>
      </c>
      <c r="E404" s="389" t="s">
        <v>3332</v>
      </c>
      <c r="F404" s="387" t="s">
        <v>3375</v>
      </c>
      <c r="G404" s="387" t="s">
        <v>2178</v>
      </c>
      <c r="H404" s="388">
        <v>1202000</v>
      </c>
      <c r="I404" s="387">
        <v>190</v>
      </c>
      <c r="J404" s="386">
        <v>46476</v>
      </c>
      <c r="K404" s="385" t="s">
        <v>2665</v>
      </c>
      <c r="L404" s="972" t="s">
        <v>2211</v>
      </c>
      <c r="M404" s="3" t="s">
        <v>3376</v>
      </c>
    </row>
    <row r="405" spans="1:13" ht="16" thickBot="1" x14ac:dyDescent="0.25">
      <c r="A405" s="384" t="s">
        <v>2172</v>
      </c>
      <c r="B405" s="381" t="s">
        <v>3377</v>
      </c>
      <c r="C405" s="381" t="s">
        <v>3378</v>
      </c>
      <c r="D405" s="381" t="s">
        <v>3379</v>
      </c>
      <c r="E405" s="383" t="s">
        <v>3332</v>
      </c>
      <c r="F405" s="381" t="s">
        <v>3380</v>
      </c>
      <c r="G405" s="381" t="s">
        <v>2178</v>
      </c>
      <c r="H405" s="382">
        <v>563771</v>
      </c>
      <c r="I405" s="381">
        <v>222</v>
      </c>
      <c r="J405" s="380">
        <v>45757</v>
      </c>
      <c r="K405" s="379" t="s">
        <v>2665</v>
      </c>
      <c r="L405" s="1139" t="s">
        <v>2211</v>
      </c>
    </row>
    <row r="406" spans="1:13" ht="16" hidden="1" thickBot="1" x14ac:dyDescent="0.25">
      <c r="A406" s="378" t="s">
        <v>2172</v>
      </c>
      <c r="B406" s="375" t="s">
        <v>3377</v>
      </c>
      <c r="C406" s="375" t="s">
        <v>3381</v>
      </c>
      <c r="D406" s="375" t="s">
        <v>3379</v>
      </c>
      <c r="E406" s="375" t="s">
        <v>3332</v>
      </c>
      <c r="F406" s="375" t="s">
        <v>3382</v>
      </c>
      <c r="G406" s="375" t="s">
        <v>2178</v>
      </c>
      <c r="H406" s="376">
        <v>3946400</v>
      </c>
      <c r="I406" s="375">
        <v>61</v>
      </c>
      <c r="J406" s="374">
        <v>46140</v>
      </c>
      <c r="K406" s="373" t="s">
        <v>2665</v>
      </c>
      <c r="L406" s="1139"/>
    </row>
    <row r="407" spans="1:13" ht="16" hidden="1" thickBot="1" x14ac:dyDescent="0.25">
      <c r="A407" s="378" t="s">
        <v>2172</v>
      </c>
      <c r="B407" s="375" t="s">
        <v>3342</v>
      </c>
      <c r="C407" s="375" t="s">
        <v>3383</v>
      </c>
      <c r="D407" s="375" t="s">
        <v>3384</v>
      </c>
      <c r="E407" s="377" t="s">
        <v>3332</v>
      </c>
      <c r="F407" s="375" t="s">
        <v>3385</v>
      </c>
      <c r="G407" s="375" t="s">
        <v>2178</v>
      </c>
      <c r="H407" s="376">
        <v>500000</v>
      </c>
      <c r="I407" s="375">
        <v>500</v>
      </c>
      <c r="J407" s="374">
        <v>47021</v>
      </c>
      <c r="K407" s="373" t="s">
        <v>2665</v>
      </c>
      <c r="L407" s="972" t="s">
        <v>2192</v>
      </c>
    </row>
    <row r="408" spans="1:13" s="3" customFormat="1" ht="16" thickBot="1" x14ac:dyDescent="0.25">
      <c r="A408" s="384" t="s">
        <v>2172</v>
      </c>
      <c r="B408" s="381" t="s">
        <v>3386</v>
      </c>
      <c r="C408" s="381" t="s">
        <v>3387</v>
      </c>
      <c r="D408" s="381" t="s">
        <v>3388</v>
      </c>
      <c r="E408" s="383" t="s">
        <v>3332</v>
      </c>
      <c r="F408" s="381" t="s">
        <v>3389</v>
      </c>
      <c r="G408" s="381" t="s">
        <v>2178</v>
      </c>
      <c r="H408" s="382">
        <v>453095</v>
      </c>
      <c r="I408" s="381">
        <v>125</v>
      </c>
      <c r="J408" s="380">
        <v>46916</v>
      </c>
      <c r="K408" s="379" t="s">
        <v>2665</v>
      </c>
      <c r="L408" s="1139" t="s">
        <v>2211</v>
      </c>
    </row>
    <row r="409" spans="1:13" ht="16" hidden="1" thickBot="1" x14ac:dyDescent="0.25">
      <c r="A409" s="378" t="s">
        <v>2172</v>
      </c>
      <c r="B409" s="375" t="s">
        <v>3386</v>
      </c>
      <c r="C409" s="375" t="s">
        <v>3390</v>
      </c>
      <c r="D409" s="375" t="s">
        <v>3388</v>
      </c>
      <c r="E409" s="377" t="s">
        <v>3332</v>
      </c>
      <c r="F409" s="375" t="s">
        <v>3391</v>
      </c>
      <c r="G409" s="375" t="s">
        <v>2178</v>
      </c>
      <c r="H409" s="376">
        <v>3171665</v>
      </c>
      <c r="I409" s="375">
        <v>336</v>
      </c>
      <c r="J409" s="374">
        <v>47137</v>
      </c>
      <c r="K409" s="373" t="s">
        <v>2665</v>
      </c>
      <c r="L409" s="1139"/>
    </row>
    <row r="410" spans="1:13" s="3" customFormat="1" ht="16" thickBot="1" x14ac:dyDescent="0.25">
      <c r="A410" s="390" t="s">
        <v>2172</v>
      </c>
      <c r="B410" s="387" t="s">
        <v>3392</v>
      </c>
      <c r="C410" s="387" t="s">
        <v>3393</v>
      </c>
      <c r="D410" s="387" t="s">
        <v>3394</v>
      </c>
      <c r="E410" s="389" t="s">
        <v>3332</v>
      </c>
      <c r="F410" s="387" t="s">
        <v>3395</v>
      </c>
      <c r="G410" s="387" t="s">
        <v>2178</v>
      </c>
      <c r="H410" s="388">
        <v>1102000</v>
      </c>
      <c r="I410" s="387">
        <v>190</v>
      </c>
      <c r="J410" s="386">
        <v>46476</v>
      </c>
      <c r="K410" s="385" t="s">
        <v>2665</v>
      </c>
      <c r="L410" s="972" t="s">
        <v>2211</v>
      </c>
    </row>
    <row r="411" spans="1:13" ht="16" thickBot="1" x14ac:dyDescent="0.25">
      <c r="A411" s="384" t="s">
        <v>2172</v>
      </c>
      <c r="B411" s="381" t="s">
        <v>3329</v>
      </c>
      <c r="C411" s="381" t="s">
        <v>3396</v>
      </c>
      <c r="D411" s="381" t="s">
        <v>3168</v>
      </c>
      <c r="E411" s="383" t="s">
        <v>3332</v>
      </c>
      <c r="F411" s="381" t="s">
        <v>3397</v>
      </c>
      <c r="G411" s="381" t="s">
        <v>2178</v>
      </c>
      <c r="H411" s="382">
        <v>41312603</v>
      </c>
      <c r="I411" s="381">
        <v>750</v>
      </c>
      <c r="J411" s="380">
        <v>46766</v>
      </c>
      <c r="K411" s="379" t="s">
        <v>2665</v>
      </c>
      <c r="L411" s="1139" t="s">
        <v>2211</v>
      </c>
    </row>
    <row r="412" spans="1:13" s="3" customFormat="1" ht="16" hidden="1" thickBot="1" x14ac:dyDescent="0.25">
      <c r="A412" s="378" t="s">
        <v>2172</v>
      </c>
      <c r="B412" s="375" t="s">
        <v>3329</v>
      </c>
      <c r="C412" s="375" t="s">
        <v>3398</v>
      </c>
      <c r="D412" s="375" t="s">
        <v>3168</v>
      </c>
      <c r="E412" s="377" t="s">
        <v>3332</v>
      </c>
      <c r="F412" s="375" t="s">
        <v>3399</v>
      </c>
      <c r="G412" s="375" t="s">
        <v>2178</v>
      </c>
      <c r="H412" s="376">
        <v>22000000</v>
      </c>
      <c r="I412" s="375">
        <v>500</v>
      </c>
      <c r="J412" s="374">
        <v>48078</v>
      </c>
      <c r="K412" s="373" t="s">
        <v>2665</v>
      </c>
      <c r="L412" s="1139"/>
    </row>
    <row r="413" spans="1:13" ht="16" thickBot="1" x14ac:dyDescent="0.25">
      <c r="A413" s="390" t="s">
        <v>2172</v>
      </c>
      <c r="B413" s="387" t="s">
        <v>3400</v>
      </c>
      <c r="C413" s="387" t="s">
        <v>3401</v>
      </c>
      <c r="D413" s="387" t="s">
        <v>3402</v>
      </c>
      <c r="E413" s="389" t="s">
        <v>3332</v>
      </c>
      <c r="F413" s="387" t="s">
        <v>3403</v>
      </c>
      <c r="G413" s="387" t="s">
        <v>2178</v>
      </c>
      <c r="H413" s="388">
        <v>1202000</v>
      </c>
      <c r="I413" s="387">
        <v>190</v>
      </c>
      <c r="J413" s="386">
        <v>46476</v>
      </c>
      <c r="K413" s="385" t="s">
        <v>2665</v>
      </c>
      <c r="L413" s="972" t="s">
        <v>2211</v>
      </c>
    </row>
    <row r="414" spans="1:13" s="3" customFormat="1" ht="16" thickBot="1" x14ac:dyDescent="0.25">
      <c r="A414" s="390" t="s">
        <v>2172</v>
      </c>
      <c r="B414" s="387" t="s">
        <v>3404</v>
      </c>
      <c r="C414" s="387" t="s">
        <v>3405</v>
      </c>
      <c r="D414" s="387" t="s">
        <v>3406</v>
      </c>
      <c r="E414" s="389" t="s">
        <v>3332</v>
      </c>
      <c r="F414" s="387" t="s">
        <v>3407</v>
      </c>
      <c r="G414" s="387" t="s">
        <v>2178</v>
      </c>
      <c r="H414" s="388">
        <v>602000</v>
      </c>
      <c r="I414" s="387">
        <v>190</v>
      </c>
      <c r="J414" s="386">
        <v>46476</v>
      </c>
      <c r="K414" s="385" t="s">
        <v>2665</v>
      </c>
      <c r="L414" s="972" t="s">
        <v>2211</v>
      </c>
    </row>
    <row r="415" spans="1:13" ht="16" thickBot="1" x14ac:dyDescent="0.25">
      <c r="A415" s="384" t="s">
        <v>2172</v>
      </c>
      <c r="B415" s="381" t="s">
        <v>3408</v>
      </c>
      <c r="C415" s="381" t="s">
        <v>3409</v>
      </c>
      <c r="D415" s="381" t="s">
        <v>3410</v>
      </c>
      <c r="E415" s="383" t="s">
        <v>3332</v>
      </c>
      <c r="F415" s="381" t="s">
        <v>3411</v>
      </c>
      <c r="G415" s="381" t="s">
        <v>2178</v>
      </c>
      <c r="H415" s="382">
        <v>324246</v>
      </c>
      <c r="I415" s="381">
        <v>375</v>
      </c>
      <c r="J415" s="380">
        <v>46309</v>
      </c>
      <c r="K415" s="379" t="s">
        <v>2665</v>
      </c>
      <c r="L415" s="1140" t="s">
        <v>2211</v>
      </c>
    </row>
    <row r="416" spans="1:13" s="3" customFormat="1" ht="16" hidden="1" thickBot="1" x14ac:dyDescent="0.25">
      <c r="A416" s="378" t="s">
        <v>2172</v>
      </c>
      <c r="B416" s="375" t="s">
        <v>3408</v>
      </c>
      <c r="C416" s="375" t="s">
        <v>3412</v>
      </c>
      <c r="D416" s="375" t="s">
        <v>3410</v>
      </c>
      <c r="E416" s="377" t="s">
        <v>3332</v>
      </c>
      <c r="F416" s="375" t="s">
        <v>3413</v>
      </c>
      <c r="G416" s="375" t="s">
        <v>2178</v>
      </c>
      <c r="H416" s="376">
        <v>324246</v>
      </c>
      <c r="I416" s="375">
        <v>125</v>
      </c>
      <c r="J416" s="374">
        <v>47010</v>
      </c>
      <c r="K416" s="373" t="s">
        <v>2665</v>
      </c>
      <c r="L416" s="1141"/>
    </row>
    <row r="417" spans="1:13" ht="16" thickBot="1" x14ac:dyDescent="0.25">
      <c r="A417" s="390" t="s">
        <v>2172</v>
      </c>
      <c r="B417" s="387" t="s">
        <v>3414</v>
      </c>
      <c r="C417" s="387" t="s">
        <v>3415</v>
      </c>
      <c r="D417" s="387" t="s">
        <v>3416</v>
      </c>
      <c r="E417" s="389" t="s">
        <v>3332</v>
      </c>
      <c r="F417" s="387" t="s">
        <v>3417</v>
      </c>
      <c r="G417" s="387" t="s">
        <v>2178</v>
      </c>
      <c r="H417" s="388">
        <v>324246</v>
      </c>
      <c r="I417" s="387">
        <v>375</v>
      </c>
      <c r="J417" s="386">
        <v>46309</v>
      </c>
      <c r="K417" s="385" t="s">
        <v>2665</v>
      </c>
      <c r="L417" s="972" t="s">
        <v>2211</v>
      </c>
    </row>
    <row r="418" spans="1:13" s="3" customFormat="1" ht="16" thickBot="1" x14ac:dyDescent="0.25">
      <c r="A418" s="390" t="s">
        <v>2172</v>
      </c>
      <c r="B418" s="387" t="s">
        <v>3418</v>
      </c>
      <c r="C418" s="387" t="s">
        <v>3419</v>
      </c>
      <c r="D418" s="387" t="s">
        <v>3420</v>
      </c>
      <c r="E418" s="389" t="s">
        <v>3332</v>
      </c>
      <c r="F418" s="387" t="s">
        <v>3421</v>
      </c>
      <c r="G418" s="387" t="s">
        <v>2178</v>
      </c>
      <c r="H418" s="388">
        <v>456178</v>
      </c>
      <c r="I418" s="387">
        <v>375</v>
      </c>
      <c r="J418" s="386">
        <v>46836</v>
      </c>
      <c r="K418" s="385" t="s">
        <v>2665</v>
      </c>
      <c r="L418" s="972" t="s">
        <v>3263</v>
      </c>
    </row>
    <row r="419" spans="1:13" ht="16" hidden="1" thickBot="1" x14ac:dyDescent="0.25">
      <c r="A419" s="390" t="s">
        <v>2172</v>
      </c>
      <c r="B419" s="387" t="s">
        <v>3422</v>
      </c>
      <c r="C419" s="387" t="s">
        <v>3423</v>
      </c>
      <c r="D419" s="387" t="s">
        <v>3424</v>
      </c>
      <c r="E419" s="389" t="s">
        <v>3332</v>
      </c>
      <c r="F419" s="387" t="s">
        <v>3425</v>
      </c>
      <c r="G419" s="387" t="s">
        <v>2178</v>
      </c>
      <c r="H419" s="388">
        <v>1900000</v>
      </c>
      <c r="I419" s="387">
        <v>380</v>
      </c>
      <c r="J419" s="386">
        <v>44971</v>
      </c>
      <c r="K419" s="385" t="s">
        <v>2665</v>
      </c>
      <c r="L419" s="972" t="s">
        <v>2192</v>
      </c>
      <c r="M419" t="s">
        <v>3426</v>
      </c>
    </row>
    <row r="420" spans="1:13" s="3" customFormat="1" ht="16" thickBot="1" x14ac:dyDescent="0.25">
      <c r="A420" s="390" t="s">
        <v>2172</v>
      </c>
      <c r="B420" s="387" t="s">
        <v>3422</v>
      </c>
      <c r="C420" s="387" t="s">
        <v>3427</v>
      </c>
      <c r="D420" s="387" t="s">
        <v>3428</v>
      </c>
      <c r="E420" s="389" t="s">
        <v>3332</v>
      </c>
      <c r="F420" s="387" t="s">
        <v>3429</v>
      </c>
      <c r="G420" s="387" t="s">
        <v>2178</v>
      </c>
      <c r="H420" s="388">
        <v>800000</v>
      </c>
      <c r="I420" s="387">
        <v>250</v>
      </c>
      <c r="J420" s="386">
        <v>45091</v>
      </c>
      <c r="K420" s="385" t="s">
        <v>2665</v>
      </c>
      <c r="L420" s="972" t="s">
        <v>2211</v>
      </c>
    </row>
    <row r="421" spans="1:13" ht="16" hidden="1" thickBot="1" x14ac:dyDescent="0.25">
      <c r="A421" s="390" t="s">
        <v>2172</v>
      </c>
      <c r="B421" s="387" t="s">
        <v>3422</v>
      </c>
      <c r="C421" s="387" t="s">
        <v>3430</v>
      </c>
      <c r="D421" s="387" t="s">
        <v>3431</v>
      </c>
      <c r="E421" s="389" t="s">
        <v>3332</v>
      </c>
      <c r="F421" s="387" t="s">
        <v>3432</v>
      </c>
      <c r="G421" s="387" t="s">
        <v>2178</v>
      </c>
      <c r="H421" s="388">
        <v>400000</v>
      </c>
      <c r="I421" s="387">
        <v>200</v>
      </c>
      <c r="J421" s="386">
        <v>45328</v>
      </c>
      <c r="K421" s="385" t="s">
        <v>2665</v>
      </c>
      <c r="L421" s="972" t="s">
        <v>2192</v>
      </c>
      <c r="M421" t="s">
        <v>3433</v>
      </c>
    </row>
    <row r="422" spans="1:13" s="3" customFormat="1" ht="16" hidden="1" thickBot="1" x14ac:dyDescent="0.25">
      <c r="A422" s="390" t="s">
        <v>2172</v>
      </c>
      <c r="B422" s="387" t="s">
        <v>3434</v>
      </c>
      <c r="C422" s="387" t="s">
        <v>3435</v>
      </c>
      <c r="D422" s="387" t="s">
        <v>3436</v>
      </c>
      <c r="E422" s="389" t="s">
        <v>3332</v>
      </c>
      <c r="F422" s="387" t="s">
        <v>3437</v>
      </c>
      <c r="G422" s="387" t="s">
        <v>2178</v>
      </c>
      <c r="H422" s="388">
        <v>648928</v>
      </c>
      <c r="I422" s="387">
        <v>125</v>
      </c>
      <c r="J422" s="386">
        <v>46916</v>
      </c>
      <c r="K422" s="385" t="s">
        <v>2665</v>
      </c>
      <c r="L422" s="972" t="s">
        <v>2192</v>
      </c>
    </row>
    <row r="423" spans="1:13" ht="16" thickBot="1" x14ac:dyDescent="0.25">
      <c r="A423" s="390" t="s">
        <v>2172</v>
      </c>
      <c r="B423" s="387" t="s">
        <v>3438</v>
      </c>
      <c r="C423" s="387" t="s">
        <v>3439</v>
      </c>
      <c r="D423" s="387" t="s">
        <v>3440</v>
      </c>
      <c r="E423" s="389" t="s">
        <v>3332</v>
      </c>
      <c r="F423" s="387" t="s">
        <v>3441</v>
      </c>
      <c r="G423" s="387" t="s">
        <v>2178</v>
      </c>
      <c r="H423" s="388">
        <v>648928</v>
      </c>
      <c r="I423" s="387">
        <v>222</v>
      </c>
      <c r="J423" s="386">
        <v>46829</v>
      </c>
      <c r="K423" s="385" t="s">
        <v>2665</v>
      </c>
      <c r="L423" s="1140" t="s">
        <v>2211</v>
      </c>
    </row>
    <row r="424" spans="1:13" s="3" customFormat="1" ht="16" hidden="1" thickBot="1" x14ac:dyDescent="0.25">
      <c r="A424" s="390" t="s">
        <v>2172</v>
      </c>
      <c r="B424" s="387" t="s">
        <v>3438</v>
      </c>
      <c r="C424" s="387" t="s">
        <v>3442</v>
      </c>
      <c r="D424" s="387" t="s">
        <v>3440</v>
      </c>
      <c r="E424" s="389" t="s">
        <v>3332</v>
      </c>
      <c r="F424" s="387" t="s">
        <v>3443</v>
      </c>
      <c r="G424" s="387" t="s">
        <v>2178</v>
      </c>
      <c r="H424" s="388">
        <v>1297856</v>
      </c>
      <c r="I424" s="387">
        <v>61</v>
      </c>
      <c r="J424" s="386">
        <v>47212</v>
      </c>
      <c r="K424" s="385" t="s">
        <v>2665</v>
      </c>
      <c r="L424" s="1141"/>
    </row>
    <row r="425" spans="1:13" ht="16" thickBot="1" x14ac:dyDescent="0.25">
      <c r="A425" s="390" t="s">
        <v>2172</v>
      </c>
      <c r="B425" s="387" t="s">
        <v>3444</v>
      </c>
      <c r="C425" s="387" t="s">
        <v>3445</v>
      </c>
      <c r="D425" s="387" t="s">
        <v>3446</v>
      </c>
      <c r="E425" s="389" t="s">
        <v>3332</v>
      </c>
      <c r="F425" s="387" t="s">
        <v>3447</v>
      </c>
      <c r="G425" s="387" t="s">
        <v>2178</v>
      </c>
      <c r="H425" s="388">
        <v>525440</v>
      </c>
      <c r="I425" s="387">
        <v>375</v>
      </c>
      <c r="J425" s="386">
        <v>46309</v>
      </c>
      <c r="K425" s="385" t="s">
        <v>2665</v>
      </c>
      <c r="L425" s="1140" t="s">
        <v>2211</v>
      </c>
    </row>
    <row r="426" spans="1:13" s="3" customFormat="1" ht="16" hidden="1" thickBot="1" x14ac:dyDescent="0.25">
      <c r="A426" s="390" t="s">
        <v>2172</v>
      </c>
      <c r="B426" s="387" t="s">
        <v>3444</v>
      </c>
      <c r="C426" s="387" t="s">
        <v>3448</v>
      </c>
      <c r="D426" s="387" t="s">
        <v>3446</v>
      </c>
      <c r="E426" s="389" t="s">
        <v>3332</v>
      </c>
      <c r="F426" s="387" t="s">
        <v>3449</v>
      </c>
      <c r="G426" s="387" t="s">
        <v>2178</v>
      </c>
      <c r="H426" s="388">
        <v>525440</v>
      </c>
      <c r="I426" s="387">
        <v>125</v>
      </c>
      <c r="J426" s="386">
        <v>46953</v>
      </c>
      <c r="K426" s="385" t="s">
        <v>2665</v>
      </c>
      <c r="L426" s="1141"/>
    </row>
    <row r="427" spans="1:13" ht="16" thickBot="1" x14ac:dyDescent="0.25">
      <c r="A427" s="384" t="s">
        <v>2172</v>
      </c>
      <c r="B427" s="381" t="s">
        <v>3450</v>
      </c>
      <c r="C427" s="381" t="s">
        <v>3451</v>
      </c>
      <c r="D427" s="381" t="s">
        <v>3452</v>
      </c>
      <c r="E427" s="383" t="s">
        <v>3332</v>
      </c>
      <c r="F427" s="381" t="s">
        <v>3453</v>
      </c>
      <c r="G427" s="381" t="s">
        <v>2178</v>
      </c>
      <c r="H427" s="382">
        <v>425518</v>
      </c>
      <c r="I427" s="381">
        <v>375</v>
      </c>
      <c r="J427" s="380">
        <v>46836</v>
      </c>
      <c r="K427" s="379" t="s">
        <v>2665</v>
      </c>
      <c r="L427" s="1140" t="s">
        <v>2211</v>
      </c>
    </row>
    <row r="428" spans="1:13" s="3" customFormat="1" ht="16" hidden="1" thickBot="1" x14ac:dyDescent="0.25">
      <c r="A428" s="378" t="s">
        <v>2172</v>
      </c>
      <c r="B428" s="375" t="s">
        <v>3450</v>
      </c>
      <c r="C428" s="375" t="s">
        <v>3454</v>
      </c>
      <c r="D428" s="375" t="s">
        <v>3452</v>
      </c>
      <c r="E428" s="377" t="s">
        <v>3332</v>
      </c>
      <c r="F428" s="375" t="s">
        <v>3455</v>
      </c>
      <c r="G428" s="375" t="s">
        <v>2178</v>
      </c>
      <c r="H428" s="376">
        <v>851036</v>
      </c>
      <c r="I428" s="375">
        <v>232</v>
      </c>
      <c r="J428" s="374">
        <v>47479</v>
      </c>
      <c r="K428" s="373" t="s">
        <v>2665</v>
      </c>
      <c r="L428" s="1141"/>
    </row>
    <row r="429" spans="1:13" x14ac:dyDescent="0.2">
      <c r="A429" s="384" t="s">
        <v>2172</v>
      </c>
      <c r="B429" s="381" t="s">
        <v>3456</v>
      </c>
      <c r="C429" s="381" t="s">
        <v>3457</v>
      </c>
      <c r="D429" s="381" t="s">
        <v>3458</v>
      </c>
      <c r="E429" s="383" t="s">
        <v>3332</v>
      </c>
      <c r="F429" s="381" t="s">
        <v>3459</v>
      </c>
      <c r="G429" s="381" t="s">
        <v>2178</v>
      </c>
      <c r="H429" s="382">
        <v>525440</v>
      </c>
      <c r="I429" s="381">
        <v>375</v>
      </c>
      <c r="J429" s="380">
        <v>46309</v>
      </c>
      <c r="K429" s="379" t="s">
        <v>2665</v>
      </c>
      <c r="L429" s="1140" t="s">
        <v>2211</v>
      </c>
    </row>
    <row r="430" spans="1:13" s="3" customFormat="1" ht="16" hidden="1" thickBot="1" x14ac:dyDescent="0.25">
      <c r="A430" s="378" t="s">
        <v>2172</v>
      </c>
      <c r="B430" s="375" t="s">
        <v>3456</v>
      </c>
      <c r="C430" s="375" t="s">
        <v>3460</v>
      </c>
      <c r="D430" s="375" t="s">
        <v>3458</v>
      </c>
      <c r="E430" s="377" t="s">
        <v>3332</v>
      </c>
      <c r="F430" s="375" t="s">
        <v>3461</v>
      </c>
      <c r="G430" s="375" t="s">
        <v>2178</v>
      </c>
      <c r="H430" s="376">
        <v>525440</v>
      </c>
      <c r="I430" s="375">
        <v>125</v>
      </c>
      <c r="J430" s="374">
        <v>46953</v>
      </c>
      <c r="K430" s="373" t="s">
        <v>2665</v>
      </c>
      <c r="L430" s="1141"/>
    </row>
    <row r="431" spans="1:13" ht="16" hidden="1" thickBot="1" x14ac:dyDescent="0.25">
      <c r="A431" s="258" t="s">
        <v>3462</v>
      </c>
      <c r="B431" s="258"/>
      <c r="C431" s="258"/>
      <c r="D431" s="258"/>
      <c r="E431" s="372"/>
      <c r="F431" s="258"/>
      <c r="G431" s="258"/>
      <c r="H431" s="371">
        <v>841210464</v>
      </c>
      <c r="I431" s="258">
        <v>2907</v>
      </c>
      <c r="J431" s="370">
        <v>44564</v>
      </c>
      <c r="K431" s="258"/>
    </row>
    <row r="432" spans="1:13" s="3" customFormat="1" hidden="1" x14ac:dyDescent="0.2">
      <c r="A432" s="367" t="s">
        <v>3463</v>
      </c>
      <c r="B432" s="367"/>
      <c r="C432" s="367"/>
      <c r="D432" s="367"/>
      <c r="E432" s="367"/>
      <c r="F432" s="367"/>
      <c r="G432" s="367"/>
      <c r="H432" s="369">
        <v>18312329</v>
      </c>
      <c r="I432" s="367">
        <v>750</v>
      </c>
      <c r="J432" s="368">
        <v>45757</v>
      </c>
      <c r="K432" s="367"/>
    </row>
    <row r="433" spans="1:11" hidden="1" x14ac:dyDescent="0.2">
      <c r="A433" s="367" t="s">
        <v>3464</v>
      </c>
      <c r="B433" s="367"/>
      <c r="C433" s="367"/>
      <c r="D433" s="367"/>
      <c r="E433" s="367"/>
      <c r="F433" s="367"/>
      <c r="G433" s="367"/>
      <c r="H433" s="369">
        <v>10200000</v>
      </c>
      <c r="I433" s="367">
        <v>718</v>
      </c>
      <c r="J433" s="368">
        <v>45140</v>
      </c>
      <c r="K433" s="367"/>
    </row>
    <row r="434" spans="1:11" s="3" customFormat="1" hidden="1" x14ac:dyDescent="0.2">
      <c r="A434" s="367" t="s">
        <v>3465</v>
      </c>
      <c r="B434" s="367"/>
      <c r="C434" s="367"/>
      <c r="D434" s="367"/>
      <c r="E434" s="367"/>
      <c r="F434" s="367"/>
      <c r="G434" s="367"/>
      <c r="H434" s="369">
        <v>136452601</v>
      </c>
      <c r="I434" s="367">
        <v>1065</v>
      </c>
      <c r="J434" s="368">
        <v>45833</v>
      </c>
      <c r="K434" s="367"/>
    </row>
    <row r="435" spans="1:11" hidden="1" x14ac:dyDescent="0.2">
      <c r="A435" s="367" t="s">
        <v>3466</v>
      </c>
      <c r="B435" s="367"/>
      <c r="C435" s="367"/>
      <c r="D435" s="367"/>
      <c r="E435" s="367"/>
      <c r="F435" s="367"/>
      <c r="G435" s="367"/>
      <c r="H435" s="369">
        <v>29310000</v>
      </c>
      <c r="I435" s="367">
        <v>750</v>
      </c>
      <c r="J435" s="368">
        <v>46309</v>
      </c>
      <c r="K435" s="367"/>
    </row>
    <row r="436" spans="1:11" s="3" customFormat="1" hidden="1" x14ac:dyDescent="0.2">
      <c r="A436" s="367" t="s">
        <v>3467</v>
      </c>
      <c r="B436" s="367"/>
      <c r="C436" s="367"/>
      <c r="D436" s="367"/>
      <c r="E436" s="367"/>
      <c r="F436" s="367"/>
      <c r="G436" s="367"/>
      <c r="H436" s="369">
        <v>602272</v>
      </c>
      <c r="I436" s="367">
        <v>120</v>
      </c>
      <c r="J436" s="368">
        <v>45307</v>
      </c>
      <c r="K436" s="367"/>
    </row>
    <row r="437" spans="1:11" hidden="1" x14ac:dyDescent="0.2">
      <c r="A437" s="367" t="s">
        <v>3468</v>
      </c>
      <c r="B437" s="367"/>
      <c r="C437" s="367"/>
      <c r="D437" s="367"/>
      <c r="E437" s="367"/>
      <c r="F437" s="367"/>
      <c r="G437" s="367"/>
      <c r="H437" s="369">
        <v>16800000</v>
      </c>
      <c r="I437" s="367">
        <v>325</v>
      </c>
      <c r="J437" s="368">
        <v>45880</v>
      </c>
      <c r="K437" s="367"/>
    </row>
    <row r="438" spans="1:11" s="3" customFormat="1" hidden="1" x14ac:dyDescent="0.2">
      <c r="A438" s="367" t="s">
        <v>3469</v>
      </c>
      <c r="B438" s="367"/>
      <c r="C438" s="367"/>
      <c r="D438" s="367"/>
      <c r="E438" s="367"/>
      <c r="F438" s="367"/>
      <c r="G438" s="367"/>
      <c r="H438" s="369">
        <v>24767400</v>
      </c>
      <c r="I438" s="367">
        <v>797</v>
      </c>
      <c r="J438" s="368">
        <v>46309</v>
      </c>
      <c r="K438" s="367"/>
    </row>
    <row r="439" spans="1:11" hidden="1" x14ac:dyDescent="0.2">
      <c r="A439" s="367" t="s">
        <v>3470</v>
      </c>
      <c r="B439" s="367"/>
      <c r="C439" s="367"/>
      <c r="D439" s="367"/>
      <c r="E439" s="367"/>
      <c r="F439" s="367"/>
      <c r="G439" s="367"/>
      <c r="H439" s="369">
        <v>5772500</v>
      </c>
      <c r="I439" s="367">
        <v>520</v>
      </c>
      <c r="J439" s="368">
        <v>46309</v>
      </c>
      <c r="K439" s="367"/>
    </row>
    <row r="440" spans="1:11" s="3" customFormat="1" hidden="1" x14ac:dyDescent="0.2">
      <c r="A440" s="367" t="s">
        <v>3471</v>
      </c>
      <c r="B440" s="367"/>
      <c r="C440" s="367"/>
      <c r="D440" s="367"/>
      <c r="E440" s="367"/>
      <c r="F440" s="367"/>
      <c r="G440" s="367"/>
      <c r="H440" s="369">
        <v>8250000</v>
      </c>
      <c r="I440" s="367">
        <v>520</v>
      </c>
      <c r="J440" s="368">
        <v>46309</v>
      </c>
      <c r="K440" s="367"/>
    </row>
    <row r="441" spans="1:11" hidden="1" x14ac:dyDescent="0.2">
      <c r="A441" s="367" t="s">
        <v>3472</v>
      </c>
      <c r="B441" s="367"/>
      <c r="C441" s="367"/>
      <c r="D441" s="367"/>
      <c r="E441" s="367"/>
      <c r="F441" s="367"/>
      <c r="G441" s="367"/>
      <c r="H441" s="369">
        <v>7801220</v>
      </c>
      <c r="I441" s="367">
        <v>260</v>
      </c>
      <c r="J441" s="368">
        <v>46309</v>
      </c>
      <c r="K441" s="367"/>
    </row>
    <row r="442" spans="1:11" s="3" customFormat="1" hidden="1" x14ac:dyDescent="0.2">
      <c r="A442" s="367" t="s">
        <v>3473</v>
      </c>
      <c r="B442" s="367"/>
      <c r="C442" s="367"/>
      <c r="D442" s="367"/>
      <c r="E442" s="367"/>
      <c r="F442" s="367"/>
      <c r="G442" s="367"/>
      <c r="H442" s="369">
        <v>9576557</v>
      </c>
      <c r="I442" s="367">
        <v>750</v>
      </c>
      <c r="J442" s="368">
        <v>45931</v>
      </c>
      <c r="K442" s="367"/>
    </row>
    <row r="443" spans="1:11" hidden="1" x14ac:dyDescent="0.2">
      <c r="A443" s="367" t="s">
        <v>3474</v>
      </c>
      <c r="B443" s="367"/>
      <c r="C443" s="367"/>
      <c r="D443" s="367"/>
      <c r="E443" s="367"/>
      <c r="F443" s="367"/>
      <c r="G443" s="367"/>
      <c r="H443" s="369">
        <v>600000</v>
      </c>
      <c r="I443" s="367">
        <v>200</v>
      </c>
      <c r="J443" s="368">
        <v>46308</v>
      </c>
      <c r="K443" s="367"/>
    </row>
    <row r="444" spans="1:11" s="3" customFormat="1" hidden="1" x14ac:dyDescent="0.2">
      <c r="A444" s="367" t="s">
        <v>3475</v>
      </c>
      <c r="B444" s="367"/>
      <c r="C444" s="367"/>
      <c r="D444" s="367"/>
      <c r="E444" s="367"/>
      <c r="F444" s="367"/>
      <c r="G444" s="367"/>
      <c r="H444" s="369">
        <v>23144571</v>
      </c>
      <c r="I444" s="367">
        <v>723</v>
      </c>
      <c r="J444" s="368">
        <v>44986</v>
      </c>
      <c r="K444" s="367"/>
    </row>
    <row r="445" spans="1:11" hidden="1" x14ac:dyDescent="0.2">
      <c r="A445" s="367" t="s">
        <v>3476</v>
      </c>
      <c r="B445" s="367"/>
      <c r="C445" s="367"/>
      <c r="D445" s="367"/>
      <c r="E445" s="367"/>
      <c r="F445" s="367"/>
      <c r="G445" s="367"/>
      <c r="H445" s="369">
        <v>322500</v>
      </c>
      <c r="I445" s="367">
        <v>200</v>
      </c>
      <c r="J445" s="368">
        <v>46308</v>
      </c>
      <c r="K445" s="367"/>
    </row>
    <row r="446" spans="1:11" s="3" customFormat="1" hidden="1" x14ac:dyDescent="0.2">
      <c r="A446" s="367" t="s">
        <v>3477</v>
      </c>
      <c r="B446" s="367"/>
      <c r="C446" s="367"/>
      <c r="D446" s="367"/>
      <c r="E446" s="367"/>
      <c r="F446" s="367"/>
      <c r="G446" s="367"/>
      <c r="H446" s="369">
        <v>2320260</v>
      </c>
      <c r="I446" s="367">
        <v>583</v>
      </c>
      <c r="J446" s="368">
        <v>45750</v>
      </c>
      <c r="K446" s="367"/>
    </row>
    <row r="447" spans="1:11" hidden="1" x14ac:dyDescent="0.2">
      <c r="A447" s="367" t="s">
        <v>3478</v>
      </c>
      <c r="B447" s="367"/>
      <c r="C447" s="367"/>
      <c r="D447" s="367"/>
      <c r="E447" s="367"/>
      <c r="F447" s="367"/>
      <c r="G447" s="367"/>
      <c r="H447" s="369">
        <v>16701044</v>
      </c>
      <c r="I447" s="367">
        <v>887</v>
      </c>
      <c r="J447" s="368">
        <v>45891</v>
      </c>
      <c r="K447" s="367"/>
    </row>
    <row r="448" spans="1:11" s="3" customFormat="1" hidden="1" x14ac:dyDescent="0.2">
      <c r="A448" s="367" t="s">
        <v>3479</v>
      </c>
      <c r="B448" s="367"/>
      <c r="C448" s="367"/>
      <c r="D448" s="367"/>
      <c r="E448" s="367"/>
      <c r="F448" s="367"/>
      <c r="G448" s="367"/>
      <c r="H448" s="369">
        <v>19089929</v>
      </c>
      <c r="I448" s="367">
        <v>1041</v>
      </c>
      <c r="J448" s="368">
        <v>45671</v>
      </c>
      <c r="K448" s="367"/>
    </row>
    <row r="449" spans="1:11" hidden="1" x14ac:dyDescent="0.2">
      <c r="A449" s="367" t="s">
        <v>3480</v>
      </c>
      <c r="B449" s="367"/>
      <c r="C449" s="367"/>
      <c r="D449" s="367"/>
      <c r="E449" s="367"/>
      <c r="F449" s="367"/>
      <c r="G449" s="367"/>
      <c r="H449" s="369">
        <v>18247262</v>
      </c>
      <c r="I449" s="367">
        <v>1000</v>
      </c>
      <c r="J449" s="368">
        <v>45902</v>
      </c>
      <c r="K449" s="367"/>
    </row>
    <row r="450" spans="1:11" s="3" customFormat="1" hidden="1" x14ac:dyDescent="0.2">
      <c r="A450" s="367" t="s">
        <v>3481</v>
      </c>
      <c r="B450" s="367"/>
      <c r="C450" s="367"/>
      <c r="D450" s="367"/>
      <c r="E450" s="367"/>
      <c r="F450" s="367"/>
      <c r="G450" s="367"/>
      <c r="H450" s="369">
        <v>17844987</v>
      </c>
      <c r="I450" s="367">
        <v>1963</v>
      </c>
      <c r="J450" s="368">
        <v>45931</v>
      </c>
      <c r="K450" s="367"/>
    </row>
    <row r="451" spans="1:11" hidden="1" x14ac:dyDescent="0.2">
      <c r="A451" s="367" t="s">
        <v>3482</v>
      </c>
      <c r="B451" s="367"/>
      <c r="C451" s="367"/>
      <c r="D451" s="367"/>
      <c r="E451" s="367"/>
      <c r="F451" s="367"/>
      <c r="G451" s="367"/>
      <c r="H451" s="369">
        <v>11250000</v>
      </c>
      <c r="I451" s="367">
        <v>520</v>
      </c>
      <c r="J451" s="368">
        <v>46309</v>
      </c>
      <c r="K451" s="367"/>
    </row>
    <row r="452" spans="1:11" s="3" customFormat="1" hidden="1" x14ac:dyDescent="0.2">
      <c r="A452" s="367" t="s">
        <v>3483</v>
      </c>
      <c r="B452" s="367"/>
      <c r="C452" s="367"/>
      <c r="D452" s="367"/>
      <c r="E452" s="367"/>
      <c r="F452" s="367"/>
      <c r="G452" s="367"/>
      <c r="H452" s="369">
        <v>2200000</v>
      </c>
      <c r="I452" s="367">
        <v>500</v>
      </c>
      <c r="J452" s="368">
        <v>46841</v>
      </c>
      <c r="K452" s="367"/>
    </row>
    <row r="453" spans="1:11" hidden="1" x14ac:dyDescent="0.2">
      <c r="A453" s="367" t="s">
        <v>3484</v>
      </c>
      <c r="B453" s="367"/>
      <c r="C453" s="367"/>
      <c r="D453" s="367"/>
      <c r="E453" s="367"/>
      <c r="F453" s="367"/>
      <c r="G453" s="367"/>
      <c r="H453" s="369">
        <v>1760000</v>
      </c>
      <c r="I453" s="367">
        <v>500</v>
      </c>
      <c r="J453" s="368">
        <v>46841</v>
      </c>
      <c r="K453" s="367"/>
    </row>
    <row r="454" spans="1:11" s="3" customFormat="1" hidden="1" x14ac:dyDescent="0.2">
      <c r="A454" s="367" t="s">
        <v>3485</v>
      </c>
      <c r="B454" s="367"/>
      <c r="C454" s="367"/>
      <c r="D454" s="367"/>
      <c r="E454" s="367"/>
      <c r="F454" s="367"/>
      <c r="G454" s="367"/>
      <c r="H454" s="369">
        <v>7751396</v>
      </c>
      <c r="I454" s="367">
        <v>430</v>
      </c>
      <c r="J454" s="368">
        <v>46309</v>
      </c>
      <c r="K454" s="367"/>
    </row>
    <row r="455" spans="1:11" hidden="1" x14ac:dyDescent="0.2">
      <c r="A455" s="367" t="s">
        <v>3486</v>
      </c>
      <c r="B455" s="367"/>
      <c r="C455" s="367"/>
      <c r="D455" s="367"/>
      <c r="E455" s="367"/>
      <c r="F455" s="367"/>
      <c r="G455" s="367"/>
      <c r="H455" s="369">
        <v>9970366</v>
      </c>
      <c r="I455" s="367">
        <v>180</v>
      </c>
      <c r="J455" s="368">
        <v>46309</v>
      </c>
      <c r="K455" s="367"/>
    </row>
    <row r="456" spans="1:11" s="3" customFormat="1" hidden="1" x14ac:dyDescent="0.2">
      <c r="A456" s="367" t="s">
        <v>3487</v>
      </c>
      <c r="B456" s="367"/>
      <c r="C456" s="367"/>
      <c r="D456" s="367"/>
      <c r="E456" s="367"/>
      <c r="F456" s="367"/>
      <c r="G456" s="367"/>
      <c r="H456" s="369">
        <v>2039591</v>
      </c>
      <c r="I456" s="367">
        <v>300</v>
      </c>
      <c r="J456" s="368">
        <v>46308</v>
      </c>
      <c r="K456" s="367"/>
    </row>
    <row r="457" spans="1:11" hidden="1" x14ac:dyDescent="0.2">
      <c r="A457" s="367" t="s">
        <v>3488</v>
      </c>
      <c r="B457" s="367"/>
      <c r="C457" s="367"/>
      <c r="D457" s="367"/>
      <c r="E457" s="367"/>
      <c r="F457" s="367"/>
      <c r="G457" s="367"/>
      <c r="H457" s="369">
        <v>17489110</v>
      </c>
      <c r="I457" s="367">
        <v>2193</v>
      </c>
      <c r="J457" s="368">
        <v>44775</v>
      </c>
      <c r="K457" s="367"/>
    </row>
    <row r="458" spans="1:11" s="3" customFormat="1" hidden="1" x14ac:dyDescent="0.2">
      <c r="A458" s="367" t="s">
        <v>3489</v>
      </c>
      <c r="B458" s="367"/>
      <c r="C458" s="367"/>
      <c r="D458" s="367"/>
      <c r="E458" s="367"/>
      <c r="F458" s="367"/>
      <c r="G458" s="367"/>
      <c r="H458" s="369">
        <v>9880000</v>
      </c>
      <c r="I458" s="367">
        <v>500</v>
      </c>
      <c r="J458" s="368">
        <v>45978</v>
      </c>
      <c r="K458" s="367"/>
    </row>
    <row r="459" spans="1:11" hidden="1" x14ac:dyDescent="0.2">
      <c r="A459" s="367" t="s">
        <v>3490</v>
      </c>
      <c r="B459" s="367"/>
      <c r="C459" s="367"/>
      <c r="D459" s="367"/>
      <c r="E459" s="367"/>
      <c r="F459" s="367"/>
      <c r="G459" s="367"/>
      <c r="H459" s="369">
        <v>8340000</v>
      </c>
      <c r="I459" s="367">
        <v>500</v>
      </c>
      <c r="J459" s="368">
        <v>46309</v>
      </c>
      <c r="K459" s="367"/>
    </row>
    <row r="460" spans="1:11" s="3" customFormat="1" hidden="1" x14ac:dyDescent="0.2">
      <c r="A460" s="367" t="s">
        <v>3491</v>
      </c>
      <c r="B460" s="367"/>
      <c r="C460" s="367"/>
      <c r="D460" s="367"/>
      <c r="E460" s="367"/>
      <c r="F460" s="367"/>
      <c r="G460" s="367"/>
      <c r="H460" s="369">
        <v>2418891</v>
      </c>
      <c r="I460" s="367">
        <v>1000</v>
      </c>
      <c r="J460" s="368">
        <v>45756</v>
      </c>
      <c r="K460" s="367"/>
    </row>
    <row r="461" spans="1:11" hidden="1" x14ac:dyDescent="0.2">
      <c r="A461" s="367" t="s">
        <v>3492</v>
      </c>
      <c r="B461" s="367"/>
      <c r="C461" s="367"/>
      <c r="D461" s="367"/>
      <c r="E461" s="367"/>
      <c r="F461" s="367"/>
      <c r="G461" s="367"/>
      <c r="H461" s="369">
        <v>6696060</v>
      </c>
      <c r="I461" s="367">
        <v>322</v>
      </c>
      <c r="J461" s="368">
        <v>46741</v>
      </c>
      <c r="K461" s="367"/>
    </row>
    <row r="462" spans="1:11" s="3" customFormat="1" hidden="1" x14ac:dyDescent="0.2">
      <c r="A462" s="367" t="s">
        <v>3493</v>
      </c>
      <c r="B462" s="367"/>
      <c r="C462" s="367"/>
      <c r="D462" s="367"/>
      <c r="E462" s="367"/>
      <c r="F462" s="367"/>
      <c r="G462" s="367"/>
      <c r="H462" s="369">
        <v>6154017</v>
      </c>
      <c r="I462" s="367">
        <v>240</v>
      </c>
      <c r="J462" s="368">
        <v>46309</v>
      </c>
      <c r="K462" s="367"/>
    </row>
    <row r="463" spans="1:11" hidden="1" x14ac:dyDescent="0.2">
      <c r="A463" s="367" t="s">
        <v>3494</v>
      </c>
      <c r="B463" s="367"/>
      <c r="C463" s="367"/>
      <c r="D463" s="367"/>
      <c r="E463" s="367"/>
      <c r="F463" s="367"/>
      <c r="G463" s="367"/>
      <c r="H463" s="369">
        <v>2764676</v>
      </c>
      <c r="I463" s="367">
        <v>624</v>
      </c>
      <c r="J463" s="368">
        <v>45859</v>
      </c>
      <c r="K463" s="367"/>
    </row>
    <row r="464" spans="1:11" s="3" customFormat="1" hidden="1" x14ac:dyDescent="0.2">
      <c r="A464" s="367" t="s">
        <v>3495</v>
      </c>
      <c r="B464" s="367"/>
      <c r="C464" s="367"/>
      <c r="D464" s="367"/>
      <c r="E464" s="367"/>
      <c r="F464" s="367"/>
      <c r="G464" s="367"/>
      <c r="H464" s="369">
        <v>2413369</v>
      </c>
      <c r="I464" s="367">
        <v>250</v>
      </c>
      <c r="J464" s="368">
        <v>46309</v>
      </c>
      <c r="K464" s="367"/>
    </row>
    <row r="465" spans="1:11" hidden="1" x14ac:dyDescent="0.2">
      <c r="A465" s="367" t="s">
        <v>3496</v>
      </c>
      <c r="B465" s="367"/>
      <c r="C465" s="367"/>
      <c r="D465" s="367"/>
      <c r="E465" s="367"/>
      <c r="F465" s="367"/>
      <c r="G465" s="367"/>
      <c r="H465" s="369">
        <v>3105120</v>
      </c>
      <c r="I465" s="367">
        <v>240</v>
      </c>
      <c r="J465" s="368">
        <v>46309</v>
      </c>
      <c r="K465" s="367"/>
    </row>
    <row r="466" spans="1:11" s="3" customFormat="1" hidden="1" x14ac:dyDescent="0.2">
      <c r="A466" s="367" t="s">
        <v>3497</v>
      </c>
      <c r="B466" s="367"/>
      <c r="C466" s="367"/>
      <c r="D466" s="367"/>
      <c r="E466" s="367"/>
      <c r="F466" s="367"/>
      <c r="G466" s="367"/>
      <c r="H466" s="369">
        <v>3962206</v>
      </c>
      <c r="I466" s="367">
        <v>750</v>
      </c>
      <c r="J466" s="368">
        <v>45975</v>
      </c>
      <c r="K466" s="367"/>
    </row>
    <row r="467" spans="1:11" hidden="1" x14ac:dyDescent="0.2">
      <c r="A467" s="367" t="s">
        <v>3498</v>
      </c>
      <c r="B467" s="367"/>
      <c r="C467" s="367"/>
      <c r="D467" s="367"/>
      <c r="E467" s="367"/>
      <c r="F467" s="367"/>
      <c r="G467" s="367"/>
      <c r="H467" s="369">
        <v>3449250</v>
      </c>
      <c r="I467" s="367">
        <v>586</v>
      </c>
      <c r="J467" s="368">
        <v>44965</v>
      </c>
      <c r="K467" s="367"/>
    </row>
    <row r="468" spans="1:11" s="3" customFormat="1" hidden="1" x14ac:dyDescent="0.2">
      <c r="A468" s="367" t="s">
        <v>3499</v>
      </c>
      <c r="B468" s="367"/>
      <c r="C468" s="367"/>
      <c r="D468" s="367"/>
      <c r="E468" s="367"/>
      <c r="F468" s="367"/>
      <c r="G468" s="367"/>
      <c r="H468" s="369">
        <v>4815920</v>
      </c>
      <c r="I468" s="367">
        <v>750</v>
      </c>
      <c r="J468" s="368">
        <v>46097</v>
      </c>
      <c r="K468" s="367"/>
    </row>
    <row r="469" spans="1:11" hidden="1" x14ac:dyDescent="0.2">
      <c r="A469" s="367" t="s">
        <v>3500</v>
      </c>
      <c r="B469" s="367"/>
      <c r="C469" s="367"/>
      <c r="D469" s="367"/>
      <c r="E469" s="367"/>
      <c r="F469" s="367"/>
      <c r="G469" s="367"/>
      <c r="H469" s="369">
        <v>2025000</v>
      </c>
      <c r="I469" s="367">
        <v>940</v>
      </c>
      <c r="J469" s="368">
        <v>45775</v>
      </c>
      <c r="K469" s="367"/>
    </row>
    <row r="470" spans="1:11" s="3" customFormat="1" hidden="1" x14ac:dyDescent="0.2">
      <c r="A470" s="367" t="s">
        <v>3501</v>
      </c>
      <c r="B470" s="367"/>
      <c r="C470" s="367"/>
      <c r="D470" s="367"/>
      <c r="E470" s="367"/>
      <c r="F470" s="367"/>
      <c r="G470" s="367"/>
      <c r="H470" s="369">
        <v>2024833</v>
      </c>
      <c r="I470" s="367">
        <v>350</v>
      </c>
      <c r="J470" s="368">
        <v>46308</v>
      </c>
      <c r="K470" s="367"/>
    </row>
    <row r="471" spans="1:11" hidden="1" x14ac:dyDescent="0.2">
      <c r="A471" s="367" t="s">
        <v>3502</v>
      </c>
      <c r="B471" s="367"/>
      <c r="C471" s="367"/>
      <c r="D471" s="367"/>
      <c r="E471" s="367"/>
      <c r="F471" s="367"/>
      <c r="G471" s="367"/>
      <c r="H471" s="369">
        <v>3715000</v>
      </c>
      <c r="I471" s="367">
        <v>750</v>
      </c>
      <c r="J471" s="368">
        <v>46328</v>
      </c>
      <c r="K471" s="367"/>
    </row>
    <row r="472" spans="1:11" s="3" customFormat="1" hidden="1" x14ac:dyDescent="0.2">
      <c r="A472" s="367" t="s">
        <v>3503</v>
      </c>
      <c r="B472" s="367"/>
      <c r="C472" s="367"/>
      <c r="D472" s="367"/>
      <c r="E472" s="367"/>
      <c r="F472" s="367"/>
      <c r="G472" s="367"/>
      <c r="H472" s="369">
        <v>3715000</v>
      </c>
      <c r="I472" s="367">
        <v>750</v>
      </c>
      <c r="J472" s="368">
        <v>46328</v>
      </c>
      <c r="K472" s="367"/>
    </row>
    <row r="473" spans="1:11" hidden="1" x14ac:dyDescent="0.2">
      <c r="A473" s="367" t="s">
        <v>3504</v>
      </c>
      <c r="B473" s="367"/>
      <c r="C473" s="367"/>
      <c r="D473" s="367"/>
      <c r="E473" s="367"/>
      <c r="F473" s="367"/>
      <c r="G473" s="367"/>
      <c r="H473" s="369">
        <v>3715000</v>
      </c>
      <c r="I473" s="367">
        <v>750</v>
      </c>
      <c r="J473" s="368">
        <v>46328</v>
      </c>
      <c r="K473" s="367"/>
    </row>
    <row r="474" spans="1:11" s="3" customFormat="1" hidden="1" x14ac:dyDescent="0.2">
      <c r="A474" s="367" t="s">
        <v>3505</v>
      </c>
      <c r="B474" s="367"/>
      <c r="C474" s="367"/>
      <c r="D474" s="367"/>
      <c r="E474" s="367"/>
      <c r="F474" s="367"/>
      <c r="G474" s="367"/>
      <c r="H474" s="369">
        <v>3318000</v>
      </c>
      <c r="I474" s="367">
        <v>750</v>
      </c>
      <c r="J474" s="368">
        <v>46328</v>
      </c>
      <c r="K474" s="367"/>
    </row>
    <row r="475" spans="1:11" hidden="1" x14ac:dyDescent="0.2">
      <c r="A475" s="367" t="s">
        <v>3506</v>
      </c>
      <c r="B475" s="367"/>
      <c r="C475" s="367"/>
      <c r="D475" s="367"/>
      <c r="E475" s="367"/>
      <c r="F475" s="367"/>
      <c r="G475" s="367"/>
      <c r="H475" s="369">
        <v>3318000</v>
      </c>
      <c r="I475" s="367">
        <v>750</v>
      </c>
      <c r="J475" s="368">
        <v>46328</v>
      </c>
      <c r="K475" s="367"/>
    </row>
    <row r="476" spans="1:11" s="3" customFormat="1" hidden="1" x14ac:dyDescent="0.2">
      <c r="A476" s="367" t="s">
        <v>3507</v>
      </c>
      <c r="B476" s="367"/>
      <c r="C476" s="367"/>
      <c r="D476" s="367"/>
      <c r="E476" s="367"/>
      <c r="F476" s="367"/>
      <c r="G476" s="367"/>
      <c r="H476" s="369">
        <v>1995000</v>
      </c>
      <c r="I476" s="367">
        <v>440</v>
      </c>
      <c r="J476" s="368">
        <v>44886</v>
      </c>
      <c r="K476" s="367"/>
    </row>
    <row r="477" spans="1:11" hidden="1" x14ac:dyDescent="0.2">
      <c r="A477" s="367" t="s">
        <v>3508</v>
      </c>
      <c r="B477" s="367"/>
      <c r="C477" s="367"/>
      <c r="D477" s="367"/>
      <c r="E477" s="367"/>
      <c r="F477" s="367"/>
      <c r="G477" s="367"/>
      <c r="H477" s="369">
        <v>2236080</v>
      </c>
      <c r="I477" s="367">
        <v>300</v>
      </c>
      <c r="J477" s="368">
        <v>46309</v>
      </c>
      <c r="K477" s="367"/>
    </row>
    <row r="478" spans="1:11" s="3" customFormat="1" hidden="1" x14ac:dyDescent="0.2">
      <c r="A478" s="367" t="s">
        <v>3509</v>
      </c>
      <c r="B478" s="367"/>
      <c r="C478" s="367"/>
      <c r="D478" s="367"/>
      <c r="E478" s="367"/>
      <c r="F478" s="367"/>
      <c r="G478" s="367"/>
      <c r="H478" s="369">
        <v>2894814</v>
      </c>
      <c r="I478" s="367">
        <v>269</v>
      </c>
      <c r="J478" s="368">
        <v>46309</v>
      </c>
      <c r="K478" s="367"/>
    </row>
    <row r="479" spans="1:11" hidden="1" x14ac:dyDescent="0.2">
      <c r="A479" s="367" t="s">
        <v>3510</v>
      </c>
      <c r="B479" s="367"/>
      <c r="C479" s="367"/>
      <c r="D479" s="367"/>
      <c r="E479" s="367"/>
      <c r="F479" s="367"/>
      <c r="G479" s="367"/>
      <c r="H479" s="369">
        <v>3382628</v>
      </c>
      <c r="I479" s="367">
        <v>323</v>
      </c>
      <c r="J479" s="368">
        <v>46309</v>
      </c>
      <c r="K479" s="367"/>
    </row>
    <row r="480" spans="1:11" s="3" customFormat="1" hidden="1" x14ac:dyDescent="0.2">
      <c r="A480" s="367" t="s">
        <v>3511</v>
      </c>
      <c r="B480" s="367"/>
      <c r="C480" s="367"/>
      <c r="D480" s="367"/>
      <c r="E480" s="367"/>
      <c r="F480" s="367"/>
      <c r="G480" s="367"/>
      <c r="H480" s="369">
        <v>2210800</v>
      </c>
      <c r="I480" s="367">
        <v>150</v>
      </c>
      <c r="J480" s="368">
        <v>46283</v>
      </c>
      <c r="K480" s="367"/>
    </row>
    <row r="481" spans="1:11" hidden="1" x14ac:dyDescent="0.2">
      <c r="A481" s="367" t="s">
        <v>3512</v>
      </c>
      <c r="B481" s="367"/>
      <c r="C481" s="367"/>
      <c r="D481" s="367"/>
      <c r="E481" s="367"/>
      <c r="F481" s="367"/>
      <c r="G481" s="367"/>
      <c r="H481" s="369">
        <v>2080000</v>
      </c>
      <c r="I481" s="367">
        <v>220</v>
      </c>
      <c r="J481" s="368">
        <v>46309</v>
      </c>
      <c r="K481" s="367"/>
    </row>
    <row r="482" spans="1:11" s="3" customFormat="1" hidden="1" x14ac:dyDescent="0.2">
      <c r="A482" s="367" t="s">
        <v>3513</v>
      </c>
      <c r="B482" s="367"/>
      <c r="C482" s="367"/>
      <c r="D482" s="367"/>
      <c r="E482" s="367"/>
      <c r="F482" s="367"/>
      <c r="G482" s="367"/>
      <c r="H482" s="369">
        <v>2020410</v>
      </c>
      <c r="I482" s="367">
        <v>120</v>
      </c>
      <c r="J482" s="368">
        <v>46309</v>
      </c>
      <c r="K482" s="367"/>
    </row>
    <row r="483" spans="1:11" hidden="1" x14ac:dyDescent="0.2">
      <c r="A483" s="367" t="s">
        <v>3514</v>
      </c>
      <c r="B483" s="367"/>
      <c r="C483" s="367"/>
      <c r="D483" s="367"/>
      <c r="E483" s="367"/>
      <c r="F483" s="367"/>
      <c r="G483" s="367"/>
      <c r="H483" s="369">
        <v>1202000</v>
      </c>
      <c r="I483" s="367">
        <v>190</v>
      </c>
      <c r="J483" s="368">
        <v>46476</v>
      </c>
      <c r="K483" s="367"/>
    </row>
    <row r="484" spans="1:11" s="3" customFormat="1" hidden="1" x14ac:dyDescent="0.2">
      <c r="A484" s="367" t="s">
        <v>3515</v>
      </c>
      <c r="B484" s="367"/>
      <c r="C484" s="367"/>
      <c r="D484" s="367"/>
      <c r="E484" s="367"/>
      <c r="F484" s="367"/>
      <c r="G484" s="367"/>
      <c r="H484" s="369">
        <v>3306650</v>
      </c>
      <c r="I484" s="367">
        <v>750</v>
      </c>
      <c r="J484" s="368">
        <v>45975</v>
      </c>
      <c r="K484" s="367"/>
    </row>
    <row r="485" spans="1:11" hidden="1" x14ac:dyDescent="0.2">
      <c r="A485" s="367" t="s">
        <v>3516</v>
      </c>
      <c r="B485" s="367"/>
      <c r="C485" s="367"/>
      <c r="D485" s="367"/>
      <c r="E485" s="367"/>
      <c r="F485" s="367"/>
      <c r="G485" s="367"/>
      <c r="H485" s="369">
        <v>6569583</v>
      </c>
      <c r="I485" s="367">
        <v>500</v>
      </c>
      <c r="J485" s="368">
        <v>46944</v>
      </c>
      <c r="K485" s="367"/>
    </row>
    <row r="486" spans="1:11" s="3" customFormat="1" hidden="1" x14ac:dyDescent="0.2">
      <c r="A486" s="367" t="s">
        <v>3517</v>
      </c>
      <c r="B486" s="367"/>
      <c r="C486" s="367"/>
      <c r="D486" s="367"/>
      <c r="E486" s="367"/>
      <c r="F486" s="367"/>
      <c r="G486" s="367"/>
      <c r="H486" s="369">
        <v>3960560</v>
      </c>
      <c r="I486" s="367">
        <v>320</v>
      </c>
      <c r="J486" s="368">
        <v>45835</v>
      </c>
      <c r="K486" s="367"/>
    </row>
    <row r="487" spans="1:11" hidden="1" x14ac:dyDescent="0.2">
      <c r="A487" s="367" t="s">
        <v>3518</v>
      </c>
      <c r="B487" s="367"/>
      <c r="C487" s="367"/>
      <c r="D487" s="367"/>
      <c r="E487" s="367"/>
      <c r="F487" s="367"/>
      <c r="G487" s="367"/>
      <c r="H487" s="369">
        <v>4510171</v>
      </c>
      <c r="I487" s="367">
        <v>323</v>
      </c>
      <c r="J487" s="368">
        <v>45757</v>
      </c>
      <c r="K487" s="367"/>
    </row>
    <row r="488" spans="1:11" s="3" customFormat="1" hidden="1" x14ac:dyDescent="0.2">
      <c r="A488" s="367" t="s">
        <v>3519</v>
      </c>
      <c r="B488" s="367"/>
      <c r="C488" s="367"/>
      <c r="D488" s="367"/>
      <c r="E488" s="367"/>
      <c r="F488" s="367"/>
      <c r="G488" s="367"/>
      <c r="H488" s="369">
        <v>2995807</v>
      </c>
      <c r="I488" s="367">
        <v>500</v>
      </c>
      <c r="J488" s="368">
        <v>46308</v>
      </c>
      <c r="K488" s="367"/>
    </row>
    <row r="489" spans="1:11" hidden="1" x14ac:dyDescent="0.2">
      <c r="A489" s="367" t="s">
        <v>3520</v>
      </c>
      <c r="B489" s="367"/>
      <c r="C489" s="367"/>
      <c r="D489" s="367"/>
      <c r="E489" s="367"/>
      <c r="F489" s="367"/>
      <c r="G489" s="367"/>
      <c r="H489" s="369">
        <v>2000000</v>
      </c>
      <c r="I489" s="367">
        <v>250</v>
      </c>
      <c r="J489" s="368">
        <v>46134</v>
      </c>
      <c r="K489" s="367"/>
    </row>
    <row r="490" spans="1:11" s="3" customFormat="1" hidden="1" x14ac:dyDescent="0.2">
      <c r="A490" s="367" t="s">
        <v>3521</v>
      </c>
      <c r="B490" s="367"/>
      <c r="C490" s="367"/>
      <c r="D490" s="367"/>
      <c r="E490" s="367"/>
      <c r="F490" s="367"/>
      <c r="G490" s="367"/>
      <c r="H490" s="369">
        <v>4265400</v>
      </c>
      <c r="I490" s="367">
        <v>160</v>
      </c>
      <c r="J490" s="368">
        <v>45961</v>
      </c>
      <c r="K490" s="367"/>
    </row>
    <row r="491" spans="1:11" hidden="1" x14ac:dyDescent="0.2">
      <c r="A491" s="367" t="s">
        <v>3522</v>
      </c>
      <c r="B491" s="367"/>
      <c r="C491" s="367"/>
      <c r="D491" s="367"/>
      <c r="E491" s="367"/>
      <c r="F491" s="367"/>
      <c r="G491" s="367"/>
      <c r="H491" s="369">
        <v>3249650</v>
      </c>
      <c r="I491" s="367">
        <v>60</v>
      </c>
      <c r="J491" s="368">
        <v>46308</v>
      </c>
      <c r="K491" s="367"/>
    </row>
    <row r="492" spans="1:11" s="3" customFormat="1" hidden="1" x14ac:dyDescent="0.2">
      <c r="A492" s="367" t="s">
        <v>3523</v>
      </c>
      <c r="B492" s="367"/>
      <c r="C492" s="367"/>
      <c r="D492" s="367"/>
      <c r="E492" s="367"/>
      <c r="F492" s="367"/>
      <c r="G492" s="367"/>
      <c r="H492" s="369">
        <v>7336000</v>
      </c>
      <c r="I492" s="367">
        <v>840</v>
      </c>
      <c r="J492" s="368">
        <v>46308</v>
      </c>
      <c r="K492" s="367"/>
    </row>
    <row r="493" spans="1:11" hidden="1" x14ac:dyDescent="0.2">
      <c r="A493" s="367" t="s">
        <v>3524</v>
      </c>
      <c r="B493" s="367"/>
      <c r="C493" s="367"/>
      <c r="D493" s="367"/>
      <c r="E493" s="367"/>
      <c r="F493" s="367"/>
      <c r="G493" s="367"/>
      <c r="H493" s="369">
        <v>500000</v>
      </c>
      <c r="I493" s="367">
        <v>500</v>
      </c>
      <c r="J493" s="368">
        <v>47021</v>
      </c>
      <c r="K493" s="367"/>
    </row>
    <row r="494" spans="1:11" s="3" customFormat="1" hidden="1" x14ac:dyDescent="0.2">
      <c r="A494" s="367" t="s">
        <v>3525</v>
      </c>
      <c r="B494" s="367"/>
      <c r="C494" s="367"/>
      <c r="D494" s="367"/>
      <c r="E494" s="367"/>
      <c r="F494" s="367"/>
      <c r="G494" s="367"/>
      <c r="H494" s="369">
        <v>4878700</v>
      </c>
      <c r="I494" s="367">
        <v>235</v>
      </c>
      <c r="J494" s="368">
        <v>46406</v>
      </c>
      <c r="K494" s="367"/>
    </row>
    <row r="495" spans="1:11" hidden="1" x14ac:dyDescent="0.2">
      <c r="A495" s="367" t="s">
        <v>3526</v>
      </c>
      <c r="B495" s="367"/>
      <c r="C495" s="367"/>
      <c r="D495" s="367"/>
      <c r="E495" s="367"/>
      <c r="F495" s="367"/>
      <c r="G495" s="367"/>
      <c r="H495" s="369">
        <v>3962206</v>
      </c>
      <c r="I495" s="367">
        <v>750</v>
      </c>
      <c r="J495" s="368">
        <v>45975</v>
      </c>
      <c r="K495" s="367"/>
    </row>
    <row r="496" spans="1:11" s="3" customFormat="1" hidden="1" x14ac:dyDescent="0.2">
      <c r="A496" s="367" t="s">
        <v>3527</v>
      </c>
      <c r="B496" s="367"/>
      <c r="C496" s="367"/>
      <c r="D496" s="367"/>
      <c r="E496" s="367"/>
      <c r="F496" s="367"/>
      <c r="G496" s="367"/>
      <c r="H496" s="369">
        <v>3624760</v>
      </c>
      <c r="I496" s="367">
        <v>486</v>
      </c>
      <c r="J496" s="368">
        <v>46916</v>
      </c>
      <c r="K496" s="367"/>
    </row>
    <row r="497" spans="1:11" hidden="1" x14ac:dyDescent="0.2">
      <c r="A497" s="367" t="s">
        <v>3528</v>
      </c>
      <c r="B497" s="367"/>
      <c r="C497" s="367"/>
      <c r="D497" s="367"/>
      <c r="E497" s="367"/>
      <c r="F497" s="367"/>
      <c r="G497" s="367"/>
      <c r="H497" s="369">
        <v>1102000</v>
      </c>
      <c r="I497" s="367">
        <v>190</v>
      </c>
      <c r="J497" s="368">
        <v>46476</v>
      </c>
      <c r="K497" s="367"/>
    </row>
    <row r="498" spans="1:11" s="3" customFormat="1" hidden="1" x14ac:dyDescent="0.2">
      <c r="A498" s="367" t="s">
        <v>3529</v>
      </c>
      <c r="B498" s="367"/>
      <c r="C498" s="367"/>
      <c r="D498" s="367"/>
      <c r="E498" s="367"/>
      <c r="F498" s="367"/>
      <c r="G498" s="367"/>
      <c r="H498" s="369">
        <v>773330</v>
      </c>
      <c r="I498" s="367">
        <v>60</v>
      </c>
      <c r="J498" s="368">
        <v>45162</v>
      </c>
      <c r="K498" s="367"/>
    </row>
    <row r="499" spans="1:11" hidden="1" x14ac:dyDescent="0.2">
      <c r="A499" s="367" t="s">
        <v>3530</v>
      </c>
      <c r="B499" s="367"/>
      <c r="C499" s="367"/>
      <c r="D499" s="367"/>
      <c r="E499" s="367"/>
      <c r="F499" s="367"/>
      <c r="G499" s="367"/>
      <c r="H499" s="369">
        <v>2674511</v>
      </c>
      <c r="I499" s="367">
        <v>142</v>
      </c>
      <c r="J499" s="368">
        <v>45091</v>
      </c>
      <c r="K499" s="367"/>
    </row>
    <row r="500" spans="1:11" s="3" customFormat="1" hidden="1" x14ac:dyDescent="0.2">
      <c r="A500" s="367" t="s">
        <v>3531</v>
      </c>
      <c r="B500" s="367"/>
      <c r="C500" s="367"/>
      <c r="D500" s="367"/>
      <c r="E500" s="367"/>
      <c r="F500" s="367"/>
      <c r="G500" s="367"/>
      <c r="H500" s="369">
        <v>33687685</v>
      </c>
      <c r="I500" s="367">
        <v>959</v>
      </c>
      <c r="J500" s="368">
        <v>45799</v>
      </c>
      <c r="K500" s="367"/>
    </row>
    <row r="501" spans="1:11" hidden="1" x14ac:dyDescent="0.2">
      <c r="A501" s="367" t="s">
        <v>3532</v>
      </c>
      <c r="B501" s="367"/>
      <c r="C501" s="367"/>
      <c r="D501" s="367"/>
      <c r="E501" s="367"/>
      <c r="F501" s="367"/>
      <c r="G501" s="367"/>
      <c r="H501" s="369">
        <v>13458813</v>
      </c>
      <c r="I501" s="367">
        <v>1144</v>
      </c>
      <c r="J501" s="368">
        <v>45756</v>
      </c>
      <c r="K501" s="367"/>
    </row>
    <row r="502" spans="1:11" s="3" customFormat="1" hidden="1" x14ac:dyDescent="0.2">
      <c r="A502" s="367" t="s">
        <v>3533</v>
      </c>
      <c r="B502" s="367"/>
      <c r="C502" s="367"/>
      <c r="D502" s="367"/>
      <c r="E502" s="367"/>
      <c r="F502" s="367"/>
      <c r="G502" s="367"/>
      <c r="H502" s="369">
        <v>400000</v>
      </c>
      <c r="I502" s="367">
        <v>200</v>
      </c>
      <c r="J502" s="368">
        <v>45138</v>
      </c>
      <c r="K502" s="367"/>
    </row>
    <row r="503" spans="1:11" hidden="1" x14ac:dyDescent="0.2">
      <c r="A503" s="367" t="s">
        <v>3534</v>
      </c>
      <c r="B503" s="367"/>
      <c r="C503" s="367"/>
      <c r="D503" s="367"/>
      <c r="E503" s="367"/>
      <c r="F503" s="367"/>
      <c r="G503" s="367"/>
      <c r="H503" s="369">
        <v>63612603</v>
      </c>
      <c r="I503" s="367">
        <v>2907</v>
      </c>
      <c r="J503" s="368">
        <v>44564</v>
      </c>
      <c r="K503" s="367"/>
    </row>
    <row r="504" spans="1:11" hidden="1" x14ac:dyDescent="0.2">
      <c r="A504" s="367" t="s">
        <v>3535</v>
      </c>
      <c r="B504" s="367"/>
      <c r="C504" s="367"/>
      <c r="D504" s="367"/>
      <c r="E504" s="367"/>
      <c r="F504" s="367"/>
      <c r="G504" s="367"/>
      <c r="H504" s="369">
        <v>890121</v>
      </c>
      <c r="I504" s="367">
        <v>120</v>
      </c>
      <c r="J504" s="368">
        <v>46346</v>
      </c>
      <c r="K504" s="367"/>
    </row>
    <row r="505" spans="1:11" s="3" customFormat="1" hidden="1" x14ac:dyDescent="0.2">
      <c r="A505" s="367" t="s">
        <v>3536</v>
      </c>
      <c r="B505" s="367"/>
      <c r="C505" s="367"/>
      <c r="D505" s="367"/>
      <c r="E505" s="367"/>
      <c r="F505" s="367"/>
      <c r="G505" s="367"/>
      <c r="H505" s="369">
        <v>800000</v>
      </c>
      <c r="I505" s="367">
        <v>750</v>
      </c>
      <c r="J505" s="368">
        <v>44862</v>
      </c>
      <c r="K505" s="367"/>
    </row>
    <row r="506" spans="1:11" hidden="1" x14ac:dyDescent="0.2">
      <c r="A506" s="367" t="s">
        <v>3537</v>
      </c>
      <c r="B506" s="367"/>
      <c r="C506" s="367"/>
      <c r="D506" s="367"/>
      <c r="E506" s="367"/>
      <c r="F506" s="367"/>
      <c r="G506" s="367"/>
      <c r="H506" s="369">
        <v>500000</v>
      </c>
      <c r="I506" s="367">
        <v>120</v>
      </c>
      <c r="J506" s="368">
        <v>46309</v>
      </c>
      <c r="K506" s="367"/>
    </row>
    <row r="507" spans="1:11" hidden="1" x14ac:dyDescent="0.2">
      <c r="A507" s="367" t="s">
        <v>3538</v>
      </c>
      <c r="B507" s="367"/>
      <c r="C507" s="367"/>
      <c r="D507" s="367"/>
      <c r="E507" s="367"/>
      <c r="F507" s="367"/>
      <c r="G507" s="367"/>
      <c r="H507" s="369">
        <v>1337062</v>
      </c>
      <c r="I507" s="367">
        <v>500</v>
      </c>
      <c r="J507" s="368">
        <v>46308</v>
      </c>
      <c r="K507" s="367"/>
    </row>
    <row r="508" spans="1:11" hidden="1" x14ac:dyDescent="0.2">
      <c r="A508" s="367" t="s">
        <v>3539</v>
      </c>
      <c r="B508" s="367"/>
      <c r="C508" s="367"/>
      <c r="D508" s="367"/>
      <c r="E508" s="367"/>
      <c r="F508" s="367"/>
      <c r="G508" s="367"/>
      <c r="H508" s="369">
        <v>1528473</v>
      </c>
      <c r="I508" s="367">
        <v>499</v>
      </c>
      <c r="J508" s="368">
        <v>45996</v>
      </c>
      <c r="K508" s="367"/>
    </row>
    <row r="509" spans="1:11" hidden="1" x14ac:dyDescent="0.2">
      <c r="A509" s="367" t="s">
        <v>3540</v>
      </c>
      <c r="B509" s="367"/>
      <c r="C509" s="367"/>
      <c r="D509" s="367"/>
      <c r="E509" s="367"/>
      <c r="F509" s="367"/>
      <c r="G509" s="367"/>
      <c r="H509" s="369">
        <v>1445963</v>
      </c>
      <c r="I509" s="367">
        <v>63</v>
      </c>
      <c r="J509" s="368">
        <v>46309</v>
      </c>
      <c r="K509" s="367"/>
    </row>
    <row r="510" spans="1:11" hidden="1" x14ac:dyDescent="0.2">
      <c r="A510" s="367" t="s">
        <v>3541</v>
      </c>
      <c r="B510" s="367"/>
      <c r="C510" s="367"/>
      <c r="D510" s="367"/>
      <c r="E510" s="367"/>
      <c r="F510" s="367"/>
      <c r="G510" s="367"/>
      <c r="H510" s="369">
        <v>2065831</v>
      </c>
      <c r="I510" s="367">
        <v>346</v>
      </c>
      <c r="J510" s="368">
        <v>46309</v>
      </c>
      <c r="K510" s="367"/>
    </row>
    <row r="511" spans="1:11" hidden="1" x14ac:dyDescent="0.2">
      <c r="A511" s="367" t="s">
        <v>3542</v>
      </c>
      <c r="B511" s="367"/>
      <c r="C511" s="367"/>
      <c r="D511" s="367"/>
      <c r="E511" s="367"/>
      <c r="F511" s="367"/>
      <c r="G511" s="367"/>
      <c r="H511" s="369">
        <v>683109</v>
      </c>
      <c r="I511" s="367">
        <v>80</v>
      </c>
      <c r="J511" s="368">
        <v>46100</v>
      </c>
      <c r="K511" s="367"/>
    </row>
    <row r="512" spans="1:11" hidden="1" x14ac:dyDescent="0.2">
      <c r="A512" s="367" t="s">
        <v>3543</v>
      </c>
      <c r="B512" s="367"/>
      <c r="C512" s="367"/>
      <c r="D512" s="367"/>
      <c r="E512" s="367"/>
      <c r="F512" s="367"/>
      <c r="G512" s="367"/>
      <c r="H512" s="369">
        <v>800214</v>
      </c>
      <c r="I512" s="367">
        <v>120</v>
      </c>
      <c r="J512" s="368">
        <v>46244</v>
      </c>
      <c r="K512" s="367"/>
    </row>
    <row r="513" spans="1:11" hidden="1" x14ac:dyDescent="0.2">
      <c r="A513" s="367" t="s">
        <v>3544</v>
      </c>
      <c r="B513" s="367"/>
      <c r="C513" s="367"/>
      <c r="D513" s="367"/>
      <c r="E513" s="367"/>
      <c r="F513" s="367"/>
      <c r="G513" s="367"/>
      <c r="H513" s="369">
        <v>495248</v>
      </c>
      <c r="I513" s="367">
        <v>60</v>
      </c>
      <c r="J513" s="368">
        <v>46258</v>
      </c>
      <c r="K513" s="367"/>
    </row>
    <row r="514" spans="1:11" hidden="1" x14ac:dyDescent="0.2">
      <c r="A514" s="367" t="s">
        <v>3545</v>
      </c>
      <c r="B514" s="367"/>
      <c r="C514" s="367"/>
      <c r="D514" s="367"/>
      <c r="E514" s="367"/>
      <c r="F514" s="367"/>
      <c r="G514" s="367"/>
      <c r="H514" s="369">
        <v>338039</v>
      </c>
      <c r="I514" s="367">
        <v>80</v>
      </c>
      <c r="J514" s="368">
        <v>46507</v>
      </c>
      <c r="K514" s="367"/>
    </row>
    <row r="515" spans="1:11" s="3" customFormat="1" hidden="1" x14ac:dyDescent="0.2">
      <c r="A515" s="367" t="s">
        <v>3546</v>
      </c>
      <c r="B515" s="367"/>
      <c r="C515" s="367"/>
      <c r="D515" s="367"/>
      <c r="E515" s="367"/>
      <c r="F515" s="367"/>
      <c r="G515" s="367"/>
      <c r="H515" s="369">
        <v>280325</v>
      </c>
      <c r="I515" s="367">
        <v>120</v>
      </c>
      <c r="J515" s="368">
        <v>46652</v>
      </c>
      <c r="K515" s="367"/>
    </row>
    <row r="516" spans="1:11" hidden="1" x14ac:dyDescent="0.2">
      <c r="A516" s="367" t="s">
        <v>3547</v>
      </c>
      <c r="B516" s="367"/>
      <c r="C516" s="367"/>
      <c r="D516" s="367"/>
      <c r="E516" s="367"/>
      <c r="F516" s="367"/>
      <c r="G516" s="367"/>
      <c r="H516" s="369">
        <v>2650000</v>
      </c>
      <c r="I516" s="367">
        <v>250</v>
      </c>
      <c r="J516" s="368">
        <v>46972</v>
      </c>
      <c r="K516" s="367"/>
    </row>
    <row r="517" spans="1:11" s="3" customFormat="1" hidden="1" x14ac:dyDescent="0.2">
      <c r="A517" s="367" t="s">
        <v>3548</v>
      </c>
      <c r="B517" s="367"/>
      <c r="C517" s="367"/>
      <c r="D517" s="367"/>
      <c r="E517" s="367"/>
      <c r="F517" s="367"/>
      <c r="G517" s="367"/>
      <c r="H517" s="369">
        <v>2300964</v>
      </c>
      <c r="I517" s="367">
        <v>1112</v>
      </c>
      <c r="J517" s="368">
        <v>45757</v>
      </c>
      <c r="K517" s="367"/>
    </row>
    <row r="518" spans="1:11" hidden="1" x14ac:dyDescent="0.2">
      <c r="A518" s="367" t="s">
        <v>3549</v>
      </c>
      <c r="B518" s="367"/>
      <c r="C518" s="367"/>
      <c r="D518" s="367"/>
      <c r="E518" s="367"/>
      <c r="F518" s="367"/>
      <c r="G518" s="367"/>
      <c r="H518" s="369">
        <v>500000</v>
      </c>
      <c r="I518" s="367">
        <v>80</v>
      </c>
      <c r="J518" s="368">
        <v>46338</v>
      </c>
      <c r="K518" s="367"/>
    </row>
    <row r="519" spans="1:11" s="3" customFormat="1" hidden="1" x14ac:dyDescent="0.2">
      <c r="A519" s="367" t="s">
        <v>3550</v>
      </c>
      <c r="B519" s="367"/>
      <c r="C519" s="367"/>
      <c r="D519" s="367"/>
      <c r="E519" s="367"/>
      <c r="F519" s="367"/>
      <c r="G519" s="367"/>
      <c r="H519" s="369">
        <v>334754</v>
      </c>
      <c r="I519" s="367">
        <v>147</v>
      </c>
      <c r="J519" s="368">
        <v>46049</v>
      </c>
      <c r="K519" s="367"/>
    </row>
    <row r="520" spans="1:11" hidden="1" x14ac:dyDescent="0.2">
      <c r="A520" s="367" t="s">
        <v>3551</v>
      </c>
      <c r="B520" s="367"/>
      <c r="C520" s="367"/>
      <c r="D520" s="367"/>
      <c r="E520" s="367"/>
      <c r="F520" s="367"/>
      <c r="G520" s="367"/>
      <c r="H520" s="369">
        <v>290416</v>
      </c>
      <c r="I520" s="367">
        <v>240</v>
      </c>
      <c r="J520" s="368">
        <v>46309</v>
      </c>
      <c r="K520" s="367"/>
    </row>
    <row r="521" spans="1:11" s="3" customFormat="1" hidden="1" x14ac:dyDescent="0.2">
      <c r="A521" s="367" t="s">
        <v>3552</v>
      </c>
      <c r="B521" s="367"/>
      <c r="C521" s="367"/>
      <c r="D521" s="367"/>
      <c r="E521" s="367"/>
      <c r="F521" s="367"/>
      <c r="G521" s="367"/>
      <c r="H521" s="369">
        <v>613257</v>
      </c>
      <c r="I521" s="367">
        <v>230</v>
      </c>
      <c r="J521" s="368">
        <v>46308</v>
      </c>
      <c r="K521" s="367"/>
    </row>
    <row r="522" spans="1:11" hidden="1" x14ac:dyDescent="0.2">
      <c r="A522" s="367" t="s">
        <v>3553</v>
      </c>
      <c r="B522" s="367"/>
      <c r="C522" s="367"/>
      <c r="D522" s="367"/>
      <c r="E522" s="367"/>
      <c r="F522" s="367"/>
      <c r="G522" s="367"/>
      <c r="H522" s="369">
        <v>470600</v>
      </c>
      <c r="I522" s="367">
        <v>60</v>
      </c>
      <c r="J522" s="368">
        <v>46308</v>
      </c>
      <c r="K522" s="367"/>
    </row>
    <row r="523" spans="1:11" s="3" customFormat="1" hidden="1" x14ac:dyDescent="0.2">
      <c r="A523" s="367" t="s">
        <v>3554</v>
      </c>
      <c r="B523" s="367"/>
      <c r="C523" s="367"/>
      <c r="D523" s="367"/>
      <c r="E523" s="367"/>
      <c r="F523" s="367"/>
      <c r="G523" s="367"/>
      <c r="H523" s="369">
        <v>867900</v>
      </c>
      <c r="I523" s="367">
        <v>250</v>
      </c>
      <c r="J523" s="368">
        <v>46309</v>
      </c>
      <c r="K523" s="367"/>
    </row>
    <row r="524" spans="1:11" hidden="1" x14ac:dyDescent="0.2">
      <c r="A524" s="367" t="s">
        <v>3555</v>
      </c>
      <c r="B524" s="367"/>
      <c r="C524" s="367"/>
      <c r="D524" s="367"/>
      <c r="E524" s="367"/>
      <c r="F524" s="367"/>
      <c r="G524" s="367"/>
      <c r="H524" s="369">
        <v>400000</v>
      </c>
      <c r="I524" s="367">
        <v>160</v>
      </c>
      <c r="J524" s="368">
        <v>46309</v>
      </c>
      <c r="K524" s="367"/>
    </row>
    <row r="525" spans="1:11" s="3" customFormat="1" hidden="1" x14ac:dyDescent="0.2">
      <c r="A525" s="367" t="s">
        <v>3556</v>
      </c>
      <c r="B525" s="367"/>
      <c r="C525" s="367"/>
      <c r="D525" s="367"/>
      <c r="E525" s="367"/>
      <c r="F525" s="367"/>
      <c r="G525" s="367"/>
      <c r="H525" s="369">
        <v>1017740</v>
      </c>
      <c r="I525" s="367">
        <v>125</v>
      </c>
      <c r="J525" s="368">
        <v>45811</v>
      </c>
      <c r="K525" s="367"/>
    </row>
    <row r="526" spans="1:11" hidden="1" x14ac:dyDescent="0.2">
      <c r="A526" s="367" t="s">
        <v>3557</v>
      </c>
      <c r="B526" s="367"/>
      <c r="C526" s="367"/>
      <c r="D526" s="367"/>
      <c r="E526" s="367"/>
      <c r="F526" s="367"/>
      <c r="G526" s="367"/>
      <c r="H526" s="369">
        <v>320610</v>
      </c>
      <c r="I526" s="367">
        <v>250</v>
      </c>
      <c r="J526" s="368">
        <v>46309</v>
      </c>
      <c r="K526" s="367"/>
    </row>
    <row r="527" spans="1:11" hidden="1" x14ac:dyDescent="0.2">
      <c r="A527" s="367" t="s">
        <v>3558</v>
      </c>
      <c r="B527" s="367"/>
      <c r="C527" s="367"/>
      <c r="D527" s="367"/>
      <c r="E527" s="367"/>
      <c r="F527" s="367"/>
      <c r="G527" s="367"/>
      <c r="H527" s="369">
        <v>22105500</v>
      </c>
      <c r="I527" s="367">
        <v>100</v>
      </c>
      <c r="J527" s="368">
        <v>46406</v>
      </c>
      <c r="K527" s="367"/>
    </row>
    <row r="528" spans="1:11" s="3" customFormat="1" hidden="1" x14ac:dyDescent="0.2">
      <c r="A528" s="367" t="s">
        <v>3559</v>
      </c>
      <c r="B528" s="367"/>
      <c r="C528" s="367"/>
      <c r="D528" s="367"/>
      <c r="E528" s="367"/>
      <c r="F528" s="367"/>
      <c r="G528" s="367"/>
      <c r="H528" s="369">
        <v>350000</v>
      </c>
      <c r="I528" s="367">
        <v>120</v>
      </c>
      <c r="J528" s="368">
        <v>46385</v>
      </c>
      <c r="K528" s="367"/>
    </row>
    <row r="529" spans="1:11" hidden="1" x14ac:dyDescent="0.2">
      <c r="A529" s="367" t="s">
        <v>3560</v>
      </c>
      <c r="B529" s="367"/>
      <c r="C529" s="367"/>
      <c r="D529" s="367"/>
      <c r="E529" s="367"/>
      <c r="F529" s="367"/>
      <c r="G529" s="367"/>
      <c r="H529" s="369">
        <v>861112</v>
      </c>
      <c r="I529" s="367">
        <v>215</v>
      </c>
      <c r="J529" s="368">
        <v>46336</v>
      </c>
      <c r="K529" s="367"/>
    </row>
    <row r="530" spans="1:11" s="3" customFormat="1" hidden="1" x14ac:dyDescent="0.2">
      <c r="A530" s="367" t="s">
        <v>3561</v>
      </c>
      <c r="B530" s="367"/>
      <c r="C530" s="367"/>
      <c r="D530" s="367"/>
      <c r="E530" s="367"/>
      <c r="F530" s="367"/>
      <c r="G530" s="367"/>
      <c r="H530" s="369">
        <v>3661300</v>
      </c>
      <c r="I530" s="367">
        <v>360</v>
      </c>
      <c r="J530" s="368">
        <v>46309</v>
      </c>
      <c r="K530" s="367"/>
    </row>
    <row r="531" spans="1:11" hidden="1" x14ac:dyDescent="0.2">
      <c r="A531" s="367" t="s">
        <v>3562</v>
      </c>
      <c r="B531" s="367"/>
      <c r="C531" s="367"/>
      <c r="D531" s="367"/>
      <c r="E531" s="367"/>
      <c r="F531" s="367"/>
      <c r="G531" s="367"/>
      <c r="H531" s="369">
        <v>330000</v>
      </c>
      <c r="I531" s="367">
        <v>120</v>
      </c>
      <c r="J531" s="368">
        <v>46820</v>
      </c>
      <c r="K531" s="367"/>
    </row>
    <row r="532" spans="1:11" s="3" customFormat="1" hidden="1" x14ac:dyDescent="0.2">
      <c r="A532" s="367" t="s">
        <v>3563</v>
      </c>
      <c r="B532" s="367"/>
      <c r="C532" s="367"/>
      <c r="D532" s="367"/>
      <c r="E532" s="367"/>
      <c r="F532" s="367"/>
      <c r="G532" s="367"/>
      <c r="H532" s="369">
        <v>398000</v>
      </c>
      <c r="I532" s="367">
        <v>160</v>
      </c>
      <c r="J532" s="368">
        <v>46428</v>
      </c>
      <c r="K532" s="367"/>
    </row>
    <row r="533" spans="1:11" hidden="1" x14ac:dyDescent="0.2">
      <c r="A533" s="367" t="s">
        <v>3564</v>
      </c>
      <c r="B533" s="367"/>
      <c r="C533" s="367"/>
      <c r="D533" s="367"/>
      <c r="E533" s="367"/>
      <c r="F533" s="367"/>
      <c r="G533" s="367"/>
      <c r="H533" s="369">
        <v>1719000</v>
      </c>
      <c r="I533" s="367">
        <v>250</v>
      </c>
      <c r="J533" s="368">
        <v>45918</v>
      </c>
      <c r="K533" s="367"/>
    </row>
    <row r="534" spans="1:11" s="3" customFormat="1" hidden="1" x14ac:dyDescent="0.2">
      <c r="A534" s="367" t="s">
        <v>3565</v>
      </c>
      <c r="B534" s="367"/>
      <c r="C534" s="367"/>
      <c r="D534" s="367"/>
      <c r="E534" s="367"/>
      <c r="F534" s="367"/>
      <c r="G534" s="367"/>
      <c r="H534" s="369">
        <v>441487</v>
      </c>
      <c r="I534" s="367">
        <v>500</v>
      </c>
      <c r="J534" s="368">
        <v>46850</v>
      </c>
      <c r="K534" s="367"/>
    </row>
    <row r="535" spans="1:11" hidden="1" x14ac:dyDescent="0.2">
      <c r="A535" s="367" t="s">
        <v>3566</v>
      </c>
      <c r="B535" s="367"/>
      <c r="C535" s="367"/>
      <c r="D535" s="367"/>
      <c r="E535" s="367"/>
      <c r="F535" s="367"/>
      <c r="G535" s="367"/>
      <c r="H535" s="369">
        <v>694200</v>
      </c>
      <c r="I535" s="367">
        <v>60</v>
      </c>
      <c r="J535" s="368">
        <v>46308</v>
      </c>
      <c r="K535" s="367"/>
    </row>
    <row r="536" spans="1:11" s="3" customFormat="1" hidden="1" x14ac:dyDescent="0.2">
      <c r="A536" s="367" t="s">
        <v>3567</v>
      </c>
      <c r="B536" s="367"/>
      <c r="C536" s="367"/>
      <c r="D536" s="367"/>
      <c r="E536" s="367"/>
      <c r="F536" s="367"/>
      <c r="G536" s="367"/>
      <c r="H536" s="369">
        <v>506630</v>
      </c>
      <c r="I536" s="367">
        <v>360</v>
      </c>
      <c r="J536" s="368">
        <v>46309</v>
      </c>
      <c r="K536" s="367"/>
    </row>
    <row r="537" spans="1:11" hidden="1" x14ac:dyDescent="0.2">
      <c r="A537" s="367" t="s">
        <v>3568</v>
      </c>
      <c r="B537" s="367"/>
      <c r="C537" s="367"/>
      <c r="D537" s="367"/>
      <c r="E537" s="367"/>
      <c r="F537" s="367"/>
      <c r="G537" s="367"/>
      <c r="H537" s="369">
        <v>410425</v>
      </c>
      <c r="I537" s="367">
        <v>180</v>
      </c>
      <c r="J537" s="368">
        <v>46476</v>
      </c>
      <c r="K537" s="367"/>
    </row>
    <row r="538" spans="1:11" hidden="1" x14ac:dyDescent="0.2">
      <c r="A538" s="367" t="s">
        <v>3569</v>
      </c>
      <c r="B538" s="367"/>
      <c r="C538" s="367"/>
      <c r="D538" s="367"/>
      <c r="E538" s="367"/>
      <c r="F538" s="367"/>
      <c r="G538" s="367"/>
      <c r="H538" s="369">
        <v>546000</v>
      </c>
      <c r="I538" s="367">
        <v>250</v>
      </c>
      <c r="J538" s="368">
        <v>45757</v>
      </c>
      <c r="K538" s="367"/>
    </row>
    <row r="539" spans="1:11" s="3" customFormat="1" hidden="1" x14ac:dyDescent="0.2">
      <c r="A539" s="367" t="s">
        <v>3570</v>
      </c>
      <c r="B539" s="367"/>
      <c r="C539" s="367"/>
      <c r="D539" s="367"/>
      <c r="E539" s="367"/>
      <c r="F539" s="367"/>
      <c r="G539" s="367"/>
      <c r="H539" s="369">
        <v>890358</v>
      </c>
      <c r="I539" s="367">
        <v>146</v>
      </c>
      <c r="J539" s="368">
        <v>46309</v>
      </c>
      <c r="K539" s="367"/>
    </row>
    <row r="540" spans="1:11" hidden="1" x14ac:dyDescent="0.2">
      <c r="A540" s="367" t="s">
        <v>3571</v>
      </c>
      <c r="B540" s="367"/>
      <c r="C540" s="367"/>
      <c r="D540" s="367"/>
      <c r="E540" s="367"/>
      <c r="F540" s="367"/>
      <c r="G540" s="367"/>
      <c r="H540" s="369">
        <v>1619200</v>
      </c>
      <c r="I540" s="367">
        <v>60</v>
      </c>
      <c r="J540" s="368">
        <v>46308</v>
      </c>
      <c r="K540" s="367"/>
    </row>
    <row r="541" spans="1:11" s="3" customFormat="1" hidden="1" x14ac:dyDescent="0.2">
      <c r="A541" s="367" t="s">
        <v>3572</v>
      </c>
      <c r="B541" s="367"/>
      <c r="C541" s="367"/>
      <c r="D541" s="367"/>
      <c r="E541" s="367"/>
      <c r="F541" s="367"/>
      <c r="G541" s="367"/>
      <c r="H541" s="369">
        <v>643710</v>
      </c>
      <c r="I541" s="367">
        <v>280</v>
      </c>
      <c r="J541" s="368">
        <v>46309</v>
      </c>
      <c r="K541" s="367"/>
    </row>
    <row r="542" spans="1:11" hidden="1" x14ac:dyDescent="0.2">
      <c r="A542" s="367" t="s">
        <v>3573</v>
      </c>
      <c r="B542" s="367"/>
      <c r="C542" s="367"/>
      <c r="D542" s="367"/>
      <c r="E542" s="367"/>
      <c r="F542" s="367"/>
      <c r="G542" s="367"/>
      <c r="H542" s="369">
        <v>334754</v>
      </c>
      <c r="I542" s="367">
        <v>60</v>
      </c>
      <c r="J542" s="368">
        <v>47270</v>
      </c>
      <c r="K542" s="367"/>
    </row>
    <row r="543" spans="1:11" s="3" customFormat="1" hidden="1" x14ac:dyDescent="0.2">
      <c r="A543" s="367" t="s">
        <v>3574</v>
      </c>
      <c r="B543" s="367"/>
      <c r="C543" s="367"/>
      <c r="D543" s="367"/>
      <c r="E543" s="367"/>
      <c r="F543" s="367"/>
      <c r="G543" s="367"/>
      <c r="H543" s="369">
        <v>1628350</v>
      </c>
      <c r="I543" s="367">
        <v>60</v>
      </c>
      <c r="J543" s="368">
        <v>46308</v>
      </c>
      <c r="K543" s="367"/>
    </row>
    <row r="544" spans="1:11" hidden="1" x14ac:dyDescent="0.2">
      <c r="A544" s="367" t="s">
        <v>3575</v>
      </c>
      <c r="B544" s="367"/>
      <c r="C544" s="367"/>
      <c r="D544" s="367"/>
      <c r="E544" s="367"/>
      <c r="F544" s="367"/>
      <c r="G544" s="367"/>
      <c r="H544" s="369">
        <v>808376</v>
      </c>
      <c r="I544" s="367">
        <v>250</v>
      </c>
      <c r="J544" s="368">
        <v>46309</v>
      </c>
      <c r="K544" s="367"/>
    </row>
    <row r="545" spans="1:11" s="3" customFormat="1" hidden="1" x14ac:dyDescent="0.2">
      <c r="A545" s="367" t="s">
        <v>3576</v>
      </c>
      <c r="B545" s="367"/>
      <c r="C545" s="367"/>
      <c r="D545" s="367"/>
      <c r="E545" s="367"/>
      <c r="F545" s="367"/>
      <c r="G545" s="367"/>
      <c r="H545" s="369">
        <v>463354</v>
      </c>
      <c r="I545" s="367">
        <v>250</v>
      </c>
      <c r="J545" s="368">
        <v>46618</v>
      </c>
      <c r="K545" s="367"/>
    </row>
    <row r="546" spans="1:11" hidden="1" x14ac:dyDescent="0.2">
      <c r="A546" s="367" t="s">
        <v>3577</v>
      </c>
      <c r="B546" s="367"/>
      <c r="C546" s="367"/>
      <c r="D546" s="367"/>
      <c r="E546" s="367"/>
      <c r="F546" s="367"/>
      <c r="G546" s="367"/>
      <c r="H546" s="369">
        <v>343563</v>
      </c>
      <c r="I546" s="367">
        <v>250</v>
      </c>
      <c r="J546" s="368">
        <v>46590</v>
      </c>
      <c r="K546" s="367"/>
    </row>
    <row r="547" spans="1:11" s="3" customFormat="1" hidden="1" x14ac:dyDescent="0.2">
      <c r="A547" s="367" t="s">
        <v>3578</v>
      </c>
      <c r="B547" s="367"/>
      <c r="C547" s="367"/>
      <c r="D547" s="367"/>
      <c r="E547" s="367"/>
      <c r="F547" s="367"/>
      <c r="G547" s="367"/>
      <c r="H547" s="369">
        <v>348414</v>
      </c>
      <c r="I547" s="367">
        <v>250</v>
      </c>
      <c r="J547" s="368">
        <v>46590</v>
      </c>
      <c r="K547" s="367"/>
    </row>
    <row r="548" spans="1:11" hidden="1" x14ac:dyDescent="0.2">
      <c r="A548" s="367" t="s">
        <v>3579</v>
      </c>
      <c r="B548" s="367"/>
      <c r="C548" s="367"/>
      <c r="D548" s="367"/>
      <c r="E548" s="367"/>
      <c r="F548" s="367"/>
      <c r="G548" s="367"/>
      <c r="H548" s="369">
        <v>1116000</v>
      </c>
      <c r="I548" s="367">
        <v>150</v>
      </c>
      <c r="J548" s="368">
        <v>46314</v>
      </c>
      <c r="K548" s="367"/>
    </row>
    <row r="549" spans="1:11" s="3" customFormat="1" hidden="1" x14ac:dyDescent="0.2">
      <c r="A549" s="367" t="s">
        <v>3580</v>
      </c>
      <c r="B549" s="367"/>
      <c r="C549" s="367"/>
      <c r="D549" s="367"/>
      <c r="E549" s="367"/>
      <c r="F549" s="367"/>
      <c r="G549" s="367"/>
      <c r="H549" s="369">
        <v>1502064</v>
      </c>
      <c r="I549" s="367">
        <v>150</v>
      </c>
      <c r="J549" s="368">
        <v>46309</v>
      </c>
      <c r="K549" s="367"/>
    </row>
    <row r="550" spans="1:11" hidden="1" x14ac:dyDescent="0.2">
      <c r="A550" s="367" t="s">
        <v>3581</v>
      </c>
      <c r="B550" s="367"/>
      <c r="C550" s="367"/>
      <c r="D550" s="367"/>
      <c r="E550" s="367"/>
      <c r="F550" s="367"/>
      <c r="G550" s="367"/>
      <c r="H550" s="369">
        <v>1419227</v>
      </c>
      <c r="I550" s="367">
        <v>250</v>
      </c>
      <c r="J550" s="368">
        <v>46590</v>
      </c>
      <c r="K550" s="367"/>
    </row>
    <row r="551" spans="1:11" s="3" customFormat="1" hidden="1" x14ac:dyDescent="0.2">
      <c r="A551" s="367" t="s">
        <v>3582</v>
      </c>
      <c r="B551" s="367"/>
      <c r="C551" s="367"/>
      <c r="D551" s="367"/>
      <c r="E551" s="367"/>
      <c r="F551" s="367"/>
      <c r="G551" s="367"/>
      <c r="H551" s="369">
        <v>813144</v>
      </c>
      <c r="I551" s="367">
        <v>150</v>
      </c>
      <c r="J551" s="368">
        <v>46309</v>
      </c>
      <c r="K551" s="367"/>
    </row>
    <row r="552" spans="1:11" hidden="1" x14ac:dyDescent="0.2">
      <c r="A552" s="367" t="s">
        <v>3583</v>
      </c>
      <c r="B552" s="367"/>
      <c r="C552" s="367"/>
      <c r="D552" s="367"/>
      <c r="E552" s="367"/>
      <c r="F552" s="367"/>
      <c r="G552" s="367"/>
      <c r="H552" s="369">
        <v>1352538</v>
      </c>
      <c r="I552" s="367">
        <v>250</v>
      </c>
      <c r="J552" s="368">
        <v>46402</v>
      </c>
      <c r="K552" s="367"/>
    </row>
    <row r="553" spans="1:11" s="3" customFormat="1" hidden="1" x14ac:dyDescent="0.2">
      <c r="A553" s="367" t="s">
        <v>3584</v>
      </c>
      <c r="B553" s="367"/>
      <c r="C553" s="367"/>
      <c r="D553" s="367"/>
      <c r="E553" s="367"/>
      <c r="F553" s="367"/>
      <c r="G553" s="367"/>
      <c r="H553" s="369">
        <v>1000000</v>
      </c>
      <c r="I553" s="367">
        <v>250</v>
      </c>
      <c r="J553" s="368">
        <v>46590</v>
      </c>
      <c r="K553" s="367"/>
    </row>
    <row r="554" spans="1:11" hidden="1" x14ac:dyDescent="0.2">
      <c r="A554" s="367" t="s">
        <v>3585</v>
      </c>
      <c r="B554" s="367"/>
      <c r="C554" s="367"/>
      <c r="D554" s="367"/>
      <c r="E554" s="367"/>
      <c r="F554" s="367"/>
      <c r="G554" s="367"/>
      <c r="H554" s="369">
        <v>889344</v>
      </c>
      <c r="I554" s="367">
        <v>251</v>
      </c>
      <c r="J554" s="368">
        <v>46590</v>
      </c>
      <c r="K554" s="367"/>
    </row>
    <row r="555" spans="1:11" s="3" customFormat="1" hidden="1" x14ac:dyDescent="0.2">
      <c r="A555" s="367" t="s">
        <v>3586</v>
      </c>
      <c r="B555" s="367"/>
      <c r="C555" s="367"/>
      <c r="D555" s="367"/>
      <c r="E555" s="367"/>
      <c r="F555" s="367"/>
      <c r="G555" s="367"/>
      <c r="H555" s="369">
        <v>906069</v>
      </c>
      <c r="I555" s="367">
        <v>200</v>
      </c>
      <c r="J555" s="368">
        <v>46913</v>
      </c>
      <c r="K555" s="367"/>
    </row>
    <row r="556" spans="1:11" hidden="1" x14ac:dyDescent="0.2">
      <c r="A556" s="367" t="s">
        <v>3587</v>
      </c>
      <c r="B556" s="367"/>
      <c r="C556" s="367"/>
      <c r="D556" s="367"/>
      <c r="E556" s="367"/>
      <c r="F556" s="367"/>
      <c r="G556" s="367"/>
      <c r="H556" s="369">
        <v>255518</v>
      </c>
      <c r="I556" s="367">
        <v>350</v>
      </c>
      <c r="J556" s="368">
        <v>46590</v>
      </c>
      <c r="K556" s="367"/>
    </row>
    <row r="557" spans="1:11" s="3" customFormat="1" hidden="1" x14ac:dyDescent="0.2">
      <c r="A557" s="367" t="s">
        <v>3588</v>
      </c>
      <c r="B557" s="367"/>
      <c r="C557" s="367"/>
      <c r="D557" s="367"/>
      <c r="E557" s="367"/>
      <c r="F557" s="367"/>
      <c r="G557" s="367"/>
      <c r="H557" s="369">
        <v>283000</v>
      </c>
      <c r="I557" s="367">
        <v>250</v>
      </c>
      <c r="J557" s="368">
        <v>46590</v>
      </c>
      <c r="K557" s="367"/>
    </row>
    <row r="558" spans="1:11" hidden="1" x14ac:dyDescent="0.2">
      <c r="A558" s="367" t="s">
        <v>3589</v>
      </c>
      <c r="B558" s="367"/>
      <c r="C558" s="367"/>
      <c r="D558" s="367"/>
      <c r="E558" s="367"/>
      <c r="F558" s="367"/>
      <c r="G558" s="367"/>
      <c r="H558" s="369">
        <v>298638</v>
      </c>
      <c r="I558" s="367">
        <v>150</v>
      </c>
      <c r="J558" s="368">
        <v>46309</v>
      </c>
      <c r="K558" s="367"/>
    </row>
    <row r="559" spans="1:11" s="3" customFormat="1" hidden="1" x14ac:dyDescent="0.2">
      <c r="A559" s="367" t="s">
        <v>3590</v>
      </c>
      <c r="B559" s="367"/>
      <c r="C559" s="367"/>
      <c r="D559" s="367"/>
      <c r="E559" s="367"/>
      <c r="F559" s="367"/>
      <c r="G559" s="367"/>
      <c r="H559" s="369">
        <v>304786</v>
      </c>
      <c r="I559" s="367">
        <v>250</v>
      </c>
      <c r="J559" s="368">
        <v>46590</v>
      </c>
      <c r="K559" s="367"/>
    </row>
    <row r="560" spans="1:11" hidden="1" x14ac:dyDescent="0.2">
      <c r="A560" s="367" t="s">
        <v>3591</v>
      </c>
      <c r="B560" s="367"/>
      <c r="C560" s="367"/>
      <c r="D560" s="367"/>
      <c r="E560" s="367"/>
      <c r="F560" s="367"/>
      <c r="G560" s="367"/>
      <c r="H560" s="369">
        <v>936694</v>
      </c>
      <c r="I560" s="367">
        <v>150</v>
      </c>
      <c r="J560" s="368">
        <v>46309</v>
      </c>
      <c r="K560" s="367"/>
    </row>
    <row r="561" spans="1:11" s="3" customFormat="1" hidden="1" x14ac:dyDescent="0.2">
      <c r="A561" s="367" t="s">
        <v>3592</v>
      </c>
      <c r="B561" s="367"/>
      <c r="C561" s="367"/>
      <c r="D561" s="367"/>
      <c r="E561" s="367"/>
      <c r="F561" s="367"/>
      <c r="G561" s="367"/>
      <c r="H561" s="369">
        <v>615570</v>
      </c>
      <c r="I561" s="367">
        <v>250</v>
      </c>
      <c r="J561" s="368">
        <v>46309</v>
      </c>
      <c r="K561" s="367"/>
    </row>
    <row r="562" spans="1:11" hidden="1" x14ac:dyDescent="0.2">
      <c r="A562" s="367" t="s">
        <v>3593</v>
      </c>
      <c r="B562" s="367"/>
      <c r="C562" s="367"/>
      <c r="D562" s="367"/>
      <c r="E562" s="367"/>
      <c r="F562" s="367"/>
      <c r="G562" s="367"/>
      <c r="H562" s="369">
        <v>979593</v>
      </c>
      <c r="I562" s="367">
        <v>150</v>
      </c>
      <c r="J562" s="368">
        <v>46309</v>
      </c>
      <c r="K562" s="367"/>
    </row>
    <row r="563" spans="1:11" s="3" customFormat="1" hidden="1" x14ac:dyDescent="0.2">
      <c r="A563" s="367" t="s">
        <v>3594</v>
      </c>
      <c r="B563" s="367"/>
      <c r="C563" s="367"/>
      <c r="D563" s="367"/>
      <c r="E563" s="367"/>
      <c r="F563" s="367"/>
      <c r="G563" s="367"/>
      <c r="H563" s="369">
        <v>497900</v>
      </c>
      <c r="I563" s="367">
        <v>100</v>
      </c>
      <c r="J563" s="368">
        <v>46590</v>
      </c>
      <c r="K563" s="367"/>
    </row>
    <row r="564" spans="1:11" hidden="1" x14ac:dyDescent="0.2">
      <c r="A564" s="367" t="s">
        <v>3595</v>
      </c>
      <c r="B564" s="367"/>
      <c r="C564" s="367"/>
      <c r="D564" s="367"/>
      <c r="E564" s="367"/>
      <c r="F564" s="367"/>
      <c r="G564" s="367"/>
      <c r="H564" s="369">
        <v>924412</v>
      </c>
      <c r="I564" s="367">
        <v>250</v>
      </c>
      <c r="J564" s="368">
        <v>46590</v>
      </c>
      <c r="K564" s="367"/>
    </row>
    <row r="565" spans="1:11" s="3" customFormat="1" hidden="1" x14ac:dyDescent="0.2">
      <c r="A565" s="367" t="s">
        <v>3596</v>
      </c>
      <c r="B565" s="367"/>
      <c r="C565" s="367"/>
      <c r="D565" s="367"/>
      <c r="E565" s="367"/>
      <c r="F565" s="367"/>
      <c r="G565" s="367"/>
      <c r="H565" s="369">
        <v>1109751</v>
      </c>
      <c r="I565" s="367">
        <v>250</v>
      </c>
      <c r="J565" s="368">
        <v>46590</v>
      </c>
      <c r="K565" s="367"/>
    </row>
    <row r="566" spans="1:11" hidden="1" x14ac:dyDescent="0.2">
      <c r="A566" s="367" t="s">
        <v>3597</v>
      </c>
      <c r="B566" s="367"/>
      <c r="C566" s="367"/>
      <c r="D566" s="367"/>
      <c r="E566" s="367"/>
      <c r="F566" s="367"/>
      <c r="G566" s="367"/>
      <c r="H566" s="369">
        <v>1654808</v>
      </c>
      <c r="I566" s="367">
        <v>250</v>
      </c>
      <c r="J566" s="368">
        <v>46561</v>
      </c>
      <c r="K566" s="367"/>
    </row>
    <row r="567" spans="1:11" s="3" customFormat="1" hidden="1" x14ac:dyDescent="0.2">
      <c r="A567" s="367" t="s">
        <v>3598</v>
      </c>
      <c r="B567" s="367"/>
      <c r="C567" s="367"/>
      <c r="D567" s="367"/>
      <c r="E567" s="367"/>
      <c r="F567" s="367"/>
      <c r="G567" s="367"/>
      <c r="H567" s="369">
        <v>598956</v>
      </c>
      <c r="I567" s="367">
        <v>125</v>
      </c>
      <c r="J567" s="368">
        <v>46406</v>
      </c>
      <c r="K567" s="367"/>
    </row>
    <row r="568" spans="1:11" hidden="1" x14ac:dyDescent="0.2">
      <c r="A568" s="367" t="s">
        <v>3599</v>
      </c>
      <c r="B568" s="367"/>
      <c r="C568" s="367"/>
      <c r="D568" s="367"/>
      <c r="E568" s="367"/>
      <c r="F568" s="367"/>
      <c r="G568" s="367"/>
      <c r="H568" s="369">
        <v>392950</v>
      </c>
      <c r="I568" s="367">
        <v>300</v>
      </c>
      <c r="J568" s="368">
        <v>46309</v>
      </c>
      <c r="K568" s="367"/>
    </row>
    <row r="569" spans="1:11" s="3" customFormat="1" hidden="1" x14ac:dyDescent="0.2">
      <c r="A569" s="367" t="s">
        <v>3600</v>
      </c>
      <c r="B569" s="367"/>
      <c r="C569" s="367"/>
      <c r="D569" s="367"/>
      <c r="E569" s="367"/>
      <c r="F569" s="367"/>
      <c r="G569" s="367"/>
      <c r="H569" s="369">
        <v>674000</v>
      </c>
      <c r="I569" s="367">
        <v>100</v>
      </c>
      <c r="J569" s="368">
        <v>46309</v>
      </c>
      <c r="K569" s="367"/>
    </row>
    <row r="570" spans="1:11" hidden="1" x14ac:dyDescent="0.2">
      <c r="A570" s="367" t="s">
        <v>3601</v>
      </c>
      <c r="B570" s="367"/>
      <c r="C570" s="367"/>
      <c r="D570" s="367"/>
      <c r="E570" s="367"/>
      <c r="F570" s="367"/>
      <c r="G570" s="367"/>
      <c r="H570" s="369">
        <v>270893</v>
      </c>
      <c r="I570" s="367">
        <v>300</v>
      </c>
      <c r="J570" s="368">
        <v>46309</v>
      </c>
      <c r="K570" s="367"/>
    </row>
    <row r="571" spans="1:11" s="3" customFormat="1" hidden="1" x14ac:dyDescent="0.2">
      <c r="A571" s="367" t="s">
        <v>3602</v>
      </c>
      <c r="B571" s="367"/>
      <c r="C571" s="367"/>
      <c r="D571" s="367"/>
      <c r="E571" s="367"/>
      <c r="F571" s="367"/>
      <c r="G571" s="367"/>
      <c r="H571" s="369">
        <v>270893</v>
      </c>
      <c r="I571" s="367">
        <v>300</v>
      </c>
      <c r="J571" s="368">
        <v>46309</v>
      </c>
      <c r="K571" s="367"/>
    </row>
    <row r="572" spans="1:11" hidden="1" x14ac:dyDescent="0.2">
      <c r="A572" s="367" t="s">
        <v>3603</v>
      </c>
      <c r="B572" s="367"/>
      <c r="C572" s="367"/>
      <c r="D572" s="367"/>
      <c r="E572" s="367"/>
      <c r="F572" s="367"/>
      <c r="G572" s="367"/>
      <c r="H572" s="369">
        <v>1193893</v>
      </c>
      <c r="I572" s="367">
        <v>300</v>
      </c>
      <c r="J572" s="368">
        <v>46309</v>
      </c>
      <c r="K572" s="367"/>
    </row>
    <row r="573" spans="1:11" s="3" customFormat="1" hidden="1" x14ac:dyDescent="0.2">
      <c r="A573" s="367" t="s">
        <v>3604</v>
      </c>
      <c r="B573" s="367"/>
      <c r="C573" s="367"/>
      <c r="D573" s="367"/>
      <c r="E573" s="367"/>
      <c r="F573" s="367"/>
      <c r="G573" s="367"/>
      <c r="H573" s="369">
        <v>636187</v>
      </c>
      <c r="I573" s="367">
        <v>100</v>
      </c>
      <c r="J573" s="368">
        <v>46309</v>
      </c>
      <c r="K573" s="367"/>
    </row>
    <row r="574" spans="1:11" hidden="1" x14ac:dyDescent="0.2">
      <c r="A574" s="367" t="s">
        <v>3605</v>
      </c>
      <c r="B574" s="367"/>
      <c r="C574" s="367"/>
      <c r="D574" s="367"/>
      <c r="E574" s="367"/>
      <c r="F574" s="367"/>
      <c r="G574" s="367"/>
      <c r="H574" s="369">
        <v>357072</v>
      </c>
      <c r="I574" s="367">
        <v>150</v>
      </c>
      <c r="J574" s="368">
        <v>46309</v>
      </c>
      <c r="K574" s="367"/>
    </row>
    <row r="575" spans="1:11" s="3" customFormat="1" hidden="1" x14ac:dyDescent="0.2">
      <c r="A575" s="367" t="s">
        <v>3606</v>
      </c>
      <c r="B575" s="367"/>
      <c r="C575" s="367"/>
      <c r="D575" s="367"/>
      <c r="E575" s="367"/>
      <c r="F575" s="367"/>
      <c r="G575" s="367"/>
      <c r="H575" s="369">
        <v>686000</v>
      </c>
      <c r="I575" s="367">
        <v>100</v>
      </c>
      <c r="J575" s="368">
        <v>46343</v>
      </c>
      <c r="K575" s="367"/>
    </row>
    <row r="576" spans="1:11" hidden="1" x14ac:dyDescent="0.2">
      <c r="A576" s="367" t="s">
        <v>3607</v>
      </c>
      <c r="B576" s="367"/>
      <c r="C576" s="367"/>
      <c r="D576" s="367"/>
      <c r="E576" s="367"/>
      <c r="F576" s="367"/>
      <c r="G576" s="367"/>
      <c r="H576" s="369">
        <v>5119500</v>
      </c>
      <c r="I576" s="367">
        <v>1</v>
      </c>
      <c r="J576" s="368">
        <v>47025</v>
      </c>
      <c r="K576" s="367"/>
    </row>
    <row r="577" spans="1:11" hidden="1" x14ac:dyDescent="0.2">
      <c r="A577" s="367" t="s">
        <v>3608</v>
      </c>
      <c r="B577" s="367"/>
      <c r="C577" s="367"/>
      <c r="D577" s="367"/>
      <c r="E577" s="367"/>
      <c r="F577" s="367"/>
      <c r="G577" s="367"/>
      <c r="H577" s="369">
        <v>5119500</v>
      </c>
      <c r="I577" s="367">
        <v>1</v>
      </c>
      <c r="J577" s="368">
        <v>47071</v>
      </c>
      <c r="K577" s="367"/>
    </row>
    <row r="578" spans="1:11" s="3" customFormat="1" hidden="1" x14ac:dyDescent="0.2">
      <c r="A578" s="367" t="s">
        <v>3609</v>
      </c>
      <c r="B578" s="367"/>
      <c r="C578" s="367"/>
      <c r="D578" s="367"/>
      <c r="E578" s="367"/>
      <c r="F578" s="367"/>
      <c r="G578" s="367"/>
      <c r="H578" s="369">
        <v>6387720</v>
      </c>
      <c r="I578" s="367">
        <v>482</v>
      </c>
      <c r="J578" s="368">
        <v>46309</v>
      </c>
      <c r="K578" s="367"/>
    </row>
    <row r="579" spans="1:11" hidden="1" x14ac:dyDescent="0.2">
      <c r="A579" s="367" t="s">
        <v>3610</v>
      </c>
      <c r="B579" s="367"/>
      <c r="C579" s="367"/>
      <c r="D579" s="367"/>
      <c r="E579" s="367"/>
      <c r="F579" s="367"/>
      <c r="G579" s="367"/>
      <c r="H579" s="369">
        <v>10975000</v>
      </c>
      <c r="I579" s="367">
        <v>387</v>
      </c>
      <c r="J579" s="368">
        <v>46555</v>
      </c>
      <c r="K579" s="367"/>
    </row>
    <row r="580" spans="1:11" s="3" customFormat="1" hidden="1" x14ac:dyDescent="0.2">
      <c r="A580" s="367" t="s">
        <v>3611</v>
      </c>
      <c r="B580" s="367"/>
      <c r="C580" s="367"/>
      <c r="D580" s="367"/>
      <c r="E580" s="367"/>
      <c r="F580" s="367"/>
      <c r="G580" s="367"/>
      <c r="H580" s="369">
        <v>3306650</v>
      </c>
      <c r="I580" s="367">
        <v>750</v>
      </c>
      <c r="J580" s="368">
        <v>45975</v>
      </c>
      <c r="K580" s="367"/>
    </row>
    <row r="581" spans="1:11" hidden="1" x14ac:dyDescent="0.2">
      <c r="A581" s="367" t="s">
        <v>3612</v>
      </c>
      <c r="B581" s="367"/>
      <c r="C581" s="367"/>
      <c r="D581" s="367"/>
      <c r="E581" s="367"/>
      <c r="F581" s="367"/>
      <c r="G581" s="367"/>
      <c r="H581" s="369">
        <v>531000</v>
      </c>
      <c r="I581" s="367">
        <v>100</v>
      </c>
      <c r="J581" s="368">
        <v>46343</v>
      </c>
      <c r="K581" s="367"/>
    </row>
    <row r="582" spans="1:11" s="3" customFormat="1" hidden="1" x14ac:dyDescent="0.2">
      <c r="A582" s="367" t="s">
        <v>3613</v>
      </c>
      <c r="B582" s="367"/>
      <c r="C582" s="367"/>
      <c r="D582" s="367"/>
      <c r="E582" s="367"/>
      <c r="F582" s="367"/>
      <c r="G582" s="367"/>
      <c r="H582" s="369">
        <v>500164</v>
      </c>
      <c r="I582" s="367">
        <v>160</v>
      </c>
      <c r="J582" s="368">
        <v>46491</v>
      </c>
      <c r="K582" s="367"/>
    </row>
    <row r="583" spans="1:11" hidden="1" x14ac:dyDescent="0.2">
      <c r="A583" s="367" t="s">
        <v>3614</v>
      </c>
      <c r="B583" s="367"/>
      <c r="C583" s="367"/>
      <c r="D583" s="367"/>
      <c r="E583" s="367"/>
      <c r="F583" s="367"/>
      <c r="G583" s="367"/>
      <c r="H583" s="369">
        <v>279967</v>
      </c>
      <c r="I583" s="367">
        <v>500</v>
      </c>
      <c r="J583" s="368">
        <v>46213</v>
      </c>
      <c r="K583" s="367"/>
    </row>
    <row r="584" spans="1:11" hidden="1" x14ac:dyDescent="0.2">
      <c r="A584" s="367" t="s">
        <v>3615</v>
      </c>
      <c r="B584" s="367"/>
      <c r="C584" s="367"/>
      <c r="D584" s="367"/>
      <c r="E584" s="367"/>
      <c r="F584" s="367"/>
      <c r="G584" s="367"/>
      <c r="H584" s="369">
        <v>309338</v>
      </c>
      <c r="I584" s="367">
        <v>250</v>
      </c>
      <c r="J584" s="368">
        <v>45757</v>
      </c>
      <c r="K584" s="367"/>
    </row>
    <row r="585" spans="1:11" s="3" customFormat="1" hidden="1" x14ac:dyDescent="0.2">
      <c r="A585" s="367" t="s">
        <v>3616</v>
      </c>
      <c r="B585" s="367"/>
      <c r="C585" s="367"/>
      <c r="D585" s="367"/>
      <c r="E585" s="367"/>
      <c r="F585" s="367"/>
      <c r="G585" s="367"/>
      <c r="H585" s="369">
        <v>824552</v>
      </c>
      <c r="I585" s="367">
        <v>10</v>
      </c>
      <c r="J585" s="368">
        <v>46308</v>
      </c>
      <c r="K585" s="367"/>
    </row>
    <row r="586" spans="1:11" hidden="1" x14ac:dyDescent="0.2">
      <c r="A586" s="367" t="s">
        <v>3617</v>
      </c>
      <c r="B586" s="367"/>
      <c r="C586" s="367"/>
      <c r="D586" s="367"/>
      <c r="E586" s="367"/>
      <c r="F586" s="367"/>
      <c r="G586" s="367"/>
      <c r="H586" s="369">
        <v>300000</v>
      </c>
      <c r="I586" s="367">
        <v>60</v>
      </c>
      <c r="J586" s="368">
        <v>46309</v>
      </c>
      <c r="K586" s="367"/>
    </row>
    <row r="587" spans="1:11" hidden="1" x14ac:dyDescent="0.2">
      <c r="A587" s="367" t="s">
        <v>3618</v>
      </c>
      <c r="B587" s="367"/>
      <c r="C587" s="367"/>
      <c r="D587" s="367"/>
      <c r="E587" s="367"/>
      <c r="F587" s="367"/>
      <c r="G587" s="367"/>
      <c r="H587" s="369">
        <v>458000</v>
      </c>
      <c r="I587" s="367">
        <v>160</v>
      </c>
      <c r="J587" s="368">
        <v>46428</v>
      </c>
      <c r="K587" s="367"/>
    </row>
    <row r="588" spans="1:11" s="3" customFormat="1" hidden="1" x14ac:dyDescent="0.2">
      <c r="A588" s="367" t="s">
        <v>3619</v>
      </c>
      <c r="B588" s="367"/>
      <c r="C588" s="367"/>
      <c r="D588" s="367"/>
      <c r="E588" s="367"/>
      <c r="F588" s="367"/>
      <c r="G588" s="367"/>
      <c r="H588" s="369">
        <v>1202000</v>
      </c>
      <c r="I588" s="367">
        <v>190</v>
      </c>
      <c r="J588" s="368">
        <v>46476</v>
      </c>
      <c r="K588" s="367"/>
    </row>
    <row r="589" spans="1:11" hidden="1" x14ac:dyDescent="0.2">
      <c r="A589" s="367" t="s">
        <v>3620</v>
      </c>
      <c r="B589" s="367"/>
      <c r="C589" s="367"/>
      <c r="D589" s="367"/>
      <c r="E589" s="367"/>
      <c r="F589" s="367"/>
      <c r="G589" s="367"/>
      <c r="H589" s="369">
        <v>602000</v>
      </c>
      <c r="I589" s="367">
        <v>190</v>
      </c>
      <c r="J589" s="368">
        <v>46476</v>
      </c>
      <c r="K589" s="367"/>
    </row>
    <row r="590" spans="1:11" s="3" customFormat="1" hidden="1" x14ac:dyDescent="0.2">
      <c r="A590" s="367" t="s">
        <v>3621</v>
      </c>
      <c r="B590" s="367"/>
      <c r="C590" s="367"/>
      <c r="D590" s="367"/>
      <c r="E590" s="367"/>
      <c r="F590" s="367"/>
      <c r="G590" s="367"/>
      <c r="H590" s="369">
        <v>648492</v>
      </c>
      <c r="I590" s="367">
        <v>605</v>
      </c>
      <c r="J590" s="368">
        <v>46309</v>
      </c>
      <c r="K590" s="367"/>
    </row>
    <row r="591" spans="1:11" hidden="1" x14ac:dyDescent="0.2">
      <c r="A591" s="367" t="s">
        <v>3622</v>
      </c>
      <c r="B591" s="367"/>
      <c r="C591" s="367"/>
      <c r="D591" s="367"/>
      <c r="E591" s="367"/>
      <c r="F591" s="367"/>
      <c r="G591" s="367"/>
      <c r="H591" s="369">
        <v>324246</v>
      </c>
      <c r="I591" s="367">
        <v>375</v>
      </c>
      <c r="J591" s="368">
        <v>46309</v>
      </c>
      <c r="K591" s="367"/>
    </row>
    <row r="592" spans="1:11" hidden="1" x14ac:dyDescent="0.2">
      <c r="A592" s="367" t="s">
        <v>3623</v>
      </c>
      <c r="B592" s="367"/>
      <c r="C592" s="367"/>
      <c r="D592" s="367"/>
      <c r="E592" s="367"/>
      <c r="F592" s="367"/>
      <c r="G592" s="367"/>
      <c r="H592" s="369">
        <v>456178</v>
      </c>
      <c r="I592" s="367">
        <v>375</v>
      </c>
      <c r="J592" s="368">
        <v>46836</v>
      </c>
      <c r="K592" s="367"/>
    </row>
    <row r="593" spans="1:11" s="3" customFormat="1" hidden="1" x14ac:dyDescent="0.2">
      <c r="A593" s="367" t="s">
        <v>3624</v>
      </c>
      <c r="B593" s="367"/>
      <c r="C593" s="367"/>
      <c r="D593" s="367"/>
      <c r="E593" s="367"/>
      <c r="F593" s="367"/>
      <c r="G593" s="367"/>
      <c r="H593" s="369">
        <v>1900000</v>
      </c>
      <c r="I593" s="367">
        <v>380</v>
      </c>
      <c r="J593" s="368">
        <v>44971</v>
      </c>
      <c r="K593" s="367"/>
    </row>
    <row r="594" spans="1:11" hidden="1" x14ac:dyDescent="0.2">
      <c r="A594" s="367" t="s">
        <v>3625</v>
      </c>
      <c r="B594" s="367"/>
      <c r="C594" s="367"/>
      <c r="D594" s="367"/>
      <c r="E594" s="367"/>
      <c r="F594" s="367"/>
      <c r="G594" s="367"/>
      <c r="H594" s="369">
        <v>800000</v>
      </c>
      <c r="I594" s="367">
        <v>250</v>
      </c>
      <c r="J594" s="368">
        <v>45091</v>
      </c>
      <c r="K594" s="367"/>
    </row>
    <row r="595" spans="1:11" s="3" customFormat="1" hidden="1" x14ac:dyDescent="0.2">
      <c r="A595" s="367" t="s">
        <v>3626</v>
      </c>
      <c r="B595" s="367"/>
      <c r="C595" s="367"/>
      <c r="D595" s="367"/>
      <c r="E595" s="367"/>
      <c r="F595" s="367"/>
      <c r="G595" s="367"/>
      <c r="H595" s="369">
        <v>400000</v>
      </c>
      <c r="I595" s="367">
        <v>200</v>
      </c>
      <c r="J595" s="368">
        <v>45328</v>
      </c>
      <c r="K595" s="367"/>
    </row>
    <row r="596" spans="1:11" hidden="1" x14ac:dyDescent="0.2">
      <c r="A596" s="367" t="s">
        <v>3627</v>
      </c>
      <c r="B596" s="367"/>
      <c r="C596" s="367"/>
      <c r="D596" s="367"/>
      <c r="E596" s="367"/>
      <c r="F596" s="367"/>
      <c r="G596" s="367"/>
      <c r="H596" s="369">
        <v>750000</v>
      </c>
      <c r="I596" s="367">
        <v>121</v>
      </c>
      <c r="J596" s="368">
        <v>46681</v>
      </c>
      <c r="K596" s="367"/>
    </row>
    <row r="597" spans="1:11" s="3" customFormat="1" hidden="1" x14ac:dyDescent="0.2">
      <c r="A597" s="367" t="s">
        <v>3628</v>
      </c>
      <c r="B597" s="367"/>
      <c r="C597" s="367"/>
      <c r="D597" s="367"/>
      <c r="E597" s="367"/>
      <c r="F597" s="367"/>
      <c r="G597" s="367"/>
      <c r="H597" s="369">
        <v>1886310</v>
      </c>
      <c r="I597" s="367">
        <v>260</v>
      </c>
      <c r="J597" s="368">
        <v>46309</v>
      </c>
      <c r="K597" s="367"/>
    </row>
    <row r="598" spans="1:11" hidden="1" x14ac:dyDescent="0.2">
      <c r="A598" s="367" t="s">
        <v>3629</v>
      </c>
      <c r="B598" s="367"/>
      <c r="C598" s="367"/>
      <c r="D598" s="367"/>
      <c r="E598" s="367"/>
      <c r="F598" s="367"/>
      <c r="G598" s="367"/>
      <c r="H598" s="369">
        <v>991400</v>
      </c>
      <c r="I598" s="367">
        <v>60</v>
      </c>
      <c r="J598" s="368">
        <v>46308</v>
      </c>
      <c r="K598" s="367"/>
    </row>
    <row r="599" spans="1:11" s="3" customFormat="1" hidden="1" x14ac:dyDescent="0.2">
      <c r="A599" s="367" t="s">
        <v>3630</v>
      </c>
      <c r="B599" s="367"/>
      <c r="C599" s="367"/>
      <c r="D599" s="367"/>
      <c r="E599" s="367"/>
      <c r="F599" s="367"/>
      <c r="G599" s="367"/>
      <c r="H599" s="369">
        <v>1244400</v>
      </c>
      <c r="I599" s="367">
        <v>250</v>
      </c>
      <c r="J599" s="368">
        <v>46309</v>
      </c>
      <c r="K599" s="367"/>
    </row>
    <row r="600" spans="1:11" hidden="1" x14ac:dyDescent="0.2">
      <c r="A600" s="367" t="s">
        <v>3631</v>
      </c>
      <c r="B600" s="367"/>
      <c r="C600" s="367"/>
      <c r="D600" s="367"/>
      <c r="E600" s="367"/>
      <c r="F600" s="367"/>
      <c r="G600" s="367"/>
      <c r="H600" s="369">
        <v>610000</v>
      </c>
      <c r="I600" s="367">
        <v>250</v>
      </c>
      <c r="J600" s="368">
        <v>46351</v>
      </c>
      <c r="K600" s="367"/>
    </row>
    <row r="601" spans="1:11" s="3" customFormat="1" hidden="1" x14ac:dyDescent="0.2">
      <c r="A601" s="367" t="s">
        <v>3632</v>
      </c>
      <c r="B601" s="367"/>
      <c r="C601" s="367"/>
      <c r="D601" s="367"/>
      <c r="E601" s="367"/>
      <c r="F601" s="367"/>
      <c r="G601" s="367"/>
      <c r="H601" s="369">
        <v>1675350</v>
      </c>
      <c r="I601" s="367">
        <v>250</v>
      </c>
      <c r="J601" s="368">
        <v>46476</v>
      </c>
      <c r="K601" s="367"/>
    </row>
    <row r="602" spans="1:11" hidden="1" x14ac:dyDescent="0.2">
      <c r="A602" s="367" t="s">
        <v>3633</v>
      </c>
      <c r="B602" s="367"/>
      <c r="C602" s="367"/>
      <c r="D602" s="367"/>
      <c r="E602" s="367"/>
      <c r="F602" s="367"/>
      <c r="G602" s="367"/>
      <c r="H602" s="369">
        <v>259150</v>
      </c>
      <c r="I602" s="367">
        <v>250</v>
      </c>
      <c r="J602" s="368">
        <v>46309</v>
      </c>
      <c r="K602" s="367"/>
    </row>
    <row r="603" spans="1:11" s="3" customFormat="1" hidden="1" x14ac:dyDescent="0.2">
      <c r="A603" s="367" t="s">
        <v>3634</v>
      </c>
      <c r="B603" s="367"/>
      <c r="C603" s="367"/>
      <c r="D603" s="367"/>
      <c r="E603" s="367"/>
      <c r="F603" s="367"/>
      <c r="G603" s="367"/>
      <c r="H603" s="369">
        <v>531600</v>
      </c>
      <c r="I603" s="367">
        <v>250</v>
      </c>
      <c r="J603" s="368">
        <v>46623</v>
      </c>
      <c r="K603" s="367"/>
    </row>
    <row r="604" spans="1:11" hidden="1" x14ac:dyDescent="0.2">
      <c r="A604" s="367" t="s">
        <v>3635</v>
      </c>
      <c r="B604" s="367"/>
      <c r="C604" s="367"/>
      <c r="D604" s="367"/>
      <c r="E604" s="367"/>
      <c r="F604" s="367"/>
      <c r="G604" s="367"/>
      <c r="H604" s="369">
        <v>277875</v>
      </c>
      <c r="I604" s="367">
        <v>250</v>
      </c>
      <c r="J604" s="368">
        <v>46623</v>
      </c>
      <c r="K604" s="367"/>
    </row>
    <row r="605" spans="1:11" s="3" customFormat="1" hidden="1" x14ac:dyDescent="0.2">
      <c r="A605" s="367" t="s">
        <v>3636</v>
      </c>
      <c r="B605" s="367"/>
      <c r="C605" s="367"/>
      <c r="D605" s="367"/>
      <c r="E605" s="367"/>
      <c r="F605" s="367"/>
      <c r="G605" s="367"/>
      <c r="H605" s="369">
        <v>387800</v>
      </c>
      <c r="I605" s="367">
        <v>250</v>
      </c>
      <c r="J605" s="368">
        <v>46623</v>
      </c>
      <c r="K605" s="367"/>
    </row>
    <row r="606" spans="1:11" hidden="1" x14ac:dyDescent="0.2">
      <c r="A606" s="367" t="s">
        <v>3637</v>
      </c>
      <c r="B606" s="367"/>
      <c r="C606" s="367"/>
      <c r="D606" s="367"/>
      <c r="E606" s="367"/>
      <c r="F606" s="367"/>
      <c r="G606" s="367"/>
      <c r="H606" s="369">
        <v>257400</v>
      </c>
      <c r="I606" s="367">
        <v>120</v>
      </c>
      <c r="J606" s="368">
        <v>46710</v>
      </c>
      <c r="K606" s="367"/>
    </row>
    <row r="607" spans="1:11" s="3" customFormat="1" hidden="1" x14ac:dyDescent="0.2">
      <c r="A607" s="367" t="s">
        <v>3638</v>
      </c>
      <c r="B607" s="367"/>
      <c r="C607" s="367"/>
      <c r="D607" s="367"/>
      <c r="E607" s="367"/>
      <c r="F607" s="367"/>
      <c r="G607" s="367"/>
      <c r="H607" s="369">
        <v>648928</v>
      </c>
      <c r="I607" s="367">
        <v>125</v>
      </c>
      <c r="J607" s="368">
        <v>46916</v>
      </c>
      <c r="K607" s="367"/>
    </row>
    <row r="608" spans="1:11" hidden="1" x14ac:dyDescent="0.2">
      <c r="A608" s="367" t="s">
        <v>3639</v>
      </c>
      <c r="B608" s="367"/>
      <c r="C608" s="367"/>
      <c r="D608" s="367"/>
      <c r="E608" s="367"/>
      <c r="F608" s="367"/>
      <c r="G608" s="367"/>
      <c r="H608" s="369">
        <v>500000</v>
      </c>
      <c r="I608" s="367">
        <v>250</v>
      </c>
      <c r="J608" s="368">
        <v>45757</v>
      </c>
      <c r="K608" s="367"/>
    </row>
    <row r="609" spans="1:11" s="3" customFormat="1" hidden="1" x14ac:dyDescent="0.2">
      <c r="A609" s="367" t="s">
        <v>3640</v>
      </c>
      <c r="B609" s="367"/>
      <c r="C609" s="367"/>
      <c r="D609" s="367"/>
      <c r="E609" s="367"/>
      <c r="F609" s="367"/>
      <c r="G609" s="367"/>
      <c r="H609" s="369">
        <v>1946784</v>
      </c>
      <c r="I609" s="367">
        <v>323</v>
      </c>
      <c r="J609" s="368">
        <v>46829</v>
      </c>
      <c r="K609" s="367"/>
    </row>
    <row r="610" spans="1:11" hidden="1" x14ac:dyDescent="0.2">
      <c r="A610" s="367" t="s">
        <v>3641</v>
      </c>
      <c r="B610" s="367"/>
      <c r="C610" s="367"/>
      <c r="D610" s="367"/>
      <c r="E610" s="367"/>
      <c r="F610" s="367"/>
      <c r="G610" s="367"/>
      <c r="H610" s="369">
        <v>1286600</v>
      </c>
      <c r="I610" s="367">
        <v>120</v>
      </c>
      <c r="J610" s="368">
        <v>46055</v>
      </c>
      <c r="K610" s="367"/>
    </row>
    <row r="611" spans="1:11" s="3" customFormat="1" hidden="1" x14ac:dyDescent="0.2">
      <c r="A611" s="367" t="s">
        <v>3642</v>
      </c>
      <c r="B611" s="367"/>
      <c r="C611" s="367"/>
      <c r="D611" s="367"/>
      <c r="E611" s="367"/>
      <c r="F611" s="367"/>
      <c r="G611" s="367"/>
      <c r="H611" s="369">
        <v>1004261</v>
      </c>
      <c r="I611" s="367">
        <v>233</v>
      </c>
      <c r="J611" s="368">
        <v>45958</v>
      </c>
      <c r="K611" s="367"/>
    </row>
    <row r="612" spans="1:11" hidden="1" x14ac:dyDescent="0.2">
      <c r="A612" s="367" t="s">
        <v>3643</v>
      </c>
      <c r="B612" s="367"/>
      <c r="C612" s="367"/>
      <c r="D612" s="367"/>
      <c r="E612" s="367"/>
      <c r="F612" s="367"/>
      <c r="G612" s="367"/>
      <c r="H612" s="369">
        <v>1050880</v>
      </c>
      <c r="I612" s="367">
        <v>565</v>
      </c>
      <c r="J612" s="368">
        <v>46309</v>
      </c>
      <c r="K612" s="367"/>
    </row>
    <row r="613" spans="1:11" s="3" customFormat="1" hidden="1" x14ac:dyDescent="0.2">
      <c r="A613" s="367" t="s">
        <v>3644</v>
      </c>
      <c r="B613" s="367"/>
      <c r="C613" s="367"/>
      <c r="D613" s="367"/>
      <c r="E613" s="367"/>
      <c r="F613" s="367"/>
      <c r="G613" s="367"/>
      <c r="H613" s="369">
        <v>1276554</v>
      </c>
      <c r="I613" s="367">
        <v>672</v>
      </c>
      <c r="J613" s="368">
        <v>46836</v>
      </c>
      <c r="K613" s="367"/>
    </row>
    <row r="614" spans="1:11" hidden="1" x14ac:dyDescent="0.2">
      <c r="A614" s="367" t="s">
        <v>3645</v>
      </c>
      <c r="B614" s="367"/>
      <c r="C614" s="367"/>
      <c r="D614" s="367"/>
      <c r="E614" s="367"/>
      <c r="F614" s="367"/>
      <c r="G614" s="367"/>
      <c r="H614" s="369">
        <v>334754</v>
      </c>
      <c r="I614" s="367">
        <v>275</v>
      </c>
      <c r="J614" s="368">
        <v>46526</v>
      </c>
      <c r="K614" s="367"/>
    </row>
    <row r="615" spans="1:11" s="3" customFormat="1" hidden="1" x14ac:dyDescent="0.2">
      <c r="A615" s="367" t="s">
        <v>3646</v>
      </c>
      <c r="B615" s="367"/>
      <c r="C615" s="367"/>
      <c r="D615" s="367"/>
      <c r="E615" s="367"/>
      <c r="F615" s="367"/>
      <c r="G615" s="367"/>
      <c r="H615" s="369">
        <v>1050880</v>
      </c>
      <c r="I615" s="367">
        <v>565</v>
      </c>
      <c r="J615" s="368">
        <v>46309</v>
      </c>
      <c r="K615" s="367"/>
    </row>
    <row r="616" spans="1:11" hidden="1" x14ac:dyDescent="0.2">
      <c r="A616" s="367" t="s">
        <v>3647</v>
      </c>
      <c r="B616" s="367"/>
      <c r="C616" s="367"/>
      <c r="D616" s="367"/>
      <c r="E616" s="367"/>
      <c r="F616" s="367"/>
      <c r="G616" s="367"/>
      <c r="H616" s="369">
        <v>557923</v>
      </c>
      <c r="I616" s="367">
        <v>168</v>
      </c>
      <c r="J616" s="368">
        <v>46891</v>
      </c>
      <c r="K616" s="367"/>
    </row>
    <row r="617" spans="1:11" s="3" customFormat="1" hidden="1" x14ac:dyDescent="0.2">
      <c r="A617" s="367" t="s">
        <v>3648</v>
      </c>
      <c r="B617" s="367"/>
      <c r="C617" s="367"/>
      <c r="D617" s="367"/>
      <c r="E617" s="367"/>
      <c r="F617" s="367"/>
      <c r="G617" s="367"/>
      <c r="H617" s="369">
        <v>870903</v>
      </c>
      <c r="I617" s="367">
        <v>500</v>
      </c>
      <c r="J617" s="368">
        <v>45583</v>
      </c>
      <c r="K617" s="367"/>
    </row>
    <row r="618" spans="1:11" hidden="1" x14ac:dyDescent="0.2">
      <c r="A618" s="367" t="s">
        <v>3649</v>
      </c>
      <c r="B618" s="367"/>
      <c r="C618" s="367"/>
      <c r="D618" s="367"/>
      <c r="E618" s="367"/>
      <c r="F618" s="367"/>
      <c r="G618" s="367"/>
      <c r="H618" s="369">
        <v>265000</v>
      </c>
      <c r="I618" s="367">
        <v>20</v>
      </c>
      <c r="J618" s="368">
        <v>46476</v>
      </c>
      <c r="K618" s="367"/>
    </row>
    <row r="619" spans="1:11" s="3" customFormat="1" hidden="1" x14ac:dyDescent="0.2">
      <c r="A619" s="367" t="s">
        <v>3650</v>
      </c>
      <c r="B619" s="367"/>
      <c r="C619" s="367"/>
      <c r="D619" s="367"/>
      <c r="E619" s="367"/>
      <c r="F619" s="367"/>
      <c r="G619" s="367"/>
      <c r="H619" s="369">
        <v>880848</v>
      </c>
      <c r="I619" s="367">
        <v>250</v>
      </c>
      <c r="J619" s="368">
        <v>45525</v>
      </c>
      <c r="K619" s="367"/>
    </row>
    <row r="620" spans="1:11" hidden="1" x14ac:dyDescent="0.2">
      <c r="A620" s="367" t="s">
        <v>3651</v>
      </c>
      <c r="B620" s="367"/>
      <c r="C620" s="367"/>
      <c r="D620" s="367"/>
      <c r="E620" s="367"/>
      <c r="F620" s="367"/>
      <c r="G620" s="367"/>
      <c r="H620" s="369">
        <v>450000</v>
      </c>
      <c r="I620" s="367">
        <v>60</v>
      </c>
      <c r="J620" s="368">
        <v>45120</v>
      </c>
      <c r="K620" s="367"/>
    </row>
    <row r="621" spans="1:11" s="3" customFormat="1" hidden="1" x14ac:dyDescent="0.2">
      <c r="A621" s="367" t="s">
        <v>3652</v>
      </c>
      <c r="B621" s="367"/>
      <c r="C621" s="367"/>
      <c r="D621" s="367"/>
      <c r="E621" s="367"/>
      <c r="F621" s="367"/>
      <c r="G621" s="367"/>
      <c r="H621" s="369">
        <v>520000</v>
      </c>
      <c r="I621" s="367">
        <v>445</v>
      </c>
      <c r="J621" s="368">
        <v>47057</v>
      </c>
      <c r="K621" s="367"/>
    </row>
    <row r="622" spans="1:11" hidden="1" x14ac:dyDescent="0.2">
      <c r="A622" s="367" t="s">
        <v>3653</v>
      </c>
      <c r="B622" s="367"/>
      <c r="C622" s="367"/>
      <c r="D622" s="367"/>
      <c r="E622" s="367"/>
      <c r="F622" s="367"/>
      <c r="G622" s="367"/>
      <c r="H622" s="369">
        <v>1200000</v>
      </c>
      <c r="I622" s="367">
        <v>1</v>
      </c>
      <c r="J622" s="368">
        <v>47403</v>
      </c>
      <c r="K622" s="367"/>
    </row>
    <row r="623" spans="1:11" s="3" customFormat="1" hidden="1" x14ac:dyDescent="0.2">
      <c r="A623" s="367" t="s">
        <v>3654</v>
      </c>
      <c r="B623" s="367"/>
      <c r="C623" s="367"/>
      <c r="D623" s="367"/>
      <c r="E623" s="367"/>
      <c r="F623" s="367"/>
      <c r="G623" s="367"/>
      <c r="H623" s="369">
        <v>1200000</v>
      </c>
      <c r="I623" s="367">
        <v>1</v>
      </c>
      <c r="J623" s="368">
        <v>47403</v>
      </c>
      <c r="K623" s="367"/>
    </row>
    <row r="624" spans="1:11" hidden="1" x14ac:dyDescent="0.2">
      <c r="A624" s="367" t="s">
        <v>3655</v>
      </c>
      <c r="B624" s="367"/>
      <c r="C624" s="367"/>
      <c r="D624" s="367"/>
      <c r="E624" s="367"/>
      <c r="F624" s="367"/>
      <c r="G624" s="367"/>
      <c r="H624" s="369">
        <v>1200000</v>
      </c>
      <c r="I624" s="367">
        <v>1</v>
      </c>
      <c r="J624" s="368">
        <v>47403</v>
      </c>
      <c r="K624" s="367"/>
    </row>
    <row r="625" spans="1:11" s="3" customFormat="1" hidden="1" x14ac:dyDescent="0.2">
      <c r="A625" s="367" t="s">
        <v>3656</v>
      </c>
      <c r="B625" s="367"/>
      <c r="C625" s="367"/>
      <c r="D625" s="367"/>
      <c r="E625" s="367"/>
      <c r="F625" s="367"/>
      <c r="G625" s="367"/>
      <c r="H625" s="369">
        <v>1200000</v>
      </c>
      <c r="I625" s="367">
        <v>1</v>
      </c>
      <c r="J625" s="368">
        <v>47403</v>
      </c>
      <c r="K625" s="367"/>
    </row>
    <row r="626" spans="1:11" hidden="1" x14ac:dyDescent="0.2">
      <c r="A626" s="367" t="s">
        <v>3657</v>
      </c>
      <c r="B626" s="367"/>
      <c r="C626" s="367"/>
      <c r="D626" s="367"/>
      <c r="E626" s="367"/>
      <c r="F626" s="367"/>
      <c r="G626" s="367"/>
      <c r="H626" s="369">
        <v>802800</v>
      </c>
      <c r="I626" s="367">
        <v>1</v>
      </c>
      <c r="J626" s="368">
        <v>47428</v>
      </c>
      <c r="K626" s="367"/>
    </row>
    <row r="627" spans="1:11" s="3" customFormat="1" hidden="1" x14ac:dyDescent="0.2">
      <c r="A627" s="367" t="s">
        <v>3658</v>
      </c>
      <c r="B627" s="367"/>
      <c r="C627" s="367"/>
      <c r="D627" s="367"/>
      <c r="E627" s="367"/>
      <c r="F627" s="367"/>
      <c r="G627" s="367"/>
      <c r="H627" s="369">
        <v>1225200</v>
      </c>
      <c r="I627" s="367">
        <v>1</v>
      </c>
      <c r="J627" s="368">
        <v>47254</v>
      </c>
      <c r="K627" s="367"/>
    </row>
    <row r="628" spans="1:11" hidden="1" x14ac:dyDescent="0.2">
      <c r="A628" s="367" t="s">
        <v>3659</v>
      </c>
      <c r="B628" s="367"/>
      <c r="C628" s="367"/>
      <c r="D628" s="367"/>
      <c r="E628" s="367"/>
      <c r="F628" s="367"/>
      <c r="G628" s="367"/>
      <c r="H628" s="369">
        <v>956400</v>
      </c>
      <c r="I628" s="367">
        <v>1</v>
      </c>
      <c r="J628" s="368">
        <v>47011</v>
      </c>
      <c r="K628" s="367"/>
    </row>
    <row r="629" spans="1:11" s="3" customFormat="1" hidden="1" x14ac:dyDescent="0.2">
      <c r="A629" s="367" t="s">
        <v>3660</v>
      </c>
      <c r="B629" s="367"/>
      <c r="C629" s="367"/>
      <c r="D629" s="367"/>
      <c r="E629" s="367"/>
      <c r="F629" s="367"/>
      <c r="G629" s="367"/>
      <c r="H629" s="369">
        <v>260000</v>
      </c>
      <c r="I629" s="367">
        <v>1</v>
      </c>
      <c r="J629" s="368">
        <v>45572</v>
      </c>
      <c r="K629" s="367"/>
    </row>
    <row r="630" spans="1:11" hidden="1" x14ac:dyDescent="0.2">
      <c r="A630" s="367" t="s">
        <v>3661</v>
      </c>
      <c r="B630" s="367"/>
      <c r="C630" s="367"/>
      <c r="D630" s="367"/>
      <c r="E630" s="367"/>
      <c r="F630" s="367"/>
      <c r="G630" s="367"/>
      <c r="H630" s="369">
        <v>600000</v>
      </c>
      <c r="I630" s="367">
        <v>1</v>
      </c>
      <c r="J630" s="368">
        <v>45750</v>
      </c>
      <c r="K630" s="367"/>
    </row>
    <row r="631" spans="1:11" s="3" customFormat="1" hidden="1" x14ac:dyDescent="0.2">
      <c r="A631" s="367" t="s">
        <v>3662</v>
      </c>
      <c r="B631" s="367"/>
      <c r="C631" s="367"/>
      <c r="D631" s="367"/>
      <c r="E631" s="367"/>
      <c r="F631" s="367"/>
      <c r="G631" s="367"/>
      <c r="H631" s="369">
        <v>527000</v>
      </c>
      <c r="I631" s="367">
        <v>1</v>
      </c>
      <c r="J631" s="368">
        <v>45835</v>
      </c>
      <c r="K631" s="367"/>
    </row>
    <row r="632" spans="1:11" hidden="1" x14ac:dyDescent="0.2">
      <c r="A632" s="367" t="s">
        <v>3663</v>
      </c>
      <c r="B632" s="367"/>
      <c r="C632" s="367"/>
      <c r="D632" s="367"/>
      <c r="E632" s="367"/>
      <c r="F632" s="367"/>
      <c r="G632" s="367"/>
      <c r="H632" s="369">
        <v>573000</v>
      </c>
      <c r="I632" s="367">
        <v>1</v>
      </c>
      <c r="J632" s="368">
        <v>46454</v>
      </c>
      <c r="K632" s="367"/>
    </row>
    <row r="633" spans="1:11" s="3" customFormat="1" hidden="1" x14ac:dyDescent="0.2">
      <c r="A633" s="367" t="s">
        <v>3664</v>
      </c>
      <c r="B633" s="367"/>
      <c r="C633" s="367"/>
      <c r="D633" s="367"/>
      <c r="E633" s="367"/>
      <c r="F633" s="367"/>
      <c r="G633" s="367"/>
      <c r="H633" s="369">
        <v>370000</v>
      </c>
      <c r="I633" s="367">
        <v>380</v>
      </c>
      <c r="J633" s="368">
        <v>47095</v>
      </c>
      <c r="K633" s="367"/>
    </row>
    <row r="634" spans="1:11" hidden="1" x14ac:dyDescent="0.2">
      <c r="A634" s="367" t="s">
        <v>3665</v>
      </c>
      <c r="B634" s="367"/>
      <c r="C634" s="367"/>
      <c r="D634" s="367"/>
      <c r="E634" s="367"/>
      <c r="F634" s="367"/>
      <c r="G634" s="367"/>
      <c r="H634" s="369">
        <v>500000</v>
      </c>
      <c r="I634" s="367">
        <v>180</v>
      </c>
      <c r="J634" s="368">
        <v>46288</v>
      </c>
      <c r="K634" s="367"/>
    </row>
    <row r="635" spans="1:11" s="3" customFormat="1" hidden="1" x14ac:dyDescent="0.2">
      <c r="A635" s="367" t="s">
        <v>3666</v>
      </c>
      <c r="B635" s="367"/>
      <c r="C635" s="367"/>
      <c r="D635" s="367"/>
      <c r="E635" s="367"/>
      <c r="F635" s="367"/>
      <c r="G635" s="367"/>
      <c r="H635" s="369">
        <v>6165500</v>
      </c>
      <c r="I635" s="367">
        <v>300</v>
      </c>
      <c r="J635" s="368">
        <v>46309</v>
      </c>
      <c r="K635" s="367"/>
    </row>
    <row r="636" spans="1:11" s="3" customFormat="1" hidden="1" x14ac:dyDescent="0.2">
      <c r="A636" s="367" t="s">
        <v>3667</v>
      </c>
      <c r="B636" s="367"/>
      <c r="C636" s="367"/>
      <c r="D636" s="367"/>
      <c r="E636" s="367"/>
      <c r="F636" s="367"/>
      <c r="G636" s="367"/>
      <c r="H636" s="369">
        <v>1200000</v>
      </c>
      <c r="I636" s="367">
        <v>1</v>
      </c>
      <c r="J636" s="368">
        <v>47403</v>
      </c>
      <c r="K636" s="367"/>
    </row>
    <row r="637" spans="1:11" hidden="1" x14ac:dyDescent="0.2">
      <c r="A637" s="258" t="s">
        <v>3668</v>
      </c>
      <c r="B637" s="258"/>
      <c r="C637" s="258"/>
      <c r="D637" s="258"/>
      <c r="E637" s="258"/>
      <c r="F637" s="258"/>
      <c r="G637" s="258"/>
      <c r="H637" s="371">
        <v>5100000</v>
      </c>
      <c r="I637" s="258">
        <v>1513</v>
      </c>
      <c r="J637" s="370">
        <v>44683</v>
      </c>
      <c r="K637" s="258"/>
    </row>
    <row r="638" spans="1:11" s="3" customFormat="1" hidden="1" x14ac:dyDescent="0.2">
      <c r="A638" s="367" t="s">
        <v>3669</v>
      </c>
      <c r="B638" s="367"/>
      <c r="C638" s="367"/>
      <c r="D638" s="367"/>
      <c r="E638" s="367"/>
      <c r="F638" s="367"/>
      <c r="G638" s="367"/>
      <c r="H638" s="369">
        <v>1500000</v>
      </c>
      <c r="I638" s="367">
        <v>293</v>
      </c>
      <c r="J638" s="368">
        <v>44683</v>
      </c>
      <c r="K638" s="367"/>
    </row>
    <row r="639" spans="1:11" hidden="1" x14ac:dyDescent="0.2">
      <c r="A639" s="367" t="s">
        <v>3670</v>
      </c>
      <c r="B639" s="367"/>
      <c r="C639" s="367"/>
      <c r="D639" s="367"/>
      <c r="E639" s="367"/>
      <c r="F639" s="367"/>
      <c r="G639" s="367"/>
      <c r="H639" s="369">
        <v>3600000</v>
      </c>
      <c r="I639" s="367">
        <v>400</v>
      </c>
      <c r="J639" s="368">
        <v>46308</v>
      </c>
      <c r="K639" s="367"/>
    </row>
  </sheetData>
  <autoFilter ref="A1:L639" xr:uid="{AD1FBE1F-B9BC-40FF-8A82-9771061FA845}">
    <filterColumn colId="11">
      <filters>
        <filter val="Foreign"/>
        <filter val="Foreign and Domestic"/>
      </filters>
    </filterColumn>
  </autoFilter>
  <mergeCells count="37">
    <mergeCell ref="L262:L294"/>
    <mergeCell ref="L335:L337"/>
    <mergeCell ref="L338:L340"/>
    <mergeCell ref="L249:L256"/>
    <mergeCell ref="L400:L401"/>
    <mergeCell ref="L307:L308"/>
    <mergeCell ref="L368:L371"/>
    <mergeCell ref="L374:L375"/>
    <mergeCell ref="L355:L356"/>
    <mergeCell ref="L359:L360"/>
    <mergeCell ref="L389:L393"/>
    <mergeCell ref="L408:L409"/>
    <mergeCell ref="L411:L412"/>
    <mergeCell ref="L415:L416"/>
    <mergeCell ref="L429:L430"/>
    <mergeCell ref="L405:L406"/>
    <mergeCell ref="L423:L424"/>
    <mergeCell ref="L427:L428"/>
    <mergeCell ref="L425:L426"/>
    <mergeCell ref="L244:L246"/>
    <mergeCell ref="M196:M199"/>
    <mergeCell ref="M184:M191"/>
    <mergeCell ref="M192:M195"/>
    <mergeCell ref="M200:M204"/>
    <mergeCell ref="M205:M209"/>
    <mergeCell ref="M210:M242"/>
    <mergeCell ref="M244:M246"/>
    <mergeCell ref="L4:L10"/>
    <mergeCell ref="L210:L242"/>
    <mergeCell ref="L42:L94"/>
    <mergeCell ref="L97:L113"/>
    <mergeCell ref="L114:L117"/>
    <mergeCell ref="L184:L191"/>
    <mergeCell ref="L192:L195"/>
    <mergeCell ref="L196:L199"/>
    <mergeCell ref="L200:L204"/>
    <mergeCell ref="L205:L209"/>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57849-51EE-493C-9743-4EE24D1260B8}">
  <sheetPr codeName="Sheet13"/>
  <dimension ref="A1"/>
  <sheetViews>
    <sheetView workbookViewId="0"/>
  </sheetViews>
  <sheetFormatPr baseColWidth="10" defaultColWidth="8.83203125" defaultRowHeight="15" x14ac:dyDescent="0.2"/>
  <cols>
    <col min="1" max="1" width="10.83203125" customWidth="1"/>
  </cols>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342E-F30F-498E-B9F5-0D083B4D78AD}">
  <sheetPr codeName="Sheet14" filterMode="1"/>
  <dimension ref="A3:H625"/>
  <sheetViews>
    <sheetView workbookViewId="0">
      <selection activeCell="D28" sqref="A3:H625"/>
    </sheetView>
  </sheetViews>
  <sheetFormatPr baseColWidth="10" defaultColWidth="8.83203125" defaultRowHeight="15" x14ac:dyDescent="0.2"/>
  <cols>
    <col min="1" max="1" width="13.33203125" customWidth="1"/>
    <col min="2" max="2" width="38.33203125" customWidth="1"/>
    <col min="3" max="3" width="15.6640625" bestFit="1" customWidth="1"/>
    <col min="4" max="4" width="11.33203125" bestFit="1" customWidth="1"/>
    <col min="5" max="5" width="12.5" bestFit="1" customWidth="1"/>
    <col min="6" max="6" width="10.83203125" customWidth="1"/>
    <col min="7" max="7" width="17.33203125" customWidth="1"/>
    <col min="8" max="8" width="21.6640625" customWidth="1"/>
  </cols>
  <sheetData>
    <row r="3" spans="1:8" ht="31.5" customHeight="1" x14ac:dyDescent="0.2">
      <c r="A3" s="299" t="s">
        <v>3671</v>
      </c>
      <c r="E3" s="1156" t="s">
        <v>3672</v>
      </c>
      <c r="F3" s="1156" t="s">
        <v>3673</v>
      </c>
      <c r="G3" s="294">
        <f>SUM(G5:G625)</f>
        <v>0</v>
      </c>
      <c r="H3" s="294">
        <f>SUM(H5:H625)</f>
        <v>0</v>
      </c>
    </row>
    <row r="4" spans="1:8" ht="24" hidden="1" customHeight="1" x14ac:dyDescent="0.2">
      <c r="A4" s="299" t="s">
        <v>3674</v>
      </c>
      <c r="B4" s="299" t="s">
        <v>1986</v>
      </c>
      <c r="C4" s="299" t="s">
        <v>2164</v>
      </c>
      <c r="D4" t="s">
        <v>1902</v>
      </c>
      <c r="E4" s="1156"/>
      <c r="F4" s="1156"/>
    </row>
    <row r="5" spans="1:8" hidden="1" x14ac:dyDescent="0.2">
      <c r="A5" t="s">
        <v>3675</v>
      </c>
      <c r="B5" t="s">
        <v>3676</v>
      </c>
      <c r="C5" t="s">
        <v>3677</v>
      </c>
      <c r="D5" s="295">
        <v>62510.080000000002</v>
      </c>
      <c r="E5" s="288"/>
      <c r="F5" s="288" t="s">
        <v>3678</v>
      </c>
      <c r="G5" t="str">
        <f>IF(F5="X",C5,0)</f>
        <v xml:space="preserve">  IR_0205_2290</v>
      </c>
      <c r="H5">
        <f>IF(E5="X",C5,0)</f>
        <v>0</v>
      </c>
    </row>
    <row r="6" spans="1:8" hidden="1" x14ac:dyDescent="0.2">
      <c r="A6" t="s">
        <v>3679</v>
      </c>
      <c r="B6" t="s">
        <v>3676</v>
      </c>
      <c r="C6" t="s">
        <v>3680</v>
      </c>
      <c r="D6" s="295">
        <v>569900.31000000006</v>
      </c>
      <c r="E6" s="288"/>
      <c r="F6" s="288"/>
      <c r="G6">
        <f t="shared" ref="G6:G69" si="0">IF(F6="X",C6,0)</f>
        <v>0</v>
      </c>
      <c r="H6">
        <f t="shared" ref="H6:H69" si="1">IF(E6="X",C6,0)</f>
        <v>0</v>
      </c>
    </row>
    <row r="7" spans="1:8" hidden="1" x14ac:dyDescent="0.2">
      <c r="B7" t="s">
        <v>3681</v>
      </c>
      <c r="C7" t="s">
        <v>3682</v>
      </c>
      <c r="D7" s="295">
        <v>2614119.1</v>
      </c>
      <c r="E7" s="288"/>
      <c r="F7" s="288" t="s">
        <v>3678</v>
      </c>
      <c r="G7" t="str">
        <f t="shared" si="0"/>
        <v xml:space="preserve">  IR_0204_1160</v>
      </c>
      <c r="H7">
        <f t="shared" si="1"/>
        <v>0</v>
      </c>
    </row>
    <row r="8" spans="1:8" hidden="1" x14ac:dyDescent="0.2">
      <c r="A8" t="s">
        <v>3683</v>
      </c>
      <c r="B8" t="s">
        <v>3684</v>
      </c>
      <c r="C8" t="s">
        <v>3685</v>
      </c>
      <c r="D8" s="295">
        <v>3751144.22</v>
      </c>
      <c r="E8" s="288"/>
      <c r="F8" s="288"/>
      <c r="G8">
        <f t="shared" si="0"/>
        <v>0</v>
      </c>
      <c r="H8">
        <f t="shared" si="1"/>
        <v>0</v>
      </c>
    </row>
    <row r="9" spans="1:8" hidden="1" x14ac:dyDescent="0.2">
      <c r="A9" t="s">
        <v>3686</v>
      </c>
      <c r="B9" t="s">
        <v>3687</v>
      </c>
      <c r="C9" t="s">
        <v>3688</v>
      </c>
      <c r="D9" s="295">
        <v>423040.48</v>
      </c>
      <c r="E9" s="288"/>
      <c r="F9" s="288"/>
      <c r="G9">
        <f t="shared" si="0"/>
        <v>0</v>
      </c>
      <c r="H9">
        <f t="shared" si="1"/>
        <v>0</v>
      </c>
    </row>
    <row r="10" spans="1:8" hidden="1" x14ac:dyDescent="0.2">
      <c r="B10" t="s">
        <v>3689</v>
      </c>
      <c r="C10" t="s">
        <v>3690</v>
      </c>
      <c r="D10" s="295">
        <v>2707204.01</v>
      </c>
      <c r="E10" s="288"/>
      <c r="F10" s="288" t="s">
        <v>3678</v>
      </c>
      <c r="G10" t="str">
        <f t="shared" si="0"/>
        <v xml:space="preserve">  IR_0213_1080</v>
      </c>
      <c r="H10">
        <f t="shared" si="1"/>
        <v>0</v>
      </c>
    </row>
    <row r="11" spans="1:8" hidden="1" x14ac:dyDescent="0.2">
      <c r="A11" t="s">
        <v>3691</v>
      </c>
      <c r="B11" t="s">
        <v>3692</v>
      </c>
      <c r="C11" t="s">
        <v>3693</v>
      </c>
      <c r="D11" s="295">
        <v>3480017.05</v>
      </c>
      <c r="E11" s="288"/>
      <c r="F11" s="288"/>
      <c r="G11">
        <f t="shared" si="0"/>
        <v>0</v>
      </c>
      <c r="H11">
        <f t="shared" si="1"/>
        <v>0</v>
      </c>
    </row>
    <row r="12" spans="1:8" hidden="1" x14ac:dyDescent="0.2">
      <c r="A12" t="s">
        <v>3694</v>
      </c>
      <c r="B12" t="s">
        <v>3695</v>
      </c>
      <c r="C12" t="s">
        <v>3696</v>
      </c>
      <c r="D12" s="295">
        <v>2921805.49</v>
      </c>
      <c r="E12" s="288"/>
      <c r="F12" s="288"/>
      <c r="G12">
        <f t="shared" si="0"/>
        <v>0</v>
      </c>
      <c r="H12">
        <f t="shared" si="1"/>
        <v>0</v>
      </c>
    </row>
    <row r="13" spans="1:8" hidden="1" x14ac:dyDescent="0.2">
      <c r="A13" t="s">
        <v>3697</v>
      </c>
      <c r="B13" t="s">
        <v>3698</v>
      </c>
      <c r="C13" t="s">
        <v>3699</v>
      </c>
      <c r="D13" s="295">
        <v>3590010.69</v>
      </c>
      <c r="E13" s="288"/>
      <c r="F13" s="288" t="s">
        <v>3678</v>
      </c>
      <c r="G13" t="str">
        <f t="shared" si="0"/>
        <v xml:space="preserve">  DE_0300_3150</v>
      </c>
      <c r="H13">
        <f t="shared" si="1"/>
        <v>0</v>
      </c>
    </row>
    <row r="14" spans="1:8" hidden="1" x14ac:dyDescent="0.2">
      <c r="A14" t="s">
        <v>3700</v>
      </c>
      <c r="B14" t="s">
        <v>3701</v>
      </c>
      <c r="C14" t="s">
        <v>3702</v>
      </c>
      <c r="D14" s="295">
        <v>2228465.98</v>
      </c>
      <c r="E14" s="288"/>
      <c r="F14" s="288"/>
      <c r="G14">
        <f t="shared" si="0"/>
        <v>0</v>
      </c>
      <c r="H14">
        <f t="shared" si="1"/>
        <v>0</v>
      </c>
    </row>
    <row r="15" spans="1:8" hidden="1" x14ac:dyDescent="0.2">
      <c r="A15" t="s">
        <v>3703</v>
      </c>
      <c r="B15" t="s">
        <v>3704</v>
      </c>
      <c r="C15" t="s">
        <v>3705</v>
      </c>
      <c r="D15" s="295">
        <v>3334145.49</v>
      </c>
      <c r="E15" s="288"/>
      <c r="F15" s="288"/>
      <c r="G15">
        <f t="shared" si="0"/>
        <v>0</v>
      </c>
      <c r="H15">
        <f t="shared" si="1"/>
        <v>0</v>
      </c>
    </row>
    <row r="16" spans="1:8" hidden="1" x14ac:dyDescent="0.2">
      <c r="A16" t="s">
        <v>3706</v>
      </c>
      <c r="B16" t="s">
        <v>3707</v>
      </c>
      <c r="C16" t="s">
        <v>3708</v>
      </c>
      <c r="D16" s="295">
        <v>1057855.48</v>
      </c>
      <c r="E16" s="288"/>
      <c r="F16" s="288"/>
      <c r="G16">
        <f t="shared" si="0"/>
        <v>0</v>
      </c>
      <c r="H16">
        <f t="shared" si="1"/>
        <v>0</v>
      </c>
    </row>
    <row r="17" spans="1:8" hidden="1" x14ac:dyDescent="0.2">
      <c r="C17" t="s">
        <v>3709</v>
      </c>
      <c r="D17" s="295">
        <v>1057856.6299999999</v>
      </c>
      <c r="E17" s="288"/>
      <c r="F17" s="288" t="s">
        <v>3678</v>
      </c>
      <c r="G17" t="str">
        <f t="shared" si="0"/>
        <v xml:space="preserve">  DE_0200_2120</v>
      </c>
      <c r="H17">
        <f t="shared" si="1"/>
        <v>0</v>
      </c>
    </row>
    <row r="18" spans="1:8" hidden="1" x14ac:dyDescent="0.2">
      <c r="C18" t="s">
        <v>3710</v>
      </c>
      <c r="D18" s="295">
        <v>1057856.6299999999</v>
      </c>
      <c r="E18" s="288"/>
      <c r="F18" s="288"/>
      <c r="G18">
        <f t="shared" si="0"/>
        <v>0</v>
      </c>
      <c r="H18">
        <f t="shared" si="1"/>
        <v>0</v>
      </c>
    </row>
    <row r="19" spans="1:8" hidden="1" x14ac:dyDescent="0.2">
      <c r="A19" t="s">
        <v>3711</v>
      </c>
      <c r="B19" t="s">
        <v>3712</v>
      </c>
      <c r="C19" t="s">
        <v>3713</v>
      </c>
      <c r="D19" s="295">
        <v>2741819.16</v>
      </c>
      <c r="E19" s="288"/>
      <c r="F19" s="288" t="s">
        <v>3678</v>
      </c>
      <c r="G19" t="str">
        <f t="shared" si="0"/>
        <v xml:space="preserve">  SR_0200_2120</v>
      </c>
      <c r="H19">
        <f t="shared" si="1"/>
        <v>0</v>
      </c>
    </row>
    <row r="20" spans="1:8" hidden="1" x14ac:dyDescent="0.2">
      <c r="C20" t="s">
        <v>3714</v>
      </c>
      <c r="D20" s="295">
        <v>2741819.16</v>
      </c>
      <c r="E20" s="288"/>
      <c r="F20" s="288"/>
      <c r="G20">
        <f t="shared" si="0"/>
        <v>0</v>
      </c>
      <c r="H20">
        <f t="shared" si="1"/>
        <v>0</v>
      </c>
    </row>
    <row r="21" spans="1:8" hidden="1" x14ac:dyDescent="0.2">
      <c r="A21" t="s">
        <v>3715</v>
      </c>
      <c r="B21" t="s">
        <v>3716</v>
      </c>
      <c r="C21" t="s">
        <v>3717</v>
      </c>
      <c r="D21" s="295">
        <v>434875.12</v>
      </c>
      <c r="E21" s="288"/>
      <c r="F21" s="288" t="s">
        <v>3678</v>
      </c>
      <c r="G21" t="str">
        <f t="shared" si="0"/>
        <v xml:space="preserve">  IF_0103_1300</v>
      </c>
      <c r="H21">
        <f t="shared" si="1"/>
        <v>0</v>
      </c>
    </row>
    <row r="22" spans="1:8" hidden="1" x14ac:dyDescent="0.2">
      <c r="C22" t="s">
        <v>3718</v>
      </c>
      <c r="D22" s="295">
        <v>720278.18</v>
      </c>
      <c r="E22" s="288"/>
      <c r="F22" s="288"/>
      <c r="G22">
        <f t="shared" si="0"/>
        <v>0</v>
      </c>
      <c r="H22">
        <f t="shared" si="1"/>
        <v>0</v>
      </c>
    </row>
    <row r="23" spans="1:8" hidden="1" x14ac:dyDescent="0.2">
      <c r="C23" t="s">
        <v>3719</v>
      </c>
      <c r="D23" s="295">
        <v>736844.71</v>
      </c>
      <c r="E23" s="288"/>
      <c r="F23" s="288" t="s">
        <v>3678</v>
      </c>
      <c r="G23" t="str">
        <f t="shared" si="0"/>
        <v xml:space="preserve">  IF_0103_1340</v>
      </c>
      <c r="H23">
        <f t="shared" si="1"/>
        <v>0</v>
      </c>
    </row>
    <row r="24" spans="1:8" hidden="1" x14ac:dyDescent="0.2">
      <c r="C24" t="s">
        <v>3720</v>
      </c>
      <c r="D24" s="295">
        <v>376896.11</v>
      </c>
      <c r="E24" s="288"/>
      <c r="F24" s="288"/>
      <c r="G24">
        <f t="shared" si="0"/>
        <v>0</v>
      </c>
      <c r="H24">
        <f t="shared" si="1"/>
        <v>0</v>
      </c>
    </row>
    <row r="25" spans="1:8" hidden="1" x14ac:dyDescent="0.2">
      <c r="A25" t="s">
        <v>3721</v>
      </c>
      <c r="B25" t="s">
        <v>3722</v>
      </c>
      <c r="C25" t="s">
        <v>3723</v>
      </c>
      <c r="D25" s="295">
        <v>930178.73</v>
      </c>
      <c r="E25" s="288"/>
      <c r="F25" s="288" t="s">
        <v>3678</v>
      </c>
      <c r="G25" t="str">
        <f t="shared" si="0"/>
        <v xml:space="preserve">  IR_0203_1100</v>
      </c>
      <c r="H25">
        <f t="shared" si="1"/>
        <v>0</v>
      </c>
    </row>
    <row r="26" spans="1:8" hidden="1" x14ac:dyDescent="0.2">
      <c r="C26" t="s">
        <v>3724</v>
      </c>
      <c r="D26" s="295">
        <v>1345713.74</v>
      </c>
      <c r="E26" s="288"/>
      <c r="F26" s="288"/>
      <c r="G26">
        <f t="shared" si="0"/>
        <v>0</v>
      </c>
      <c r="H26">
        <f t="shared" si="1"/>
        <v>0</v>
      </c>
    </row>
    <row r="27" spans="1:8" hidden="1" x14ac:dyDescent="0.2">
      <c r="A27" t="s">
        <v>3725</v>
      </c>
      <c r="B27" t="s">
        <v>3726</v>
      </c>
      <c r="C27" t="s">
        <v>3727</v>
      </c>
      <c r="D27" s="295">
        <v>2364060.39</v>
      </c>
      <c r="E27" s="288"/>
      <c r="F27" s="288"/>
      <c r="G27">
        <f t="shared" si="0"/>
        <v>0</v>
      </c>
      <c r="H27">
        <f t="shared" si="1"/>
        <v>0</v>
      </c>
    </row>
    <row r="28" spans="1:8" x14ac:dyDescent="0.2">
      <c r="A28" t="s">
        <v>3728</v>
      </c>
      <c r="B28" t="s">
        <v>3729</v>
      </c>
      <c r="C28" t="s">
        <v>3730</v>
      </c>
      <c r="D28" s="295">
        <v>45847.32</v>
      </c>
      <c r="E28" s="296" t="s">
        <v>3731</v>
      </c>
      <c r="F28" s="296" t="s">
        <v>3731</v>
      </c>
    </row>
    <row r="29" spans="1:8" hidden="1" x14ac:dyDescent="0.2">
      <c r="C29" t="s">
        <v>3732</v>
      </c>
      <c r="D29" s="295">
        <v>3879697.47</v>
      </c>
      <c r="E29" s="288"/>
      <c r="F29" s="288"/>
      <c r="G29">
        <f t="shared" si="0"/>
        <v>0</v>
      </c>
      <c r="H29">
        <f t="shared" si="1"/>
        <v>0</v>
      </c>
    </row>
    <row r="30" spans="1:8" hidden="1" x14ac:dyDescent="0.2">
      <c r="C30" t="s">
        <v>3733</v>
      </c>
      <c r="D30" s="295">
        <v>22408.26</v>
      </c>
      <c r="E30" s="288"/>
      <c r="F30" s="288"/>
      <c r="G30">
        <f t="shared" si="0"/>
        <v>0</v>
      </c>
      <c r="H30">
        <f t="shared" si="1"/>
        <v>0</v>
      </c>
    </row>
    <row r="31" spans="1:8" hidden="1" x14ac:dyDescent="0.2">
      <c r="A31" t="s">
        <v>3734</v>
      </c>
      <c r="B31" t="s">
        <v>3726</v>
      </c>
      <c r="C31" t="s">
        <v>3735</v>
      </c>
      <c r="D31" s="295">
        <v>2368382.41</v>
      </c>
      <c r="E31" s="288"/>
      <c r="F31" s="288"/>
      <c r="G31">
        <f t="shared" si="0"/>
        <v>0</v>
      </c>
      <c r="H31">
        <f t="shared" si="1"/>
        <v>0</v>
      </c>
    </row>
    <row r="32" spans="1:8" hidden="1" x14ac:dyDescent="0.2">
      <c r="A32" t="s">
        <v>3736</v>
      </c>
      <c r="B32" t="s">
        <v>3726</v>
      </c>
      <c r="C32" t="s">
        <v>3737</v>
      </c>
      <c r="D32" s="295">
        <v>2368382.41</v>
      </c>
      <c r="E32" s="288"/>
      <c r="F32" s="288"/>
      <c r="G32">
        <f t="shared" si="0"/>
        <v>0</v>
      </c>
      <c r="H32">
        <f t="shared" si="1"/>
        <v>0</v>
      </c>
    </row>
    <row r="33" spans="1:8" hidden="1" x14ac:dyDescent="0.2">
      <c r="A33" t="s">
        <v>3738</v>
      </c>
      <c r="B33" t="s">
        <v>3726</v>
      </c>
      <c r="C33" t="s">
        <v>3739</v>
      </c>
      <c r="D33" s="295">
        <v>2525581.0499999998</v>
      </c>
      <c r="E33" s="288"/>
      <c r="F33" s="288" t="s">
        <v>3678</v>
      </c>
      <c r="G33" t="str">
        <f t="shared" si="0"/>
        <v xml:space="preserve">  IR_0212_1620</v>
      </c>
      <c r="H33">
        <f t="shared" si="1"/>
        <v>0</v>
      </c>
    </row>
    <row r="34" spans="1:8" hidden="1" x14ac:dyDescent="0.2">
      <c r="A34" t="s">
        <v>3740</v>
      </c>
      <c r="B34" t="s">
        <v>3726</v>
      </c>
      <c r="C34" t="s">
        <v>3741</v>
      </c>
      <c r="D34" s="295">
        <v>2525581.0499999998</v>
      </c>
      <c r="E34" s="288"/>
      <c r="F34" s="288"/>
      <c r="G34">
        <f t="shared" si="0"/>
        <v>0</v>
      </c>
      <c r="H34">
        <f t="shared" si="1"/>
        <v>0</v>
      </c>
    </row>
    <row r="35" spans="1:8" hidden="1" x14ac:dyDescent="0.2">
      <c r="A35" t="s">
        <v>3742</v>
      </c>
      <c r="B35" t="s">
        <v>3729</v>
      </c>
      <c r="C35" t="s">
        <v>3743</v>
      </c>
      <c r="D35" s="295">
        <v>2622520.19</v>
      </c>
      <c r="E35" s="288"/>
      <c r="F35" s="288"/>
      <c r="G35">
        <f t="shared" si="0"/>
        <v>0</v>
      </c>
      <c r="H35">
        <f t="shared" si="1"/>
        <v>0</v>
      </c>
    </row>
    <row r="36" spans="1:8" hidden="1" x14ac:dyDescent="0.2">
      <c r="A36" t="s">
        <v>3744</v>
      </c>
      <c r="B36" t="s">
        <v>3687</v>
      </c>
      <c r="C36" t="s">
        <v>3745</v>
      </c>
      <c r="D36" s="295">
        <v>204600</v>
      </c>
      <c r="E36" s="288"/>
      <c r="F36" s="288"/>
      <c r="G36">
        <f t="shared" si="0"/>
        <v>0</v>
      </c>
      <c r="H36">
        <f t="shared" si="1"/>
        <v>0</v>
      </c>
    </row>
    <row r="37" spans="1:8" hidden="1" x14ac:dyDescent="0.2">
      <c r="C37" t="s">
        <v>3746</v>
      </c>
      <c r="D37" s="295">
        <v>306900</v>
      </c>
      <c r="E37" s="288"/>
      <c r="F37" s="288" t="s">
        <v>3678</v>
      </c>
      <c r="G37" t="str">
        <f t="shared" si="0"/>
        <v xml:space="preserve">  RD_0310_1186</v>
      </c>
      <c r="H37">
        <f t="shared" si="1"/>
        <v>0</v>
      </c>
    </row>
    <row r="38" spans="1:8" hidden="1" x14ac:dyDescent="0.2">
      <c r="C38" t="s">
        <v>3747</v>
      </c>
      <c r="D38" s="295">
        <v>624937.06000000006</v>
      </c>
      <c r="E38" s="288"/>
      <c r="F38" s="288"/>
      <c r="G38">
        <f t="shared" si="0"/>
        <v>0</v>
      </c>
      <c r="H38">
        <f t="shared" si="1"/>
        <v>0</v>
      </c>
    </row>
    <row r="39" spans="1:8" hidden="1" x14ac:dyDescent="0.2">
      <c r="C39" t="s">
        <v>3748</v>
      </c>
      <c r="D39" s="295">
        <v>880750.13</v>
      </c>
      <c r="E39" s="288"/>
      <c r="F39" s="288" t="s">
        <v>3678</v>
      </c>
      <c r="G39" t="str">
        <f t="shared" si="0"/>
        <v xml:space="preserve">  RD_0310_1193</v>
      </c>
      <c r="H39">
        <f t="shared" si="1"/>
        <v>0</v>
      </c>
    </row>
    <row r="40" spans="1:8" hidden="1" x14ac:dyDescent="0.2">
      <c r="C40" t="s">
        <v>3749</v>
      </c>
      <c r="D40" s="295">
        <v>234461.18</v>
      </c>
      <c r="E40" s="288"/>
      <c r="F40" s="288"/>
      <c r="G40">
        <f t="shared" si="0"/>
        <v>0</v>
      </c>
      <c r="H40">
        <f t="shared" si="1"/>
        <v>0</v>
      </c>
    </row>
    <row r="41" spans="1:8" hidden="1" x14ac:dyDescent="0.2">
      <c r="C41" t="s">
        <v>3750</v>
      </c>
      <c r="D41" s="295">
        <v>53529.95</v>
      </c>
      <c r="E41" s="288"/>
      <c r="F41" s="288" t="s">
        <v>3678</v>
      </c>
      <c r="G41" t="str">
        <f t="shared" si="0"/>
        <v xml:space="preserve">  RD_0310_1195</v>
      </c>
      <c r="H41">
        <f t="shared" si="1"/>
        <v>0</v>
      </c>
    </row>
    <row r="42" spans="1:8" hidden="1" x14ac:dyDescent="0.2">
      <c r="A42" t="s">
        <v>3751</v>
      </c>
      <c r="B42" t="s">
        <v>3752</v>
      </c>
      <c r="C42" t="s">
        <v>3753</v>
      </c>
      <c r="D42" s="295">
        <v>837074.55</v>
      </c>
      <c r="E42" s="288"/>
      <c r="F42" s="288"/>
      <c r="G42">
        <f t="shared" si="0"/>
        <v>0</v>
      </c>
      <c r="H42">
        <f t="shared" si="1"/>
        <v>0</v>
      </c>
    </row>
    <row r="43" spans="1:8" hidden="1" x14ac:dyDescent="0.2">
      <c r="B43" t="s">
        <v>3754</v>
      </c>
      <c r="C43" t="s">
        <v>3755</v>
      </c>
      <c r="D43" s="295">
        <v>1857610.76</v>
      </c>
      <c r="E43" s="288"/>
      <c r="F43" s="288" t="s">
        <v>3678</v>
      </c>
      <c r="G43" t="str">
        <f t="shared" si="0"/>
        <v xml:space="preserve">  SR_0300_1260</v>
      </c>
      <c r="H43">
        <f t="shared" si="1"/>
        <v>0</v>
      </c>
    </row>
    <row r="44" spans="1:8" hidden="1" x14ac:dyDescent="0.2">
      <c r="B44" t="s">
        <v>3756</v>
      </c>
      <c r="C44" t="s">
        <v>3757</v>
      </c>
      <c r="D44" s="295">
        <v>33612.39</v>
      </c>
      <c r="E44" s="288"/>
      <c r="F44" s="288"/>
      <c r="G44">
        <f t="shared" si="0"/>
        <v>0</v>
      </c>
      <c r="H44">
        <f t="shared" si="1"/>
        <v>0</v>
      </c>
    </row>
    <row r="45" spans="1:8" hidden="1" x14ac:dyDescent="0.2">
      <c r="B45" t="s">
        <v>3758</v>
      </c>
      <c r="C45" t="s">
        <v>3759</v>
      </c>
      <c r="D45" s="295">
        <v>14726.71</v>
      </c>
      <c r="E45" s="288"/>
      <c r="F45" s="288"/>
      <c r="G45">
        <f t="shared" si="0"/>
        <v>0</v>
      </c>
      <c r="H45">
        <f t="shared" si="1"/>
        <v>0</v>
      </c>
    </row>
    <row r="46" spans="1:8" hidden="1" x14ac:dyDescent="0.2">
      <c r="B46" t="s">
        <v>3760</v>
      </c>
      <c r="C46" t="s">
        <v>3761</v>
      </c>
      <c r="D46" s="295">
        <v>440456.76</v>
      </c>
      <c r="E46" s="288"/>
      <c r="F46" s="288"/>
      <c r="G46">
        <f t="shared" si="0"/>
        <v>0</v>
      </c>
      <c r="H46">
        <f t="shared" si="1"/>
        <v>0</v>
      </c>
    </row>
    <row r="47" spans="1:8" hidden="1" x14ac:dyDescent="0.2">
      <c r="B47" t="s">
        <v>3762</v>
      </c>
      <c r="C47" t="s">
        <v>3763</v>
      </c>
      <c r="D47" s="295">
        <v>151748.74</v>
      </c>
      <c r="E47" s="288"/>
      <c r="F47" s="288"/>
      <c r="G47">
        <f t="shared" si="0"/>
        <v>0</v>
      </c>
      <c r="H47">
        <f t="shared" si="1"/>
        <v>0</v>
      </c>
    </row>
    <row r="48" spans="1:8" hidden="1" x14ac:dyDescent="0.2">
      <c r="C48" t="s">
        <v>3764</v>
      </c>
      <c r="D48" s="295">
        <v>39057.599999999999</v>
      </c>
      <c r="E48" s="288"/>
      <c r="F48" s="288"/>
      <c r="G48">
        <f t="shared" si="0"/>
        <v>0</v>
      </c>
      <c r="H48">
        <f t="shared" si="1"/>
        <v>0</v>
      </c>
    </row>
    <row r="49" spans="1:8" hidden="1" x14ac:dyDescent="0.2">
      <c r="A49" t="s">
        <v>3765</v>
      </c>
      <c r="B49" t="s">
        <v>3752</v>
      </c>
      <c r="C49" t="s">
        <v>3766</v>
      </c>
      <c r="D49" s="295">
        <v>42171.77</v>
      </c>
      <c r="E49" s="288"/>
      <c r="F49" s="288"/>
      <c r="G49">
        <f t="shared" si="0"/>
        <v>0</v>
      </c>
      <c r="H49">
        <f t="shared" si="1"/>
        <v>0</v>
      </c>
    </row>
    <row r="50" spans="1:8" hidden="1" x14ac:dyDescent="0.2">
      <c r="B50" t="s">
        <v>3754</v>
      </c>
      <c r="C50" t="s">
        <v>3767</v>
      </c>
      <c r="D50" s="295">
        <v>2565832.04</v>
      </c>
      <c r="E50" s="288"/>
      <c r="F50" s="288"/>
      <c r="G50">
        <f t="shared" si="0"/>
        <v>0</v>
      </c>
      <c r="H50">
        <f t="shared" si="1"/>
        <v>0</v>
      </c>
    </row>
    <row r="51" spans="1:8" hidden="1" x14ac:dyDescent="0.2">
      <c r="B51" t="s">
        <v>3758</v>
      </c>
      <c r="C51" t="s">
        <v>3768</v>
      </c>
      <c r="D51" s="295">
        <v>106900.09</v>
      </c>
      <c r="E51" s="288"/>
      <c r="F51" s="288"/>
      <c r="G51">
        <f t="shared" si="0"/>
        <v>0</v>
      </c>
      <c r="H51">
        <f t="shared" si="1"/>
        <v>0</v>
      </c>
    </row>
    <row r="52" spans="1:8" hidden="1" x14ac:dyDescent="0.2">
      <c r="C52" t="s">
        <v>3769</v>
      </c>
      <c r="D52" s="295">
        <v>185244.6</v>
      </c>
      <c r="E52" s="288"/>
      <c r="F52" s="288"/>
      <c r="G52">
        <f t="shared" si="0"/>
        <v>0</v>
      </c>
      <c r="H52">
        <f t="shared" si="1"/>
        <v>0</v>
      </c>
    </row>
    <row r="53" spans="1:8" hidden="1" x14ac:dyDescent="0.2">
      <c r="B53" t="s">
        <v>3760</v>
      </c>
      <c r="C53" t="s">
        <v>3770</v>
      </c>
      <c r="D53" s="295">
        <v>390095.89</v>
      </c>
      <c r="E53" s="288"/>
      <c r="F53" s="288"/>
      <c r="G53">
        <f t="shared" si="0"/>
        <v>0</v>
      </c>
      <c r="H53">
        <f t="shared" si="1"/>
        <v>0</v>
      </c>
    </row>
    <row r="54" spans="1:8" hidden="1" x14ac:dyDescent="0.2">
      <c r="B54" t="s">
        <v>3762</v>
      </c>
      <c r="C54" t="s">
        <v>3771</v>
      </c>
      <c r="D54" s="295">
        <v>288795.40999999997</v>
      </c>
      <c r="E54" s="288"/>
      <c r="F54" s="288"/>
      <c r="G54">
        <f t="shared" si="0"/>
        <v>0</v>
      </c>
      <c r="H54">
        <f t="shared" si="1"/>
        <v>0</v>
      </c>
    </row>
    <row r="55" spans="1:8" hidden="1" x14ac:dyDescent="0.2">
      <c r="A55" t="s">
        <v>3772</v>
      </c>
      <c r="B55" t="s">
        <v>3773</v>
      </c>
      <c r="C55" t="s">
        <v>3774</v>
      </c>
      <c r="D55" s="295">
        <v>639378.65</v>
      </c>
      <c r="E55" s="288"/>
      <c r="F55" s="288"/>
      <c r="G55">
        <f t="shared" si="0"/>
        <v>0</v>
      </c>
      <c r="H55">
        <f t="shared" si="1"/>
        <v>0</v>
      </c>
    </row>
    <row r="56" spans="1:8" hidden="1" x14ac:dyDescent="0.2">
      <c r="A56" t="s">
        <v>3775</v>
      </c>
      <c r="B56" t="s">
        <v>3773</v>
      </c>
      <c r="C56" t="s">
        <v>3776</v>
      </c>
      <c r="D56" s="295">
        <v>3230925.97</v>
      </c>
      <c r="E56" s="288"/>
      <c r="F56" s="288"/>
      <c r="G56">
        <f t="shared" si="0"/>
        <v>0</v>
      </c>
      <c r="H56">
        <f t="shared" si="1"/>
        <v>0</v>
      </c>
    </row>
    <row r="57" spans="1:8" hidden="1" x14ac:dyDescent="0.2">
      <c r="A57" t="s">
        <v>3777</v>
      </c>
      <c r="B57" t="s">
        <v>3778</v>
      </c>
      <c r="C57" t="s">
        <v>3779</v>
      </c>
      <c r="D57" s="295">
        <v>2477009.06</v>
      </c>
      <c r="E57" s="288"/>
      <c r="F57" s="288"/>
      <c r="G57">
        <f t="shared" si="0"/>
        <v>0</v>
      </c>
      <c r="H57">
        <f t="shared" si="1"/>
        <v>0</v>
      </c>
    </row>
    <row r="58" spans="1:8" hidden="1" x14ac:dyDescent="0.2">
      <c r="A58" t="s">
        <v>3780</v>
      </c>
      <c r="B58" t="s">
        <v>3781</v>
      </c>
      <c r="C58" t="s">
        <v>3782</v>
      </c>
      <c r="D58" s="295">
        <v>2330459.04</v>
      </c>
      <c r="E58" s="288"/>
      <c r="F58" s="288"/>
      <c r="G58">
        <f t="shared" si="0"/>
        <v>0</v>
      </c>
      <c r="H58">
        <f t="shared" si="1"/>
        <v>0</v>
      </c>
    </row>
    <row r="59" spans="1:8" hidden="1" x14ac:dyDescent="0.2">
      <c r="A59" t="s">
        <v>3783</v>
      </c>
      <c r="B59" t="s">
        <v>3784</v>
      </c>
      <c r="C59" t="s">
        <v>3785</v>
      </c>
      <c r="D59" s="295">
        <v>2270201.88</v>
      </c>
      <c r="E59" s="288"/>
      <c r="F59" s="288"/>
      <c r="G59">
        <f t="shared" si="0"/>
        <v>0</v>
      </c>
      <c r="H59">
        <f t="shared" si="1"/>
        <v>0</v>
      </c>
    </row>
    <row r="60" spans="1:8" hidden="1" x14ac:dyDescent="0.2">
      <c r="A60" t="s">
        <v>3786</v>
      </c>
      <c r="B60" t="s">
        <v>3787</v>
      </c>
      <c r="C60" t="s">
        <v>3788</v>
      </c>
      <c r="D60" s="295">
        <v>3744656.71</v>
      </c>
      <c r="E60" s="288"/>
      <c r="F60" s="288"/>
      <c r="G60">
        <f t="shared" si="0"/>
        <v>0</v>
      </c>
      <c r="H60">
        <f t="shared" si="1"/>
        <v>0</v>
      </c>
    </row>
    <row r="61" spans="1:8" hidden="1" x14ac:dyDescent="0.2">
      <c r="A61" t="s">
        <v>3789</v>
      </c>
      <c r="B61" t="s">
        <v>3787</v>
      </c>
      <c r="C61" t="s">
        <v>3790</v>
      </c>
      <c r="D61" s="295">
        <v>3744656.71</v>
      </c>
      <c r="E61" s="288"/>
      <c r="F61" s="288"/>
      <c r="G61">
        <f t="shared" si="0"/>
        <v>0</v>
      </c>
      <c r="H61">
        <f t="shared" si="1"/>
        <v>0</v>
      </c>
    </row>
    <row r="62" spans="1:8" hidden="1" x14ac:dyDescent="0.2">
      <c r="A62" t="s">
        <v>3791</v>
      </c>
      <c r="B62" t="s">
        <v>3792</v>
      </c>
      <c r="C62" t="s">
        <v>3793</v>
      </c>
      <c r="D62" s="295">
        <v>2073827.18</v>
      </c>
      <c r="E62" s="288"/>
      <c r="F62" s="288" t="s">
        <v>3678</v>
      </c>
      <c r="G62" t="str">
        <f t="shared" si="0"/>
        <v xml:space="preserve">  DE_0400_4244</v>
      </c>
      <c r="H62">
        <f t="shared" si="1"/>
        <v>0</v>
      </c>
    </row>
    <row r="63" spans="1:8" hidden="1" x14ac:dyDescent="0.2">
      <c r="C63" t="s">
        <v>3794</v>
      </c>
      <c r="D63" s="295">
        <v>464110.6</v>
      </c>
      <c r="E63" s="288"/>
      <c r="F63" s="288"/>
      <c r="G63">
        <f t="shared" si="0"/>
        <v>0</v>
      </c>
      <c r="H63">
        <f t="shared" si="1"/>
        <v>0</v>
      </c>
    </row>
    <row r="64" spans="1:8" hidden="1" x14ac:dyDescent="0.2">
      <c r="A64" t="s">
        <v>3795</v>
      </c>
      <c r="B64" t="s">
        <v>3796</v>
      </c>
      <c r="C64" t="s">
        <v>3797</v>
      </c>
      <c r="D64" s="295">
        <v>7693616.3099999996</v>
      </c>
      <c r="E64" s="288"/>
      <c r="F64" s="288" t="s">
        <v>3678</v>
      </c>
      <c r="G64" t="str">
        <f t="shared" si="0"/>
        <v xml:space="preserve">  HR_0804_1080</v>
      </c>
      <c r="H64">
        <f t="shared" si="1"/>
        <v>0</v>
      </c>
    </row>
    <row r="65" spans="1:8" hidden="1" x14ac:dyDescent="0.2">
      <c r="A65" t="s">
        <v>3798</v>
      </c>
      <c r="B65" t="s">
        <v>3799</v>
      </c>
      <c r="C65" t="s">
        <v>3800</v>
      </c>
      <c r="D65" s="295">
        <v>4463935.67</v>
      </c>
      <c r="E65" s="288"/>
      <c r="F65" s="288"/>
      <c r="G65">
        <f t="shared" si="0"/>
        <v>0</v>
      </c>
      <c r="H65">
        <f t="shared" si="1"/>
        <v>0</v>
      </c>
    </row>
    <row r="66" spans="1:8" hidden="1" x14ac:dyDescent="0.2">
      <c r="A66" t="s">
        <v>3801</v>
      </c>
      <c r="B66" t="s">
        <v>3802</v>
      </c>
      <c r="C66" t="s">
        <v>3803</v>
      </c>
      <c r="D66" s="295">
        <v>623020.38</v>
      </c>
      <c r="E66" s="288"/>
      <c r="F66" s="288"/>
      <c r="G66">
        <f t="shared" si="0"/>
        <v>0</v>
      </c>
      <c r="H66">
        <f t="shared" si="1"/>
        <v>0</v>
      </c>
    </row>
    <row r="67" spans="1:8" hidden="1" x14ac:dyDescent="0.2">
      <c r="A67" t="s">
        <v>3804</v>
      </c>
      <c r="B67" t="s">
        <v>3802</v>
      </c>
      <c r="C67" t="s">
        <v>3805</v>
      </c>
      <c r="D67" s="295">
        <v>4421597.8600000003</v>
      </c>
      <c r="E67" s="288"/>
      <c r="F67" s="288"/>
      <c r="G67">
        <f t="shared" si="0"/>
        <v>0</v>
      </c>
      <c r="H67">
        <f t="shared" si="1"/>
        <v>0</v>
      </c>
    </row>
    <row r="68" spans="1:8" hidden="1" x14ac:dyDescent="0.2">
      <c r="A68" t="s">
        <v>3806</v>
      </c>
      <c r="B68" t="s">
        <v>3807</v>
      </c>
      <c r="C68" t="s">
        <v>3808</v>
      </c>
      <c r="D68" s="295">
        <v>3474713.91</v>
      </c>
      <c r="E68" s="288"/>
      <c r="F68" s="288"/>
      <c r="G68">
        <f t="shared" si="0"/>
        <v>0</v>
      </c>
      <c r="H68">
        <f t="shared" si="1"/>
        <v>0</v>
      </c>
    </row>
    <row r="69" spans="1:8" hidden="1" x14ac:dyDescent="0.2">
      <c r="A69" t="s">
        <v>3809</v>
      </c>
      <c r="B69" t="s">
        <v>3810</v>
      </c>
      <c r="C69" t="s">
        <v>3811</v>
      </c>
      <c r="D69" s="295">
        <v>2264534.4</v>
      </c>
      <c r="E69" s="288"/>
      <c r="F69" s="288"/>
      <c r="G69">
        <f t="shared" si="0"/>
        <v>0</v>
      </c>
      <c r="H69">
        <f t="shared" si="1"/>
        <v>0</v>
      </c>
    </row>
    <row r="70" spans="1:8" hidden="1" x14ac:dyDescent="0.2">
      <c r="A70" t="s">
        <v>3812</v>
      </c>
      <c r="B70" t="s">
        <v>3813</v>
      </c>
      <c r="C70" t="s">
        <v>3814</v>
      </c>
      <c r="D70" s="295">
        <v>1867334.88</v>
      </c>
      <c r="E70" s="288"/>
      <c r="F70" s="288"/>
      <c r="G70">
        <f t="shared" ref="G70:G132" si="2">IF(F70="X",C70,0)</f>
        <v>0</v>
      </c>
      <c r="H70">
        <f t="shared" ref="H70:H132" si="3">IF(E70="X",C70,0)</f>
        <v>0</v>
      </c>
    </row>
    <row r="71" spans="1:8" hidden="1" x14ac:dyDescent="0.2">
      <c r="C71" t="s">
        <v>3815</v>
      </c>
      <c r="D71" s="295">
        <v>1630759.52</v>
      </c>
      <c r="E71" s="288"/>
      <c r="F71" s="288"/>
      <c r="G71">
        <f t="shared" si="2"/>
        <v>0</v>
      </c>
      <c r="H71">
        <f t="shared" si="3"/>
        <v>0</v>
      </c>
    </row>
    <row r="72" spans="1:8" hidden="1" x14ac:dyDescent="0.2">
      <c r="A72" t="s">
        <v>3816</v>
      </c>
      <c r="B72" t="s">
        <v>3817</v>
      </c>
      <c r="C72" t="s">
        <v>3818</v>
      </c>
      <c r="D72" s="295">
        <v>3640950.11</v>
      </c>
      <c r="E72" s="288"/>
      <c r="F72" s="288" t="s">
        <v>3678</v>
      </c>
      <c r="G72" t="str">
        <f t="shared" si="2"/>
        <v xml:space="preserve">  AS_0302_1180</v>
      </c>
      <c r="H72">
        <f t="shared" si="3"/>
        <v>0</v>
      </c>
    </row>
    <row r="73" spans="1:8" hidden="1" x14ac:dyDescent="0.2">
      <c r="A73" t="s">
        <v>3819</v>
      </c>
      <c r="B73" t="s">
        <v>3820</v>
      </c>
      <c r="C73" t="s">
        <v>3821</v>
      </c>
      <c r="D73" s="295">
        <v>2331783.33</v>
      </c>
      <c r="E73" s="288"/>
      <c r="F73" s="288"/>
      <c r="G73">
        <f t="shared" si="2"/>
        <v>0</v>
      </c>
      <c r="H73">
        <f t="shared" si="3"/>
        <v>0</v>
      </c>
    </row>
    <row r="74" spans="1:8" hidden="1" x14ac:dyDescent="0.2">
      <c r="C74" t="s">
        <v>3822</v>
      </c>
      <c r="D74" s="295">
        <v>2350962.17</v>
      </c>
      <c r="E74" s="288"/>
      <c r="F74" s="288" t="s">
        <v>3678</v>
      </c>
      <c r="G74" t="str">
        <f t="shared" si="2"/>
        <v xml:space="preserve">  IR_0207_1120</v>
      </c>
      <c r="H74">
        <f t="shared" si="3"/>
        <v>0</v>
      </c>
    </row>
    <row r="75" spans="1:8" hidden="1" x14ac:dyDescent="0.2">
      <c r="C75" t="s">
        <v>3823</v>
      </c>
      <c r="D75" s="295">
        <v>408062.08</v>
      </c>
      <c r="E75" s="288"/>
      <c r="F75" s="288"/>
      <c r="G75">
        <f t="shared" si="2"/>
        <v>0</v>
      </c>
      <c r="H75">
        <f t="shared" si="3"/>
        <v>0</v>
      </c>
    </row>
    <row r="76" spans="1:8" hidden="1" x14ac:dyDescent="0.2">
      <c r="C76" t="s">
        <v>3824</v>
      </c>
      <c r="D76" s="295">
        <v>411418.38</v>
      </c>
      <c r="E76" s="288"/>
      <c r="F76" s="288" t="s">
        <v>3678</v>
      </c>
      <c r="G76" t="str">
        <f t="shared" si="2"/>
        <v xml:space="preserve">  IR_0207_1160</v>
      </c>
      <c r="H76">
        <f t="shared" si="3"/>
        <v>0</v>
      </c>
    </row>
    <row r="77" spans="1:8" hidden="1" x14ac:dyDescent="0.2">
      <c r="A77" t="s">
        <v>3825</v>
      </c>
      <c r="B77" t="s">
        <v>3826</v>
      </c>
      <c r="C77" t="s">
        <v>3827</v>
      </c>
      <c r="D77" s="295">
        <v>1602446.52</v>
      </c>
      <c r="E77" s="288"/>
      <c r="F77" s="288"/>
      <c r="G77">
        <f t="shared" si="2"/>
        <v>0</v>
      </c>
      <c r="H77">
        <f t="shared" si="3"/>
        <v>0</v>
      </c>
    </row>
    <row r="78" spans="1:8" hidden="1" x14ac:dyDescent="0.2">
      <c r="A78" t="s">
        <v>3828</v>
      </c>
      <c r="B78" t="s">
        <v>3829</v>
      </c>
      <c r="C78" t="s">
        <v>3830</v>
      </c>
      <c r="D78" s="295">
        <v>2641489.44</v>
      </c>
      <c r="E78" s="288"/>
      <c r="F78" s="288"/>
      <c r="G78">
        <f t="shared" si="2"/>
        <v>0</v>
      </c>
      <c r="H78">
        <f t="shared" si="3"/>
        <v>0</v>
      </c>
    </row>
    <row r="79" spans="1:8" x14ac:dyDescent="0.2">
      <c r="A79" t="s">
        <v>3831</v>
      </c>
      <c r="B79" t="s">
        <v>3832</v>
      </c>
      <c r="C79" t="s">
        <v>3833</v>
      </c>
      <c r="D79" s="295">
        <v>1199513</v>
      </c>
      <c r="E79" s="296" t="s">
        <v>3731</v>
      </c>
      <c r="F79" s="296" t="s">
        <v>3731</v>
      </c>
    </row>
    <row r="80" spans="1:8" hidden="1" x14ac:dyDescent="0.2">
      <c r="C80" t="s">
        <v>3834</v>
      </c>
      <c r="D80" s="295">
        <v>2020399.72</v>
      </c>
      <c r="E80" s="288"/>
      <c r="F80" s="288"/>
      <c r="G80">
        <f t="shared" si="2"/>
        <v>0</v>
      </c>
      <c r="H80">
        <f t="shared" si="3"/>
        <v>0</v>
      </c>
    </row>
    <row r="81" spans="1:8" hidden="1" x14ac:dyDescent="0.2">
      <c r="C81" t="s">
        <v>3835</v>
      </c>
      <c r="D81" s="295">
        <v>1079561.7</v>
      </c>
      <c r="E81" s="288"/>
      <c r="F81" s="288"/>
      <c r="G81">
        <f t="shared" si="2"/>
        <v>0</v>
      </c>
      <c r="H81">
        <f t="shared" si="3"/>
        <v>0</v>
      </c>
    </row>
    <row r="82" spans="1:8" hidden="1" x14ac:dyDescent="0.2">
      <c r="C82" t="s">
        <v>3836</v>
      </c>
      <c r="D82" s="295">
        <v>299878.25</v>
      </c>
      <c r="E82" s="288"/>
      <c r="F82" s="288"/>
      <c r="G82">
        <f t="shared" si="2"/>
        <v>0</v>
      </c>
      <c r="H82">
        <f t="shared" si="3"/>
        <v>0</v>
      </c>
    </row>
    <row r="83" spans="1:8" hidden="1" x14ac:dyDescent="0.2">
      <c r="C83" t="s">
        <v>3837</v>
      </c>
      <c r="D83" s="295">
        <v>329746.12</v>
      </c>
      <c r="E83" s="288"/>
      <c r="F83" s="288"/>
      <c r="G83">
        <f t="shared" si="2"/>
        <v>0</v>
      </c>
      <c r="H83">
        <f t="shared" si="3"/>
        <v>0</v>
      </c>
    </row>
    <row r="84" spans="1:8" hidden="1" x14ac:dyDescent="0.2">
      <c r="C84" t="s">
        <v>3838</v>
      </c>
      <c r="D84" s="295">
        <v>402110.89</v>
      </c>
      <c r="E84" s="288"/>
      <c r="F84" s="288"/>
      <c r="G84">
        <f t="shared" si="2"/>
        <v>0</v>
      </c>
      <c r="H84">
        <f t="shared" si="3"/>
        <v>0</v>
      </c>
    </row>
    <row r="85" spans="1:8" hidden="1" x14ac:dyDescent="0.2">
      <c r="A85" t="s">
        <v>3839</v>
      </c>
      <c r="B85" t="s">
        <v>3840</v>
      </c>
      <c r="C85" t="s">
        <v>3841</v>
      </c>
      <c r="D85" s="295">
        <v>4511558.47</v>
      </c>
      <c r="E85" s="288"/>
      <c r="F85" s="288"/>
      <c r="G85">
        <f t="shared" si="2"/>
        <v>0</v>
      </c>
      <c r="H85">
        <f t="shared" si="3"/>
        <v>0</v>
      </c>
    </row>
    <row r="86" spans="1:8" hidden="1" x14ac:dyDescent="0.2">
      <c r="A86" t="s">
        <v>3842</v>
      </c>
      <c r="B86" t="s">
        <v>3843</v>
      </c>
      <c r="C86" t="s">
        <v>3844</v>
      </c>
      <c r="D86" s="295">
        <v>3665169.73</v>
      </c>
      <c r="E86" s="288"/>
      <c r="F86" s="288" t="s">
        <v>3678</v>
      </c>
      <c r="G86" t="str">
        <f t="shared" si="2"/>
        <v xml:space="preserve">  HR_0805_1180</v>
      </c>
      <c r="H86">
        <f t="shared" si="3"/>
        <v>0</v>
      </c>
    </row>
    <row r="87" spans="1:8" hidden="1" x14ac:dyDescent="0.2">
      <c r="A87" t="s">
        <v>3845</v>
      </c>
      <c r="B87" t="s">
        <v>3846</v>
      </c>
      <c r="C87" t="s">
        <v>3847</v>
      </c>
      <c r="D87" s="295">
        <v>742352.93</v>
      </c>
      <c r="E87" s="288"/>
      <c r="F87" s="288"/>
      <c r="G87">
        <f t="shared" si="2"/>
        <v>0</v>
      </c>
      <c r="H87">
        <f t="shared" si="3"/>
        <v>0</v>
      </c>
    </row>
    <row r="88" spans="1:8" hidden="1" x14ac:dyDescent="0.2">
      <c r="C88" t="s">
        <v>3848</v>
      </c>
      <c r="D88" s="295">
        <v>1420352.27</v>
      </c>
      <c r="E88" s="288"/>
      <c r="F88" s="288"/>
      <c r="G88">
        <f t="shared" si="2"/>
        <v>0</v>
      </c>
      <c r="H88">
        <f t="shared" si="3"/>
        <v>0</v>
      </c>
    </row>
    <row r="89" spans="1:8" hidden="1" x14ac:dyDescent="0.2">
      <c r="C89" t="s">
        <v>3849</v>
      </c>
      <c r="D89" s="295">
        <v>922527.17</v>
      </c>
      <c r="E89" s="288"/>
      <c r="F89" s="288"/>
      <c r="G89">
        <f t="shared" si="2"/>
        <v>0</v>
      </c>
      <c r="H89">
        <f t="shared" si="3"/>
        <v>0</v>
      </c>
    </row>
    <row r="90" spans="1:8" hidden="1" x14ac:dyDescent="0.2">
      <c r="A90" t="s">
        <v>3850</v>
      </c>
      <c r="B90" t="s">
        <v>3840</v>
      </c>
      <c r="C90" t="s">
        <v>3851</v>
      </c>
      <c r="D90" s="295">
        <v>4511558.47</v>
      </c>
      <c r="E90" s="288"/>
      <c r="F90" s="288"/>
      <c r="G90">
        <f t="shared" si="2"/>
        <v>0</v>
      </c>
      <c r="H90">
        <f t="shared" si="3"/>
        <v>0</v>
      </c>
    </row>
    <row r="91" spans="1:8" hidden="1" x14ac:dyDescent="0.2">
      <c r="A91" t="s">
        <v>3852</v>
      </c>
      <c r="B91" t="s">
        <v>3853</v>
      </c>
      <c r="C91" t="s">
        <v>3854</v>
      </c>
      <c r="D91" s="295">
        <v>4693902.5199999996</v>
      </c>
      <c r="E91" s="288"/>
      <c r="F91" s="288"/>
      <c r="G91">
        <f t="shared" si="2"/>
        <v>0</v>
      </c>
      <c r="H91">
        <f t="shared" si="3"/>
        <v>0</v>
      </c>
    </row>
    <row r="92" spans="1:8" hidden="1" x14ac:dyDescent="0.2">
      <c r="A92" t="s">
        <v>3855</v>
      </c>
      <c r="B92" t="s">
        <v>3856</v>
      </c>
      <c r="C92" t="s">
        <v>3857</v>
      </c>
      <c r="D92" s="295">
        <v>4693902.5199999996</v>
      </c>
      <c r="E92" s="288"/>
      <c r="F92" s="288"/>
      <c r="G92">
        <f t="shared" si="2"/>
        <v>0</v>
      </c>
      <c r="H92">
        <f t="shared" si="3"/>
        <v>0</v>
      </c>
    </row>
    <row r="93" spans="1:8" hidden="1" x14ac:dyDescent="0.2">
      <c r="A93" t="s">
        <v>3858</v>
      </c>
      <c r="B93" t="s">
        <v>3698</v>
      </c>
      <c r="C93" t="s">
        <v>3859</v>
      </c>
      <c r="D93" s="295">
        <v>3817885.63</v>
      </c>
      <c r="E93" s="288"/>
      <c r="F93" s="288"/>
      <c r="G93">
        <f t="shared" si="2"/>
        <v>0</v>
      </c>
      <c r="H93">
        <f t="shared" si="3"/>
        <v>0</v>
      </c>
    </row>
    <row r="94" spans="1:8" hidden="1" x14ac:dyDescent="0.2">
      <c r="C94" t="s">
        <v>3860</v>
      </c>
      <c r="D94" s="295">
        <v>833530.05</v>
      </c>
      <c r="E94" s="288"/>
      <c r="F94" s="288" t="s">
        <v>3678</v>
      </c>
      <c r="G94" t="str">
        <f t="shared" si="2"/>
        <v xml:space="preserve">  DE_0300_3172</v>
      </c>
      <c r="H94">
        <f t="shared" si="3"/>
        <v>0</v>
      </c>
    </row>
    <row r="95" spans="1:8" x14ac:dyDescent="0.2">
      <c r="A95" t="s">
        <v>3861</v>
      </c>
      <c r="B95" t="s">
        <v>3862</v>
      </c>
      <c r="C95" s="300" t="s">
        <v>3863</v>
      </c>
      <c r="D95" s="295">
        <v>5664490.6900000004</v>
      </c>
      <c r="E95" s="296" t="s">
        <v>3731</v>
      </c>
      <c r="F95" s="296"/>
    </row>
    <row r="96" spans="1:8" hidden="1" x14ac:dyDescent="0.2">
      <c r="A96" t="s">
        <v>3864</v>
      </c>
      <c r="B96" t="s">
        <v>3865</v>
      </c>
      <c r="C96" t="s">
        <v>3866</v>
      </c>
      <c r="D96" s="295">
        <v>6687017.3200000003</v>
      </c>
      <c r="E96" s="288"/>
      <c r="F96" s="288"/>
      <c r="G96">
        <f t="shared" si="2"/>
        <v>0</v>
      </c>
      <c r="H96">
        <f t="shared" si="3"/>
        <v>0</v>
      </c>
    </row>
    <row r="97" spans="1:8" hidden="1" x14ac:dyDescent="0.2">
      <c r="A97" t="s">
        <v>3867</v>
      </c>
      <c r="B97" t="s">
        <v>3865</v>
      </c>
      <c r="C97" t="s">
        <v>3868</v>
      </c>
      <c r="D97" s="295">
        <v>6872561.9900000002</v>
      </c>
      <c r="E97" s="288"/>
      <c r="F97" s="288"/>
      <c r="G97">
        <f t="shared" si="2"/>
        <v>0</v>
      </c>
      <c r="H97">
        <f t="shared" si="3"/>
        <v>0</v>
      </c>
    </row>
    <row r="98" spans="1:8" hidden="1" x14ac:dyDescent="0.2">
      <c r="A98" t="s">
        <v>3869</v>
      </c>
      <c r="B98" t="s">
        <v>3865</v>
      </c>
      <c r="C98" t="s">
        <v>3870</v>
      </c>
      <c r="D98" s="295">
        <v>8758372.3900000006</v>
      </c>
      <c r="E98" s="288"/>
      <c r="F98" s="288"/>
      <c r="G98">
        <f t="shared" si="2"/>
        <v>0</v>
      </c>
      <c r="H98">
        <f t="shared" si="3"/>
        <v>0</v>
      </c>
    </row>
    <row r="99" spans="1:8" hidden="1" x14ac:dyDescent="0.2">
      <c r="A99" t="s">
        <v>3871</v>
      </c>
      <c r="B99" t="s">
        <v>3704</v>
      </c>
      <c r="C99" t="s">
        <v>3872</v>
      </c>
      <c r="D99" s="295">
        <v>13680970.66</v>
      </c>
      <c r="E99" s="288"/>
      <c r="F99" s="288"/>
      <c r="G99">
        <f t="shared" si="2"/>
        <v>0</v>
      </c>
      <c r="H99">
        <f t="shared" si="3"/>
        <v>0</v>
      </c>
    </row>
    <row r="100" spans="1:8" hidden="1" x14ac:dyDescent="0.2">
      <c r="A100" t="s">
        <v>3873</v>
      </c>
      <c r="B100" t="s">
        <v>3874</v>
      </c>
      <c r="C100" t="s">
        <v>3875</v>
      </c>
      <c r="D100" s="295">
        <v>167646.28</v>
      </c>
      <c r="E100" s="288"/>
      <c r="F100" s="288"/>
      <c r="G100">
        <f t="shared" si="2"/>
        <v>0</v>
      </c>
      <c r="H100">
        <f t="shared" si="3"/>
        <v>0</v>
      </c>
    </row>
    <row r="101" spans="1:8" hidden="1" x14ac:dyDescent="0.2">
      <c r="C101" t="s">
        <v>3876</v>
      </c>
      <c r="D101" s="295">
        <v>196385.99</v>
      </c>
      <c r="E101" s="296"/>
      <c r="F101" s="296"/>
      <c r="G101">
        <f t="shared" si="2"/>
        <v>0</v>
      </c>
      <c r="H101">
        <f t="shared" si="3"/>
        <v>0</v>
      </c>
    </row>
    <row r="102" spans="1:8" hidden="1" x14ac:dyDescent="0.2">
      <c r="C102" t="s">
        <v>3877</v>
      </c>
      <c r="D102" s="295">
        <v>121541.28</v>
      </c>
      <c r="E102" s="288"/>
      <c r="F102" s="288" t="s">
        <v>3678</v>
      </c>
      <c r="G102" t="str">
        <f t="shared" si="2"/>
        <v xml:space="preserve">  IR_0211_1440</v>
      </c>
      <c r="H102">
        <f t="shared" si="3"/>
        <v>0</v>
      </c>
    </row>
    <row r="103" spans="1:8" hidden="1" x14ac:dyDescent="0.2">
      <c r="C103" t="s">
        <v>3878</v>
      </c>
      <c r="D103" s="295">
        <v>156869.01999999999</v>
      </c>
      <c r="E103" s="288"/>
      <c r="F103" s="288"/>
      <c r="G103">
        <f t="shared" si="2"/>
        <v>0</v>
      </c>
      <c r="H103">
        <f t="shared" si="3"/>
        <v>0</v>
      </c>
    </row>
    <row r="104" spans="1:8" hidden="1" x14ac:dyDescent="0.2">
      <c r="C104" t="s">
        <v>3879</v>
      </c>
      <c r="D104" s="295">
        <v>183761.18</v>
      </c>
      <c r="E104" s="288"/>
      <c r="F104" s="288"/>
      <c r="G104">
        <f t="shared" si="2"/>
        <v>0</v>
      </c>
      <c r="H104">
        <f t="shared" si="3"/>
        <v>0</v>
      </c>
    </row>
    <row r="105" spans="1:8" hidden="1" x14ac:dyDescent="0.2">
      <c r="C105" t="s">
        <v>3880</v>
      </c>
      <c r="D105" s="295">
        <v>113728.64</v>
      </c>
      <c r="E105" s="288"/>
      <c r="F105" s="288"/>
      <c r="G105">
        <f t="shared" si="2"/>
        <v>0</v>
      </c>
      <c r="H105">
        <f t="shared" si="3"/>
        <v>0</v>
      </c>
    </row>
    <row r="106" spans="1:8" hidden="1" x14ac:dyDescent="0.2">
      <c r="C106" t="s">
        <v>3881</v>
      </c>
      <c r="D106" s="295">
        <v>131266.47</v>
      </c>
      <c r="E106" s="288"/>
      <c r="F106" s="288"/>
      <c r="G106">
        <f t="shared" si="2"/>
        <v>0</v>
      </c>
      <c r="H106">
        <f t="shared" si="3"/>
        <v>0</v>
      </c>
    </row>
    <row r="107" spans="1:8" hidden="1" x14ac:dyDescent="0.2">
      <c r="C107" t="s">
        <v>3882</v>
      </c>
      <c r="D107" s="295">
        <v>153769.96</v>
      </c>
      <c r="E107" s="288"/>
      <c r="F107" s="288"/>
      <c r="G107">
        <f t="shared" si="2"/>
        <v>0</v>
      </c>
      <c r="H107">
        <f t="shared" si="3"/>
        <v>0</v>
      </c>
    </row>
    <row r="108" spans="1:8" hidden="1" x14ac:dyDescent="0.2">
      <c r="C108" t="s">
        <v>3883</v>
      </c>
      <c r="D108" s="295">
        <v>95166.76</v>
      </c>
      <c r="E108" s="288"/>
      <c r="F108" s="288" t="s">
        <v>3678</v>
      </c>
      <c r="G108" t="str">
        <f t="shared" si="2"/>
        <v xml:space="preserve">  IR_0211_2440</v>
      </c>
      <c r="H108">
        <f t="shared" si="3"/>
        <v>0</v>
      </c>
    </row>
    <row r="109" spans="1:8" hidden="1" x14ac:dyDescent="0.2">
      <c r="C109" t="s">
        <v>3884</v>
      </c>
      <c r="D109" s="295">
        <v>765364.2</v>
      </c>
      <c r="E109" s="288"/>
      <c r="F109" s="288"/>
      <c r="G109">
        <f t="shared" si="2"/>
        <v>0</v>
      </c>
      <c r="H109">
        <f t="shared" si="3"/>
        <v>0</v>
      </c>
    </row>
    <row r="110" spans="1:8" hidden="1" x14ac:dyDescent="0.2">
      <c r="C110" t="s">
        <v>3885</v>
      </c>
      <c r="D110" s="295">
        <v>911177.07</v>
      </c>
      <c r="E110" s="288"/>
      <c r="F110" s="288" t="s">
        <v>3678</v>
      </c>
      <c r="G110" t="str">
        <f t="shared" si="2"/>
        <v xml:space="preserve">  IR_0211_2800</v>
      </c>
      <c r="H110">
        <f t="shared" si="3"/>
        <v>0</v>
      </c>
    </row>
    <row r="111" spans="1:8" hidden="1" x14ac:dyDescent="0.2">
      <c r="C111" t="s">
        <v>3886</v>
      </c>
      <c r="D111" s="295">
        <v>562327.11</v>
      </c>
      <c r="E111" s="288"/>
      <c r="F111" s="288"/>
      <c r="G111">
        <f t="shared" si="2"/>
        <v>0</v>
      </c>
      <c r="H111">
        <f t="shared" si="3"/>
        <v>0</v>
      </c>
    </row>
    <row r="112" spans="1:8" hidden="1" x14ac:dyDescent="0.2">
      <c r="C112" t="s">
        <v>3887</v>
      </c>
      <c r="D112" s="295">
        <v>92420.91</v>
      </c>
      <c r="E112" s="288"/>
      <c r="F112" s="288" t="s">
        <v>3678</v>
      </c>
      <c r="G112" t="str">
        <f t="shared" si="2"/>
        <v xml:space="preserve">  IR_0211_3120</v>
      </c>
      <c r="H112">
        <f t="shared" si="3"/>
        <v>0</v>
      </c>
    </row>
    <row r="113" spans="3:8" hidden="1" x14ac:dyDescent="0.2">
      <c r="C113" t="s">
        <v>3888</v>
      </c>
      <c r="D113" s="295">
        <v>110754.62</v>
      </c>
      <c r="E113" s="288"/>
      <c r="F113" s="288"/>
      <c r="G113">
        <f t="shared" si="2"/>
        <v>0</v>
      </c>
      <c r="H113">
        <f t="shared" si="3"/>
        <v>0</v>
      </c>
    </row>
    <row r="114" spans="3:8" hidden="1" x14ac:dyDescent="0.2">
      <c r="C114" t="s">
        <v>3889</v>
      </c>
      <c r="D114" s="295">
        <v>68545.399999999994</v>
      </c>
      <c r="E114" s="288"/>
      <c r="F114" s="288"/>
      <c r="G114">
        <f t="shared" si="2"/>
        <v>0</v>
      </c>
      <c r="H114">
        <f t="shared" si="3"/>
        <v>0</v>
      </c>
    </row>
    <row r="115" spans="3:8" hidden="1" x14ac:dyDescent="0.2">
      <c r="C115" t="s">
        <v>3890</v>
      </c>
      <c r="D115" s="295">
        <v>163641.13</v>
      </c>
      <c r="E115" s="288"/>
      <c r="F115" s="288"/>
      <c r="G115">
        <f t="shared" si="2"/>
        <v>0</v>
      </c>
      <c r="H115">
        <f t="shared" si="3"/>
        <v>0</v>
      </c>
    </row>
    <row r="116" spans="3:8" hidden="1" x14ac:dyDescent="0.2">
      <c r="C116" t="s">
        <v>3891</v>
      </c>
      <c r="D116" s="295">
        <v>194703.25</v>
      </c>
      <c r="E116" s="288"/>
      <c r="F116" s="288"/>
      <c r="G116">
        <f t="shared" si="2"/>
        <v>0</v>
      </c>
      <c r="H116">
        <f t="shared" si="3"/>
        <v>0</v>
      </c>
    </row>
    <row r="117" spans="3:8" x14ac:dyDescent="0.2">
      <c r="C117" s="362" t="s">
        <v>3892</v>
      </c>
      <c r="D117" s="295">
        <v>120500.51</v>
      </c>
      <c r="E117" s="296" t="s">
        <v>3731</v>
      </c>
      <c r="F117" s="296" t="s">
        <v>3731</v>
      </c>
    </row>
    <row r="118" spans="3:8" hidden="1" x14ac:dyDescent="0.2">
      <c r="C118" t="s">
        <v>3893</v>
      </c>
      <c r="D118" s="295">
        <v>193956.64</v>
      </c>
      <c r="E118" s="288"/>
      <c r="F118" s="288"/>
      <c r="G118">
        <f t="shared" si="2"/>
        <v>0</v>
      </c>
      <c r="H118">
        <f t="shared" si="3"/>
        <v>0</v>
      </c>
    </row>
    <row r="119" spans="3:8" hidden="1" x14ac:dyDescent="0.2">
      <c r="C119" t="s">
        <v>3894</v>
      </c>
      <c r="D119" s="295">
        <v>228167.21</v>
      </c>
      <c r="E119" s="296"/>
      <c r="F119" s="296"/>
      <c r="G119">
        <f t="shared" si="2"/>
        <v>0</v>
      </c>
      <c r="H119">
        <f t="shared" si="3"/>
        <v>0</v>
      </c>
    </row>
    <row r="120" spans="3:8" hidden="1" x14ac:dyDescent="0.2">
      <c r="C120" t="s">
        <v>3895</v>
      </c>
      <c r="D120" s="295">
        <v>141212.04</v>
      </c>
      <c r="E120" s="288"/>
      <c r="F120" s="288"/>
      <c r="G120">
        <f t="shared" si="2"/>
        <v>0</v>
      </c>
      <c r="H120">
        <f t="shared" si="3"/>
        <v>0</v>
      </c>
    </row>
    <row r="121" spans="3:8" hidden="1" x14ac:dyDescent="0.2">
      <c r="C121" t="s">
        <v>3896</v>
      </c>
      <c r="D121" s="295">
        <v>83583.100000000006</v>
      </c>
      <c r="E121" s="296"/>
      <c r="F121" s="296"/>
      <c r="G121">
        <f t="shared" si="2"/>
        <v>0</v>
      </c>
      <c r="H121">
        <f t="shared" si="3"/>
        <v>0</v>
      </c>
    </row>
    <row r="122" spans="3:8" hidden="1" x14ac:dyDescent="0.2">
      <c r="C122" t="s">
        <v>3897</v>
      </c>
      <c r="D122" s="295">
        <v>97911.54</v>
      </c>
      <c r="E122" s="288"/>
      <c r="F122" s="288"/>
      <c r="G122">
        <f t="shared" si="2"/>
        <v>0</v>
      </c>
      <c r="H122">
        <f t="shared" si="3"/>
        <v>0</v>
      </c>
    </row>
    <row r="123" spans="3:8" hidden="1" x14ac:dyDescent="0.2">
      <c r="C123" t="s">
        <v>3898</v>
      </c>
      <c r="D123" s="295">
        <v>60596.4</v>
      </c>
      <c r="E123" s="296"/>
      <c r="F123" s="296"/>
      <c r="G123">
        <f t="shared" si="2"/>
        <v>0</v>
      </c>
      <c r="H123">
        <f t="shared" si="3"/>
        <v>0</v>
      </c>
    </row>
    <row r="124" spans="3:8" hidden="1" x14ac:dyDescent="0.2">
      <c r="C124" t="s">
        <v>3899</v>
      </c>
      <c r="D124" s="295">
        <v>82513.48</v>
      </c>
      <c r="E124" s="288"/>
      <c r="F124" s="288"/>
      <c r="G124">
        <f t="shared" si="2"/>
        <v>0</v>
      </c>
      <c r="H124">
        <f t="shared" si="3"/>
        <v>0</v>
      </c>
    </row>
    <row r="125" spans="3:8" hidden="1" x14ac:dyDescent="0.2">
      <c r="C125" t="s">
        <v>3900</v>
      </c>
      <c r="D125" s="295">
        <v>68884.84</v>
      </c>
      <c r="E125" s="296"/>
      <c r="F125" s="296"/>
      <c r="G125">
        <f t="shared" si="2"/>
        <v>0</v>
      </c>
      <c r="H125">
        <f t="shared" si="3"/>
        <v>0</v>
      </c>
    </row>
    <row r="126" spans="3:8" hidden="1" x14ac:dyDescent="0.2">
      <c r="C126" t="s">
        <v>3901</v>
      </c>
      <c r="D126" s="295">
        <v>51067.13</v>
      </c>
      <c r="E126" s="288"/>
      <c r="F126" s="288"/>
      <c r="G126">
        <f t="shared" si="2"/>
        <v>0</v>
      </c>
      <c r="H126">
        <f t="shared" si="3"/>
        <v>0</v>
      </c>
    </row>
    <row r="127" spans="3:8" x14ac:dyDescent="0.2">
      <c r="C127" s="362" t="s">
        <v>3902</v>
      </c>
      <c r="D127" s="295">
        <v>143502.10999999999</v>
      </c>
      <c r="E127" s="296" t="s">
        <v>3731</v>
      </c>
      <c r="F127" s="296"/>
    </row>
    <row r="128" spans="3:8" hidden="1" x14ac:dyDescent="0.2">
      <c r="C128" t="s">
        <v>3903</v>
      </c>
      <c r="D128" s="295">
        <v>120711.93</v>
      </c>
      <c r="E128" s="288"/>
      <c r="F128" s="288"/>
      <c r="G128">
        <f t="shared" si="2"/>
        <v>0</v>
      </c>
      <c r="H128">
        <f t="shared" si="3"/>
        <v>0</v>
      </c>
    </row>
    <row r="129" spans="1:8" x14ac:dyDescent="0.2">
      <c r="C129" s="362" t="s">
        <v>3904</v>
      </c>
      <c r="D129" s="295">
        <v>89663.1</v>
      </c>
      <c r="E129" s="296" t="s">
        <v>3731</v>
      </c>
      <c r="F129" s="296"/>
    </row>
    <row r="130" spans="1:8" hidden="1" x14ac:dyDescent="0.2">
      <c r="C130" t="s">
        <v>3905</v>
      </c>
      <c r="D130" s="295">
        <v>387454.56</v>
      </c>
      <c r="E130" s="288"/>
      <c r="F130" s="288"/>
      <c r="G130">
        <f t="shared" si="2"/>
        <v>0</v>
      </c>
      <c r="H130">
        <f t="shared" si="3"/>
        <v>0</v>
      </c>
    </row>
    <row r="131" spans="1:8" x14ac:dyDescent="0.2">
      <c r="C131" s="362" t="s">
        <v>3906</v>
      </c>
      <c r="D131" s="295">
        <v>328385.76</v>
      </c>
      <c r="E131" s="296" t="s">
        <v>3731</v>
      </c>
      <c r="F131" s="296"/>
    </row>
    <row r="132" spans="1:8" hidden="1" x14ac:dyDescent="0.2">
      <c r="C132" t="s">
        <v>3907</v>
      </c>
      <c r="D132" s="295">
        <v>245308.14</v>
      </c>
      <c r="E132" s="288"/>
      <c r="F132" s="288"/>
      <c r="G132">
        <f t="shared" si="2"/>
        <v>0</v>
      </c>
      <c r="H132">
        <f t="shared" si="3"/>
        <v>0</v>
      </c>
    </row>
    <row r="133" spans="1:8" x14ac:dyDescent="0.2">
      <c r="A133" t="s">
        <v>3908</v>
      </c>
      <c r="B133" t="s">
        <v>3909</v>
      </c>
      <c r="C133" t="s">
        <v>3910</v>
      </c>
      <c r="D133" s="295">
        <v>2543921.25</v>
      </c>
      <c r="E133" s="296" t="s">
        <v>3731</v>
      </c>
      <c r="F133" s="296"/>
    </row>
    <row r="134" spans="1:8" hidden="1" x14ac:dyDescent="0.2">
      <c r="C134" t="s">
        <v>3911</v>
      </c>
      <c r="D134" s="295">
        <v>1023302.19</v>
      </c>
      <c r="E134" s="288"/>
      <c r="F134" s="288" t="s">
        <v>3678</v>
      </c>
      <c r="G134" t="str">
        <f t="shared" ref="G134:G197" si="4">IF(F134="X",C134,0)</f>
        <v xml:space="preserve">  IF_0403_1140</v>
      </c>
      <c r="H134">
        <f t="shared" ref="H134:H197" si="5">IF(E134="X",C134,0)</f>
        <v>0</v>
      </c>
    </row>
    <row r="135" spans="1:8" hidden="1" x14ac:dyDescent="0.2">
      <c r="C135" t="s">
        <v>3912</v>
      </c>
      <c r="D135" s="295">
        <v>2091552.26</v>
      </c>
      <c r="E135" s="288"/>
      <c r="F135" s="288" t="s">
        <v>3678</v>
      </c>
      <c r="G135" t="str">
        <f t="shared" si="4"/>
        <v xml:space="preserve">  IF_0403_1260</v>
      </c>
      <c r="H135">
        <f t="shared" si="5"/>
        <v>0</v>
      </c>
    </row>
    <row r="136" spans="1:8" hidden="1" x14ac:dyDescent="0.2">
      <c r="C136" t="s">
        <v>3913</v>
      </c>
      <c r="D136" s="295">
        <v>1023302.19</v>
      </c>
      <c r="E136" s="288"/>
      <c r="F136" s="288"/>
      <c r="G136">
        <f t="shared" si="4"/>
        <v>0</v>
      </c>
      <c r="H136">
        <f t="shared" si="5"/>
        <v>0</v>
      </c>
    </row>
    <row r="137" spans="1:8" hidden="1" x14ac:dyDescent="0.2">
      <c r="C137" t="s">
        <v>3914</v>
      </c>
      <c r="D137" s="295">
        <v>1579235.57</v>
      </c>
      <c r="E137" s="296"/>
      <c r="F137" s="296"/>
      <c r="G137">
        <f t="shared" si="4"/>
        <v>0</v>
      </c>
      <c r="H137">
        <f t="shared" si="5"/>
        <v>0</v>
      </c>
    </row>
    <row r="138" spans="1:8" hidden="1" x14ac:dyDescent="0.2">
      <c r="C138" t="s">
        <v>3915</v>
      </c>
      <c r="D138" s="295">
        <v>1023302.19</v>
      </c>
      <c r="E138" s="288"/>
      <c r="F138" s="288"/>
      <c r="G138">
        <f t="shared" si="4"/>
        <v>0</v>
      </c>
      <c r="H138">
        <f t="shared" si="5"/>
        <v>0</v>
      </c>
    </row>
    <row r="139" spans="1:8" hidden="1" x14ac:dyDescent="0.2">
      <c r="C139" t="s">
        <v>3916</v>
      </c>
      <c r="D139" s="295">
        <v>1903422.07</v>
      </c>
      <c r="E139" s="288"/>
      <c r="F139" s="288"/>
      <c r="G139">
        <f t="shared" si="4"/>
        <v>0</v>
      </c>
      <c r="H139">
        <f t="shared" si="5"/>
        <v>0</v>
      </c>
    </row>
    <row r="140" spans="1:8" hidden="1" x14ac:dyDescent="0.2">
      <c r="C140" t="s">
        <v>3917</v>
      </c>
      <c r="D140" s="295">
        <v>1023302.19</v>
      </c>
      <c r="E140" s="288"/>
      <c r="F140" s="288"/>
      <c r="G140">
        <f t="shared" si="4"/>
        <v>0</v>
      </c>
      <c r="H140">
        <f t="shared" si="5"/>
        <v>0</v>
      </c>
    </row>
    <row r="141" spans="1:8" hidden="1" x14ac:dyDescent="0.2">
      <c r="C141" t="s">
        <v>3918</v>
      </c>
      <c r="D141" s="295">
        <v>252115.33</v>
      </c>
      <c r="E141" s="296"/>
      <c r="F141" s="296"/>
      <c r="G141">
        <f t="shared" si="4"/>
        <v>0</v>
      </c>
      <c r="H141">
        <f t="shared" si="5"/>
        <v>0</v>
      </c>
    </row>
    <row r="142" spans="1:8" hidden="1" x14ac:dyDescent="0.2">
      <c r="C142" t="s">
        <v>3919</v>
      </c>
      <c r="D142" s="295">
        <v>1023302.19</v>
      </c>
      <c r="E142" s="288"/>
      <c r="F142" s="288"/>
      <c r="G142">
        <f t="shared" si="4"/>
        <v>0</v>
      </c>
      <c r="H142">
        <f t="shared" si="5"/>
        <v>0</v>
      </c>
    </row>
    <row r="143" spans="1:8" hidden="1" x14ac:dyDescent="0.2">
      <c r="A143" t="s">
        <v>3920</v>
      </c>
      <c r="B143" t="s">
        <v>3921</v>
      </c>
      <c r="C143" t="s">
        <v>3922</v>
      </c>
      <c r="D143" s="295">
        <v>10219967.4</v>
      </c>
      <c r="E143" s="296"/>
      <c r="F143" s="296"/>
      <c r="G143">
        <f t="shared" si="4"/>
        <v>0</v>
      </c>
      <c r="H143">
        <f t="shared" si="5"/>
        <v>0</v>
      </c>
    </row>
    <row r="144" spans="1:8" hidden="1" x14ac:dyDescent="0.2">
      <c r="A144" t="s">
        <v>3923</v>
      </c>
      <c r="B144" t="s">
        <v>3924</v>
      </c>
      <c r="C144" t="s">
        <v>3925</v>
      </c>
      <c r="D144" s="295">
        <v>14841184.050000001</v>
      </c>
      <c r="E144" s="288"/>
      <c r="F144" s="288"/>
      <c r="G144">
        <f t="shared" si="4"/>
        <v>0</v>
      </c>
      <c r="H144">
        <f t="shared" si="5"/>
        <v>0</v>
      </c>
    </row>
    <row r="145" spans="1:8" hidden="1" x14ac:dyDescent="0.2">
      <c r="A145" t="s">
        <v>3926</v>
      </c>
      <c r="B145" t="s">
        <v>3927</v>
      </c>
      <c r="C145" t="s">
        <v>3928</v>
      </c>
      <c r="D145" s="295">
        <v>2006162.05</v>
      </c>
      <c r="E145" s="288"/>
      <c r="F145" s="288"/>
      <c r="G145">
        <f t="shared" si="4"/>
        <v>0</v>
      </c>
      <c r="H145">
        <f t="shared" si="5"/>
        <v>0</v>
      </c>
    </row>
    <row r="146" spans="1:8" hidden="1" x14ac:dyDescent="0.2">
      <c r="A146" t="s">
        <v>3929</v>
      </c>
      <c r="B146" t="s">
        <v>3927</v>
      </c>
      <c r="C146" t="s">
        <v>3930</v>
      </c>
      <c r="D146" s="295">
        <v>18683148.289999999</v>
      </c>
      <c r="E146" s="288"/>
      <c r="F146" s="288"/>
      <c r="G146">
        <f t="shared" si="4"/>
        <v>0</v>
      </c>
      <c r="H146">
        <f t="shared" si="5"/>
        <v>0</v>
      </c>
    </row>
    <row r="147" spans="1:8" hidden="1" x14ac:dyDescent="0.2">
      <c r="A147" t="s">
        <v>3931</v>
      </c>
      <c r="B147" t="s">
        <v>3932</v>
      </c>
      <c r="C147" t="s">
        <v>3933</v>
      </c>
      <c r="D147" s="295">
        <v>2260028.9900000002</v>
      </c>
      <c r="E147" s="296"/>
      <c r="F147" s="296"/>
      <c r="G147">
        <f t="shared" si="4"/>
        <v>0</v>
      </c>
      <c r="H147">
        <f t="shared" si="5"/>
        <v>0</v>
      </c>
    </row>
    <row r="148" spans="1:8" hidden="1" x14ac:dyDescent="0.2">
      <c r="A148" t="s">
        <v>3934</v>
      </c>
      <c r="B148" t="s">
        <v>3932</v>
      </c>
      <c r="C148" t="s">
        <v>3935</v>
      </c>
      <c r="D148" s="295">
        <v>9082129.0299999993</v>
      </c>
      <c r="E148" s="288"/>
      <c r="F148" s="288"/>
      <c r="G148">
        <f t="shared" si="4"/>
        <v>0</v>
      </c>
      <c r="H148">
        <f t="shared" si="5"/>
        <v>0</v>
      </c>
    </row>
    <row r="149" spans="1:8" x14ac:dyDescent="0.2">
      <c r="A149" t="s">
        <v>3936</v>
      </c>
      <c r="B149" t="s">
        <v>3937</v>
      </c>
      <c r="C149" s="362" t="s">
        <v>3938</v>
      </c>
      <c r="D149" s="295">
        <v>1128333.57</v>
      </c>
      <c r="E149" s="296" t="s">
        <v>3731</v>
      </c>
      <c r="F149" s="296"/>
    </row>
    <row r="150" spans="1:8" hidden="1" x14ac:dyDescent="0.2">
      <c r="C150" t="s">
        <v>3939</v>
      </c>
      <c r="D150" s="295">
        <v>2908402.76</v>
      </c>
      <c r="E150" s="288"/>
      <c r="F150" s="288" t="s">
        <v>3678</v>
      </c>
      <c r="G150" t="str">
        <f t="shared" si="4"/>
        <v xml:space="preserve">  DE_0500_3082</v>
      </c>
      <c r="H150">
        <f t="shared" si="5"/>
        <v>0</v>
      </c>
    </row>
    <row r="151" spans="1:8" x14ac:dyDescent="0.2">
      <c r="C151" s="300" t="s">
        <v>3940</v>
      </c>
      <c r="D151" s="295">
        <v>2084316.97</v>
      </c>
      <c r="E151" s="296" t="s">
        <v>3731</v>
      </c>
      <c r="F151" s="296"/>
    </row>
    <row r="152" spans="1:8" hidden="1" x14ac:dyDescent="0.2">
      <c r="C152" t="s">
        <v>3941</v>
      </c>
      <c r="D152" s="295">
        <v>1405125.22</v>
      </c>
      <c r="E152" s="288"/>
      <c r="F152" s="288" t="s">
        <v>3678</v>
      </c>
      <c r="G152" t="str">
        <f t="shared" si="4"/>
        <v xml:space="preserve">  DE_0500_3380</v>
      </c>
      <c r="H152">
        <f t="shared" si="5"/>
        <v>0</v>
      </c>
    </row>
    <row r="153" spans="1:8" x14ac:dyDescent="0.2">
      <c r="A153" t="s">
        <v>3942</v>
      </c>
      <c r="B153" t="s">
        <v>3943</v>
      </c>
      <c r="C153" s="300" t="s">
        <v>3944</v>
      </c>
      <c r="D153" s="295">
        <v>4401888.26</v>
      </c>
      <c r="E153" s="296" t="s">
        <v>3731</v>
      </c>
      <c r="F153" s="296"/>
    </row>
    <row r="154" spans="1:8" hidden="1" x14ac:dyDescent="0.2">
      <c r="A154" t="s">
        <v>3945</v>
      </c>
      <c r="B154" t="s">
        <v>3946</v>
      </c>
      <c r="C154" t="s">
        <v>3947</v>
      </c>
      <c r="D154" s="295">
        <v>10838512.220000001</v>
      </c>
      <c r="E154" s="288"/>
      <c r="F154" s="288" t="s">
        <v>3678</v>
      </c>
      <c r="G154" t="str">
        <f t="shared" si="4"/>
        <v xml:space="preserve">  IR_0205_2080</v>
      </c>
      <c r="H154">
        <f t="shared" si="5"/>
        <v>0</v>
      </c>
    </row>
    <row r="155" spans="1:8" x14ac:dyDescent="0.2">
      <c r="A155" t="s">
        <v>3948</v>
      </c>
      <c r="B155" t="s">
        <v>3949</v>
      </c>
      <c r="C155" t="s">
        <v>3950</v>
      </c>
      <c r="D155" s="295">
        <v>2757151.99</v>
      </c>
      <c r="E155" s="296" t="s">
        <v>3731</v>
      </c>
      <c r="F155" s="296"/>
    </row>
    <row r="156" spans="1:8" hidden="1" x14ac:dyDescent="0.2">
      <c r="C156" t="s">
        <v>3951</v>
      </c>
      <c r="D156" s="295">
        <v>1276233.51</v>
      </c>
      <c r="E156" s="288"/>
      <c r="F156" s="288"/>
      <c r="G156">
        <f t="shared" si="4"/>
        <v>0</v>
      </c>
      <c r="H156">
        <f t="shared" si="5"/>
        <v>0</v>
      </c>
    </row>
    <row r="157" spans="1:8" hidden="1" x14ac:dyDescent="0.2">
      <c r="C157" t="s">
        <v>3952</v>
      </c>
      <c r="D157" s="295">
        <v>3332029.9</v>
      </c>
      <c r="E157" s="288"/>
      <c r="F157" s="288"/>
      <c r="G157">
        <f t="shared" si="4"/>
        <v>0</v>
      </c>
      <c r="H157">
        <f t="shared" si="5"/>
        <v>0</v>
      </c>
    </row>
    <row r="158" spans="1:8" x14ac:dyDescent="0.2">
      <c r="C158" t="s">
        <v>3953</v>
      </c>
      <c r="D158" s="295">
        <v>1266569.04</v>
      </c>
      <c r="E158" s="296" t="s">
        <v>3731</v>
      </c>
      <c r="F158" s="296"/>
    </row>
    <row r="159" spans="1:8" hidden="1" x14ac:dyDescent="0.2">
      <c r="C159" t="s">
        <v>3954</v>
      </c>
      <c r="D159" s="295">
        <v>2992561.14</v>
      </c>
      <c r="E159" s="288"/>
      <c r="F159" s="288"/>
      <c r="G159">
        <f t="shared" si="4"/>
        <v>0</v>
      </c>
      <c r="H159">
        <f t="shared" si="5"/>
        <v>0</v>
      </c>
    </row>
    <row r="160" spans="1:8" x14ac:dyDescent="0.2">
      <c r="A160" t="s">
        <v>3955</v>
      </c>
      <c r="B160" t="s">
        <v>3956</v>
      </c>
      <c r="C160" s="300" t="s">
        <v>3957</v>
      </c>
      <c r="D160" s="301">
        <v>8969230.0500000007</v>
      </c>
      <c r="E160" s="296" t="s">
        <v>3731</v>
      </c>
      <c r="F160" s="296"/>
    </row>
    <row r="161" spans="1:8" hidden="1" x14ac:dyDescent="0.2">
      <c r="A161" t="s">
        <v>3958</v>
      </c>
      <c r="B161" t="s">
        <v>3959</v>
      </c>
      <c r="C161" t="s">
        <v>3960</v>
      </c>
      <c r="D161" s="295">
        <v>17278509.32</v>
      </c>
      <c r="E161" s="288"/>
      <c r="F161" s="288"/>
      <c r="G161">
        <f t="shared" si="4"/>
        <v>0</v>
      </c>
      <c r="H161">
        <f t="shared" si="5"/>
        <v>0</v>
      </c>
    </row>
    <row r="162" spans="1:8" hidden="1" x14ac:dyDescent="0.2">
      <c r="A162" t="s">
        <v>3961</v>
      </c>
      <c r="B162" t="s">
        <v>3959</v>
      </c>
      <c r="C162" t="s">
        <v>3962</v>
      </c>
      <c r="D162" s="295">
        <v>17278509.32</v>
      </c>
      <c r="E162" s="296"/>
      <c r="F162" s="296"/>
      <c r="G162">
        <f t="shared" si="4"/>
        <v>0</v>
      </c>
      <c r="H162">
        <f t="shared" si="5"/>
        <v>0</v>
      </c>
    </row>
    <row r="163" spans="1:8" hidden="1" x14ac:dyDescent="0.2">
      <c r="A163" t="s">
        <v>3963</v>
      </c>
      <c r="B163" t="s">
        <v>3964</v>
      </c>
      <c r="C163" t="s">
        <v>3965</v>
      </c>
      <c r="D163" s="295">
        <v>4830316.92</v>
      </c>
      <c r="E163" s="288"/>
      <c r="F163" s="288"/>
      <c r="G163">
        <f t="shared" si="4"/>
        <v>0</v>
      </c>
      <c r="H163">
        <f t="shared" si="5"/>
        <v>0</v>
      </c>
    </row>
    <row r="164" spans="1:8" hidden="1" x14ac:dyDescent="0.2">
      <c r="B164" t="s">
        <v>3966</v>
      </c>
      <c r="C164" t="s">
        <v>3967</v>
      </c>
      <c r="D164" s="295">
        <v>3804532.11</v>
      </c>
      <c r="E164" s="288"/>
      <c r="F164" s="288"/>
      <c r="G164">
        <f t="shared" si="4"/>
        <v>0</v>
      </c>
      <c r="H164">
        <f t="shared" si="5"/>
        <v>0</v>
      </c>
    </row>
    <row r="165" spans="1:8" hidden="1" x14ac:dyDescent="0.2">
      <c r="C165" t="s">
        <v>3968</v>
      </c>
      <c r="D165" s="295">
        <v>759528.48</v>
      </c>
      <c r="E165" s="288"/>
      <c r="F165" s="288"/>
      <c r="G165">
        <f t="shared" si="4"/>
        <v>0</v>
      </c>
      <c r="H165">
        <f t="shared" si="5"/>
        <v>0</v>
      </c>
    </row>
    <row r="166" spans="1:8" hidden="1" x14ac:dyDescent="0.2">
      <c r="A166" t="s">
        <v>3969</v>
      </c>
      <c r="B166" t="s">
        <v>3970</v>
      </c>
      <c r="C166" t="s">
        <v>3971</v>
      </c>
      <c r="D166" s="295">
        <v>1995232.59</v>
      </c>
      <c r="E166" s="288"/>
      <c r="F166" s="288"/>
      <c r="G166">
        <f t="shared" si="4"/>
        <v>0</v>
      </c>
      <c r="H166">
        <f t="shared" si="5"/>
        <v>0</v>
      </c>
    </row>
    <row r="167" spans="1:8" hidden="1" x14ac:dyDescent="0.2">
      <c r="C167" t="s">
        <v>3972</v>
      </c>
      <c r="D167" s="295">
        <v>56020.65</v>
      </c>
      <c r="E167" s="288"/>
      <c r="F167" s="288"/>
      <c r="G167">
        <f t="shared" si="4"/>
        <v>0</v>
      </c>
      <c r="H167">
        <f t="shared" si="5"/>
        <v>0</v>
      </c>
    </row>
    <row r="168" spans="1:8" x14ac:dyDescent="0.2">
      <c r="C168" t="s">
        <v>3973</v>
      </c>
      <c r="D168" s="295">
        <v>343854.9</v>
      </c>
      <c r="E168" s="296" t="s">
        <v>3731</v>
      </c>
      <c r="F168" s="296"/>
    </row>
    <row r="169" spans="1:8" hidden="1" x14ac:dyDescent="0.2">
      <c r="C169" t="s">
        <v>3974</v>
      </c>
      <c r="D169" s="295">
        <v>812754.27</v>
      </c>
      <c r="E169" s="288"/>
      <c r="F169" s="288"/>
      <c r="G169">
        <f t="shared" si="4"/>
        <v>0</v>
      </c>
      <c r="H169">
        <f t="shared" si="5"/>
        <v>0</v>
      </c>
    </row>
    <row r="170" spans="1:8" hidden="1" x14ac:dyDescent="0.2">
      <c r="C170" t="s">
        <v>3975</v>
      </c>
      <c r="D170" s="295">
        <v>14893464.560000001</v>
      </c>
      <c r="E170" s="288"/>
      <c r="F170" s="288"/>
      <c r="G170">
        <f t="shared" si="4"/>
        <v>0</v>
      </c>
      <c r="H170">
        <f t="shared" si="5"/>
        <v>0</v>
      </c>
    </row>
    <row r="171" spans="1:8" hidden="1" x14ac:dyDescent="0.2">
      <c r="C171" t="s">
        <v>3976</v>
      </c>
      <c r="D171" s="295">
        <v>225810.62</v>
      </c>
      <c r="E171" s="288"/>
      <c r="F171" s="288"/>
      <c r="G171">
        <f t="shared" si="4"/>
        <v>0</v>
      </c>
      <c r="H171">
        <f t="shared" si="5"/>
        <v>0</v>
      </c>
    </row>
    <row r="172" spans="1:8" hidden="1" x14ac:dyDescent="0.2">
      <c r="A172" t="s">
        <v>3977</v>
      </c>
      <c r="B172" t="s">
        <v>3865</v>
      </c>
      <c r="C172" t="s">
        <v>3978</v>
      </c>
      <c r="D172" s="295">
        <v>11879550.949999999</v>
      </c>
      <c r="E172" s="288"/>
      <c r="F172" s="288"/>
      <c r="G172">
        <f t="shared" si="4"/>
        <v>0</v>
      </c>
      <c r="H172">
        <f t="shared" si="5"/>
        <v>0</v>
      </c>
    </row>
    <row r="173" spans="1:8" x14ac:dyDescent="0.2">
      <c r="A173" t="s">
        <v>3979</v>
      </c>
      <c r="B173" t="s">
        <v>3980</v>
      </c>
      <c r="C173" s="300" t="s">
        <v>3981</v>
      </c>
      <c r="D173" s="295">
        <v>198908.48</v>
      </c>
      <c r="E173" s="296" t="s">
        <v>3731</v>
      </c>
      <c r="F173" s="296"/>
    </row>
    <row r="174" spans="1:8" hidden="1" x14ac:dyDescent="0.2">
      <c r="C174" t="s">
        <v>3982</v>
      </c>
      <c r="D174" s="295">
        <v>1208688.55</v>
      </c>
      <c r="E174" s="288"/>
      <c r="F174" s="288"/>
      <c r="G174">
        <f t="shared" si="4"/>
        <v>0</v>
      </c>
      <c r="H174">
        <f t="shared" si="5"/>
        <v>0</v>
      </c>
    </row>
    <row r="175" spans="1:8" hidden="1" x14ac:dyDescent="0.2">
      <c r="B175" t="s">
        <v>3983</v>
      </c>
      <c r="C175" t="s">
        <v>3984</v>
      </c>
      <c r="D175" s="295">
        <v>3351644.47</v>
      </c>
      <c r="E175" s="296"/>
      <c r="F175" s="296"/>
      <c r="G175">
        <f t="shared" si="4"/>
        <v>0</v>
      </c>
      <c r="H175">
        <f t="shared" si="5"/>
        <v>0</v>
      </c>
    </row>
    <row r="176" spans="1:8" hidden="1" x14ac:dyDescent="0.2">
      <c r="B176" t="s">
        <v>3985</v>
      </c>
      <c r="C176" t="s">
        <v>3986</v>
      </c>
      <c r="D176" s="295">
        <v>4055557.04</v>
      </c>
      <c r="E176" s="288"/>
      <c r="F176" s="288"/>
      <c r="G176">
        <f t="shared" si="4"/>
        <v>0</v>
      </c>
      <c r="H176">
        <f t="shared" si="5"/>
        <v>0</v>
      </c>
    </row>
    <row r="177" spans="1:8" hidden="1" x14ac:dyDescent="0.2">
      <c r="B177" t="s">
        <v>3987</v>
      </c>
      <c r="C177" t="s">
        <v>3988</v>
      </c>
      <c r="D177" s="295">
        <v>4207555.72</v>
      </c>
      <c r="E177" s="288"/>
      <c r="F177" s="288"/>
      <c r="G177">
        <f t="shared" si="4"/>
        <v>0</v>
      </c>
      <c r="H177">
        <f t="shared" si="5"/>
        <v>0</v>
      </c>
    </row>
    <row r="178" spans="1:8" hidden="1" x14ac:dyDescent="0.2">
      <c r="B178" t="s">
        <v>3989</v>
      </c>
      <c r="C178" t="s">
        <v>3990</v>
      </c>
      <c r="D178" s="295">
        <v>2015824.86</v>
      </c>
      <c r="E178" s="296"/>
      <c r="F178" s="296"/>
      <c r="G178">
        <f t="shared" si="4"/>
        <v>0</v>
      </c>
      <c r="H178">
        <f t="shared" si="5"/>
        <v>0</v>
      </c>
    </row>
    <row r="179" spans="1:8" hidden="1" x14ac:dyDescent="0.2">
      <c r="A179" t="s">
        <v>3991</v>
      </c>
      <c r="B179" t="s">
        <v>3992</v>
      </c>
      <c r="C179" t="s">
        <v>3993</v>
      </c>
      <c r="D179" s="295">
        <v>3393864.58</v>
      </c>
      <c r="E179" s="288"/>
      <c r="F179" s="288"/>
      <c r="G179">
        <f t="shared" si="4"/>
        <v>0</v>
      </c>
      <c r="H179">
        <f t="shared" si="5"/>
        <v>0</v>
      </c>
    </row>
    <row r="180" spans="1:8" hidden="1" x14ac:dyDescent="0.2">
      <c r="B180" t="s">
        <v>3994</v>
      </c>
      <c r="C180" t="s">
        <v>3995</v>
      </c>
      <c r="D180" s="295">
        <v>5401194.4199999999</v>
      </c>
      <c r="E180" s="288"/>
      <c r="F180" s="288"/>
      <c r="G180">
        <f t="shared" si="4"/>
        <v>0</v>
      </c>
      <c r="H180">
        <f t="shared" si="5"/>
        <v>0</v>
      </c>
    </row>
    <row r="181" spans="1:8" hidden="1" x14ac:dyDescent="0.2">
      <c r="B181" t="s">
        <v>3996</v>
      </c>
      <c r="C181" t="s">
        <v>3997</v>
      </c>
      <c r="D181" s="295">
        <v>4455699.1500000004</v>
      </c>
      <c r="E181" s="288"/>
      <c r="F181" s="288"/>
      <c r="G181">
        <f t="shared" si="4"/>
        <v>0</v>
      </c>
      <c r="H181">
        <f t="shared" si="5"/>
        <v>0</v>
      </c>
    </row>
    <row r="182" spans="1:8" hidden="1" x14ac:dyDescent="0.2">
      <c r="B182" t="s">
        <v>3989</v>
      </c>
      <c r="C182" t="s">
        <v>3998</v>
      </c>
      <c r="D182" s="295">
        <v>45645.85</v>
      </c>
      <c r="E182" s="288"/>
      <c r="F182" s="288"/>
      <c r="G182">
        <f t="shared" si="4"/>
        <v>0</v>
      </c>
      <c r="H182">
        <f t="shared" si="5"/>
        <v>0</v>
      </c>
    </row>
    <row r="183" spans="1:8" hidden="1" x14ac:dyDescent="0.2">
      <c r="C183" t="s">
        <v>3999</v>
      </c>
      <c r="D183" s="295">
        <v>527011.86</v>
      </c>
      <c r="E183" s="288"/>
      <c r="F183" s="288"/>
      <c r="G183">
        <f t="shared" si="4"/>
        <v>0</v>
      </c>
      <c r="H183">
        <f t="shared" si="5"/>
        <v>0</v>
      </c>
    </row>
    <row r="184" spans="1:8" hidden="1" x14ac:dyDescent="0.2">
      <c r="C184" t="s">
        <v>4000</v>
      </c>
      <c r="D184" s="295">
        <v>205766.25</v>
      </c>
      <c r="E184" s="288"/>
      <c r="F184" s="288"/>
      <c r="G184">
        <f t="shared" si="4"/>
        <v>0</v>
      </c>
      <c r="H184">
        <f t="shared" si="5"/>
        <v>0</v>
      </c>
    </row>
    <row r="185" spans="1:8" hidden="1" x14ac:dyDescent="0.2">
      <c r="A185" t="s">
        <v>4001</v>
      </c>
      <c r="B185" t="s">
        <v>4002</v>
      </c>
      <c r="C185" t="s">
        <v>4003</v>
      </c>
      <c r="D185" s="295">
        <v>8836611.3800000008</v>
      </c>
      <c r="E185" s="296"/>
      <c r="F185" s="296"/>
      <c r="G185">
        <f t="shared" si="4"/>
        <v>0</v>
      </c>
      <c r="H185">
        <f t="shared" si="5"/>
        <v>0</v>
      </c>
    </row>
    <row r="186" spans="1:8" hidden="1" x14ac:dyDescent="0.2">
      <c r="A186" t="s">
        <v>4004</v>
      </c>
      <c r="B186" t="s">
        <v>3754</v>
      </c>
      <c r="C186" t="s">
        <v>4005</v>
      </c>
      <c r="D186" s="295">
        <v>10056290.41</v>
      </c>
      <c r="E186" s="288"/>
      <c r="F186" s="288" t="s">
        <v>3678</v>
      </c>
      <c r="G186" t="str">
        <f t="shared" si="4"/>
        <v xml:space="preserve">  SR_0300_1080</v>
      </c>
      <c r="H186">
        <f t="shared" si="5"/>
        <v>0</v>
      </c>
    </row>
    <row r="187" spans="1:8" x14ac:dyDescent="0.2">
      <c r="C187" s="300" t="s">
        <v>4006</v>
      </c>
      <c r="D187" s="295">
        <v>771432.36</v>
      </c>
      <c r="E187" s="296" t="s">
        <v>3731</v>
      </c>
      <c r="F187" s="296"/>
    </row>
    <row r="188" spans="1:8" hidden="1" x14ac:dyDescent="0.2">
      <c r="C188" t="s">
        <v>4007</v>
      </c>
      <c r="D188" s="295">
        <v>51493.06</v>
      </c>
      <c r="E188" s="288"/>
      <c r="F188" s="288"/>
      <c r="G188">
        <f t="shared" si="4"/>
        <v>0</v>
      </c>
      <c r="H188">
        <f t="shared" si="5"/>
        <v>0</v>
      </c>
    </row>
    <row r="189" spans="1:8" hidden="1" x14ac:dyDescent="0.2">
      <c r="B189" t="s">
        <v>3722</v>
      </c>
      <c r="C189" t="s">
        <v>4008</v>
      </c>
      <c r="D189" s="295">
        <v>343204.91</v>
      </c>
      <c r="E189" s="296"/>
      <c r="F189" s="296"/>
      <c r="G189">
        <f t="shared" si="4"/>
        <v>0</v>
      </c>
      <c r="H189">
        <f t="shared" si="5"/>
        <v>0</v>
      </c>
    </row>
    <row r="190" spans="1:8" hidden="1" x14ac:dyDescent="0.2">
      <c r="A190" t="s">
        <v>4009</v>
      </c>
      <c r="B190" t="s">
        <v>3752</v>
      </c>
      <c r="C190" t="s">
        <v>4010</v>
      </c>
      <c r="D190" s="295">
        <v>1293244.55</v>
      </c>
      <c r="E190" s="288"/>
      <c r="F190" s="288"/>
      <c r="G190">
        <f t="shared" si="4"/>
        <v>0</v>
      </c>
      <c r="H190">
        <f t="shared" si="5"/>
        <v>0</v>
      </c>
    </row>
    <row r="191" spans="1:8" hidden="1" x14ac:dyDescent="0.2">
      <c r="B191" t="s">
        <v>3754</v>
      </c>
      <c r="C191" t="s">
        <v>4011</v>
      </c>
      <c r="D191" s="295">
        <v>3432175.67</v>
      </c>
      <c r="E191" s="296"/>
      <c r="F191" s="296"/>
      <c r="G191">
        <f t="shared" si="4"/>
        <v>0</v>
      </c>
      <c r="H191">
        <f t="shared" si="5"/>
        <v>0</v>
      </c>
    </row>
    <row r="192" spans="1:8" hidden="1" x14ac:dyDescent="0.2">
      <c r="B192" t="s">
        <v>3758</v>
      </c>
      <c r="C192" t="s">
        <v>4012</v>
      </c>
      <c r="D192" s="295">
        <v>70312.639999999999</v>
      </c>
      <c r="E192" s="288"/>
      <c r="F192" s="288"/>
      <c r="G192">
        <f t="shared" si="4"/>
        <v>0</v>
      </c>
      <c r="H192">
        <f t="shared" si="5"/>
        <v>0</v>
      </c>
    </row>
    <row r="193" spans="1:8" hidden="1" x14ac:dyDescent="0.2">
      <c r="C193" t="s">
        <v>4013</v>
      </c>
      <c r="D193" s="295">
        <v>116891.57</v>
      </c>
      <c r="E193" s="296"/>
      <c r="F193" s="296"/>
      <c r="G193">
        <f t="shared" si="4"/>
        <v>0</v>
      </c>
      <c r="H193">
        <f t="shared" si="5"/>
        <v>0</v>
      </c>
    </row>
    <row r="194" spans="1:8" hidden="1" x14ac:dyDescent="0.2">
      <c r="B194" t="s">
        <v>3722</v>
      </c>
      <c r="C194" t="s">
        <v>4014</v>
      </c>
      <c r="D194" s="295">
        <v>448577.69</v>
      </c>
      <c r="E194" s="288"/>
      <c r="F194" s="288" t="s">
        <v>3678</v>
      </c>
      <c r="G194" t="str">
        <f t="shared" si="4"/>
        <v xml:space="preserve">  IR_0203_1080</v>
      </c>
      <c r="H194">
        <f t="shared" si="5"/>
        <v>0</v>
      </c>
    </row>
    <row r="195" spans="1:8" hidden="1" x14ac:dyDescent="0.2">
      <c r="B195" t="s">
        <v>3760</v>
      </c>
      <c r="C195" t="s">
        <v>4015</v>
      </c>
      <c r="D195" s="295">
        <v>1674571.51</v>
      </c>
      <c r="E195" s="296"/>
      <c r="F195" s="296"/>
      <c r="G195">
        <f t="shared" si="4"/>
        <v>0</v>
      </c>
      <c r="H195">
        <f t="shared" si="5"/>
        <v>0</v>
      </c>
    </row>
    <row r="196" spans="1:8" hidden="1" x14ac:dyDescent="0.2">
      <c r="B196" t="s">
        <v>3762</v>
      </c>
      <c r="C196" t="s">
        <v>4016</v>
      </c>
      <c r="D196" s="295">
        <v>129026.76</v>
      </c>
      <c r="E196" s="288"/>
      <c r="F196" s="288" t="s">
        <v>3678</v>
      </c>
      <c r="G196" t="str">
        <f t="shared" si="4"/>
        <v xml:space="preserve">  IR_0302_3120</v>
      </c>
      <c r="H196">
        <f t="shared" si="5"/>
        <v>0</v>
      </c>
    </row>
    <row r="197" spans="1:8" hidden="1" x14ac:dyDescent="0.2">
      <c r="C197" t="s">
        <v>4017</v>
      </c>
      <c r="D197" s="295">
        <v>260045.62</v>
      </c>
      <c r="E197" s="296"/>
      <c r="F197" s="296"/>
      <c r="G197">
        <f t="shared" si="4"/>
        <v>0</v>
      </c>
      <c r="H197">
        <f t="shared" si="5"/>
        <v>0</v>
      </c>
    </row>
    <row r="198" spans="1:8" hidden="1" x14ac:dyDescent="0.2">
      <c r="A198" t="s">
        <v>4018</v>
      </c>
      <c r="B198" t="s">
        <v>3956</v>
      </c>
      <c r="C198" t="s">
        <v>4019</v>
      </c>
      <c r="D198" s="295">
        <v>8969230.0500000007</v>
      </c>
      <c r="E198" s="288"/>
      <c r="F198" s="288"/>
      <c r="G198">
        <f t="shared" ref="G198:G261" si="6">IF(F198="X",C198,0)</f>
        <v>0</v>
      </c>
      <c r="H198">
        <f t="shared" ref="H198:H261" si="7">IF(E198="X",C198,0)</f>
        <v>0</v>
      </c>
    </row>
    <row r="199" spans="1:8" hidden="1" x14ac:dyDescent="0.2">
      <c r="A199" t="s">
        <v>4020</v>
      </c>
      <c r="B199" t="s">
        <v>4021</v>
      </c>
      <c r="C199" t="s">
        <v>4022</v>
      </c>
      <c r="D199" s="295">
        <v>5451225.29</v>
      </c>
      <c r="E199" s="288"/>
      <c r="F199" s="288"/>
      <c r="G199">
        <f t="shared" si="6"/>
        <v>0</v>
      </c>
      <c r="H199">
        <f t="shared" si="7"/>
        <v>0</v>
      </c>
    </row>
    <row r="200" spans="1:8" hidden="1" x14ac:dyDescent="0.2">
      <c r="C200" t="s">
        <v>4023</v>
      </c>
      <c r="D200" s="295">
        <v>4122119.87</v>
      </c>
      <c r="E200" s="288"/>
      <c r="F200" s="288"/>
      <c r="G200">
        <f t="shared" si="6"/>
        <v>0</v>
      </c>
      <c r="H200">
        <f t="shared" si="7"/>
        <v>0</v>
      </c>
    </row>
    <row r="201" spans="1:8" hidden="1" x14ac:dyDescent="0.2">
      <c r="C201" t="s">
        <v>4024</v>
      </c>
      <c r="D201" s="295">
        <v>836892.59</v>
      </c>
      <c r="E201" s="296"/>
      <c r="F201" s="296"/>
      <c r="G201">
        <f t="shared" si="6"/>
        <v>0</v>
      </c>
      <c r="H201">
        <f t="shared" si="7"/>
        <v>0</v>
      </c>
    </row>
    <row r="202" spans="1:8" hidden="1" x14ac:dyDescent="0.2">
      <c r="C202" t="s">
        <v>4025</v>
      </c>
      <c r="D202" s="295">
        <v>1025894.89</v>
      </c>
      <c r="E202" s="288"/>
      <c r="F202" s="288"/>
      <c r="G202">
        <f t="shared" si="6"/>
        <v>0</v>
      </c>
      <c r="H202">
        <f t="shared" si="7"/>
        <v>0</v>
      </c>
    </row>
    <row r="203" spans="1:8" hidden="1" x14ac:dyDescent="0.2">
      <c r="C203" t="s">
        <v>4026</v>
      </c>
      <c r="D203" s="295">
        <v>1570432.69</v>
      </c>
      <c r="E203" s="288"/>
      <c r="F203" s="288"/>
      <c r="G203">
        <f t="shared" si="6"/>
        <v>0</v>
      </c>
      <c r="H203">
        <f t="shared" si="7"/>
        <v>0</v>
      </c>
    </row>
    <row r="204" spans="1:8" hidden="1" x14ac:dyDescent="0.2">
      <c r="C204" t="s">
        <v>4027</v>
      </c>
      <c r="D204" s="295">
        <v>1606552.76</v>
      </c>
      <c r="E204" s="288"/>
      <c r="F204" s="288"/>
      <c r="G204">
        <f t="shared" si="6"/>
        <v>0</v>
      </c>
      <c r="H204">
        <f t="shared" si="7"/>
        <v>0</v>
      </c>
    </row>
    <row r="205" spans="1:8" hidden="1" x14ac:dyDescent="0.2">
      <c r="C205" t="s">
        <v>4028</v>
      </c>
      <c r="D205" s="295">
        <v>821751.35</v>
      </c>
      <c r="E205" s="288"/>
      <c r="F205" s="288"/>
      <c r="G205">
        <f t="shared" si="6"/>
        <v>0</v>
      </c>
      <c r="H205">
        <f t="shared" si="7"/>
        <v>0</v>
      </c>
    </row>
    <row r="206" spans="1:8" hidden="1" x14ac:dyDescent="0.2">
      <c r="C206" t="s">
        <v>4029</v>
      </c>
      <c r="D206" s="295">
        <v>840651.4</v>
      </c>
      <c r="E206" s="296"/>
      <c r="F206" s="296"/>
      <c r="G206">
        <f t="shared" si="6"/>
        <v>0</v>
      </c>
      <c r="H206">
        <f t="shared" si="7"/>
        <v>0</v>
      </c>
    </row>
    <row r="207" spans="1:8" hidden="1" x14ac:dyDescent="0.2">
      <c r="C207" t="s">
        <v>4030</v>
      </c>
      <c r="D207" s="295">
        <v>860012.67</v>
      </c>
      <c r="E207" s="288"/>
      <c r="F207" s="288"/>
      <c r="G207">
        <f t="shared" si="6"/>
        <v>0</v>
      </c>
      <c r="H207">
        <f t="shared" si="7"/>
        <v>0</v>
      </c>
    </row>
    <row r="208" spans="1:8" hidden="1" x14ac:dyDescent="0.2">
      <c r="C208" t="s">
        <v>4031</v>
      </c>
      <c r="D208" s="295">
        <v>879765.87</v>
      </c>
      <c r="E208" s="288"/>
      <c r="F208" s="288"/>
      <c r="G208">
        <f t="shared" si="6"/>
        <v>0</v>
      </c>
      <c r="H208">
        <f t="shared" si="7"/>
        <v>0</v>
      </c>
    </row>
    <row r="209" spans="1:8" hidden="1" x14ac:dyDescent="0.2">
      <c r="C209" t="s">
        <v>4032</v>
      </c>
      <c r="D209" s="295">
        <v>520974.94</v>
      </c>
      <c r="E209" s="288"/>
      <c r="F209" s="288"/>
      <c r="G209">
        <f t="shared" si="6"/>
        <v>0</v>
      </c>
      <c r="H209">
        <f t="shared" si="7"/>
        <v>0</v>
      </c>
    </row>
    <row r="210" spans="1:8" hidden="1" x14ac:dyDescent="0.2">
      <c r="A210" t="s">
        <v>4033</v>
      </c>
      <c r="B210" t="s">
        <v>4034</v>
      </c>
      <c r="C210" t="s">
        <v>4035</v>
      </c>
      <c r="D210" s="295">
        <v>11061043.34</v>
      </c>
      <c r="E210" s="288"/>
      <c r="F210" s="288"/>
      <c r="G210">
        <f t="shared" si="6"/>
        <v>0</v>
      </c>
      <c r="H210">
        <f t="shared" si="7"/>
        <v>0</v>
      </c>
    </row>
    <row r="211" spans="1:8" hidden="1" x14ac:dyDescent="0.2">
      <c r="A211" t="s">
        <v>4036</v>
      </c>
      <c r="B211" t="s">
        <v>4037</v>
      </c>
      <c r="C211" t="s">
        <v>4038</v>
      </c>
      <c r="D211" s="295">
        <v>8714138.3599999994</v>
      </c>
      <c r="E211" s="288"/>
      <c r="F211" s="288"/>
      <c r="G211">
        <f t="shared" si="6"/>
        <v>0</v>
      </c>
      <c r="H211">
        <f t="shared" si="7"/>
        <v>0</v>
      </c>
    </row>
    <row r="212" spans="1:8" hidden="1" x14ac:dyDescent="0.2">
      <c r="C212" t="s">
        <v>4039</v>
      </c>
      <c r="D212" s="295">
        <v>748871.27</v>
      </c>
      <c r="E212" s="288"/>
      <c r="F212" s="288"/>
      <c r="G212">
        <f t="shared" si="6"/>
        <v>0</v>
      </c>
      <c r="H212">
        <f t="shared" si="7"/>
        <v>0</v>
      </c>
    </row>
    <row r="213" spans="1:8" hidden="1" x14ac:dyDescent="0.2">
      <c r="A213" t="s">
        <v>4040</v>
      </c>
      <c r="B213" t="s">
        <v>3792</v>
      </c>
      <c r="C213" t="s">
        <v>4041</v>
      </c>
      <c r="D213" s="295">
        <v>6412812.3799999999</v>
      </c>
      <c r="E213" s="288"/>
      <c r="F213" s="288"/>
      <c r="G213">
        <f t="shared" si="6"/>
        <v>0</v>
      </c>
      <c r="H213">
        <f t="shared" si="7"/>
        <v>0</v>
      </c>
    </row>
    <row r="214" spans="1:8" hidden="1" x14ac:dyDescent="0.2">
      <c r="A214" t="s">
        <v>4042</v>
      </c>
      <c r="B214" t="s">
        <v>4043</v>
      </c>
      <c r="C214" t="s">
        <v>4044</v>
      </c>
      <c r="D214" s="295">
        <v>2062668.16</v>
      </c>
      <c r="E214" s="288"/>
      <c r="F214" s="288"/>
      <c r="G214">
        <f t="shared" si="6"/>
        <v>0</v>
      </c>
      <c r="H214">
        <f t="shared" si="7"/>
        <v>0</v>
      </c>
    </row>
    <row r="215" spans="1:8" hidden="1" x14ac:dyDescent="0.2">
      <c r="C215" t="s">
        <v>4045</v>
      </c>
      <c r="D215" s="295">
        <v>7947152.7300000004</v>
      </c>
      <c r="E215" s="288"/>
      <c r="F215" s="288"/>
      <c r="G215">
        <f t="shared" si="6"/>
        <v>0</v>
      </c>
      <c r="H215">
        <f t="shared" si="7"/>
        <v>0</v>
      </c>
    </row>
    <row r="216" spans="1:8" x14ac:dyDescent="0.2">
      <c r="C216" s="300" t="s">
        <v>4046</v>
      </c>
      <c r="D216" s="295">
        <v>8324676.29</v>
      </c>
      <c r="E216" s="296" t="s">
        <v>3731</v>
      </c>
      <c r="F216" s="296"/>
    </row>
    <row r="217" spans="1:8" hidden="1" x14ac:dyDescent="0.2">
      <c r="A217" t="s">
        <v>4047</v>
      </c>
      <c r="B217" t="s">
        <v>4048</v>
      </c>
      <c r="C217" t="s">
        <v>4049</v>
      </c>
      <c r="D217" s="295">
        <v>1113908.8600000001</v>
      </c>
      <c r="E217" s="288"/>
      <c r="F217" s="288"/>
      <c r="G217">
        <f t="shared" si="6"/>
        <v>0</v>
      </c>
      <c r="H217">
        <f t="shared" si="7"/>
        <v>0</v>
      </c>
    </row>
    <row r="218" spans="1:8" hidden="1" x14ac:dyDescent="0.2">
      <c r="A218" t="s">
        <v>4050</v>
      </c>
      <c r="B218" t="s">
        <v>4048</v>
      </c>
      <c r="C218" t="s">
        <v>4051</v>
      </c>
      <c r="D218" s="295">
        <v>6879421.46</v>
      </c>
      <c r="E218" s="288"/>
      <c r="F218" s="288"/>
      <c r="G218">
        <f t="shared" si="6"/>
        <v>0</v>
      </c>
      <c r="H218">
        <f t="shared" si="7"/>
        <v>0</v>
      </c>
    </row>
    <row r="219" spans="1:8" hidden="1" x14ac:dyDescent="0.2">
      <c r="A219" t="s">
        <v>4052</v>
      </c>
      <c r="B219" t="s">
        <v>3754</v>
      </c>
      <c r="C219" t="s">
        <v>4053</v>
      </c>
      <c r="D219" s="295">
        <v>5346119.49</v>
      </c>
      <c r="E219" s="288"/>
      <c r="F219" s="288"/>
      <c r="G219">
        <f t="shared" si="6"/>
        <v>0</v>
      </c>
      <c r="H219">
        <f t="shared" si="7"/>
        <v>0</v>
      </c>
    </row>
    <row r="220" spans="1:8" hidden="1" x14ac:dyDescent="0.2">
      <c r="B220" t="s">
        <v>3756</v>
      </c>
      <c r="C220" t="s">
        <v>4054</v>
      </c>
      <c r="D220" s="295">
        <v>403348.68</v>
      </c>
      <c r="E220" s="288"/>
      <c r="F220" s="288"/>
      <c r="G220">
        <f t="shared" si="6"/>
        <v>0</v>
      </c>
      <c r="H220">
        <f t="shared" si="7"/>
        <v>0</v>
      </c>
    </row>
    <row r="221" spans="1:8" hidden="1" x14ac:dyDescent="0.2">
      <c r="C221" t="s">
        <v>4055</v>
      </c>
      <c r="D221" s="295">
        <v>229357.5</v>
      </c>
      <c r="E221" s="288"/>
      <c r="F221" s="288"/>
      <c r="G221">
        <f t="shared" si="6"/>
        <v>0</v>
      </c>
      <c r="H221">
        <f t="shared" si="7"/>
        <v>0</v>
      </c>
    </row>
    <row r="222" spans="1:8" hidden="1" x14ac:dyDescent="0.2">
      <c r="C222" t="s">
        <v>4056</v>
      </c>
      <c r="D222" s="295">
        <v>184141.38</v>
      </c>
      <c r="E222" s="288"/>
      <c r="F222" s="288"/>
      <c r="G222">
        <f t="shared" si="6"/>
        <v>0</v>
      </c>
      <c r="H222">
        <f t="shared" si="7"/>
        <v>0</v>
      </c>
    </row>
    <row r="223" spans="1:8" hidden="1" x14ac:dyDescent="0.2">
      <c r="B223" t="s">
        <v>3758</v>
      </c>
      <c r="C223" t="s">
        <v>4057</v>
      </c>
      <c r="D223" s="295">
        <v>134449.56</v>
      </c>
      <c r="E223" s="288"/>
      <c r="F223" s="288"/>
      <c r="G223">
        <f t="shared" si="6"/>
        <v>0</v>
      </c>
      <c r="H223">
        <f t="shared" si="7"/>
        <v>0</v>
      </c>
    </row>
    <row r="224" spans="1:8" hidden="1" x14ac:dyDescent="0.2">
      <c r="C224" t="s">
        <v>4058</v>
      </c>
      <c r="D224" s="295">
        <v>57790.9</v>
      </c>
      <c r="E224" s="288"/>
      <c r="F224" s="288"/>
      <c r="G224">
        <f t="shared" si="6"/>
        <v>0</v>
      </c>
      <c r="H224">
        <f t="shared" si="7"/>
        <v>0</v>
      </c>
    </row>
    <row r="225" spans="1:8" x14ac:dyDescent="0.2">
      <c r="C225" s="362" t="s">
        <v>4059</v>
      </c>
      <c r="D225" s="295">
        <v>1147109.08</v>
      </c>
      <c r="E225" s="296" t="s">
        <v>3731</v>
      </c>
      <c r="F225" s="296"/>
    </row>
    <row r="226" spans="1:8" hidden="1" x14ac:dyDescent="0.2">
      <c r="C226" t="s">
        <v>4060</v>
      </c>
      <c r="D226" s="295">
        <v>168061.95</v>
      </c>
      <c r="E226" s="288"/>
      <c r="F226" s="288"/>
      <c r="G226">
        <f t="shared" si="6"/>
        <v>0</v>
      </c>
      <c r="H226">
        <f t="shared" si="7"/>
        <v>0</v>
      </c>
    </row>
    <row r="227" spans="1:8" hidden="1" x14ac:dyDescent="0.2">
      <c r="B227" t="s">
        <v>3762</v>
      </c>
      <c r="C227" t="s">
        <v>4061</v>
      </c>
      <c r="D227" s="295">
        <v>84030.98</v>
      </c>
      <c r="E227" s="288"/>
      <c r="F227" s="288"/>
      <c r="G227">
        <f t="shared" si="6"/>
        <v>0</v>
      </c>
      <c r="H227">
        <f t="shared" si="7"/>
        <v>0</v>
      </c>
    </row>
    <row r="228" spans="1:8" hidden="1" x14ac:dyDescent="0.2">
      <c r="A228" t="s">
        <v>4062</v>
      </c>
      <c r="B228" t="s">
        <v>4063</v>
      </c>
      <c r="C228" t="s">
        <v>4064</v>
      </c>
      <c r="D228" s="295">
        <v>4942938.8099999996</v>
      </c>
      <c r="E228" s="288"/>
      <c r="F228" s="288"/>
      <c r="G228">
        <f t="shared" si="6"/>
        <v>0</v>
      </c>
      <c r="H228">
        <f t="shared" si="7"/>
        <v>0</v>
      </c>
    </row>
    <row r="229" spans="1:8" hidden="1" x14ac:dyDescent="0.2">
      <c r="B229" t="s">
        <v>4065</v>
      </c>
      <c r="C229" t="s">
        <v>4066</v>
      </c>
      <c r="D229" s="295">
        <v>3997824.41</v>
      </c>
      <c r="E229" s="288"/>
      <c r="F229" s="288"/>
      <c r="G229">
        <f t="shared" si="6"/>
        <v>0</v>
      </c>
      <c r="H229">
        <f t="shared" si="7"/>
        <v>0</v>
      </c>
    </row>
    <row r="230" spans="1:8" hidden="1" x14ac:dyDescent="0.2">
      <c r="B230" t="s">
        <v>4067</v>
      </c>
      <c r="C230" t="s">
        <v>4068</v>
      </c>
      <c r="D230" s="295">
        <v>262290.23</v>
      </c>
      <c r="E230" s="288"/>
      <c r="F230" s="288"/>
      <c r="G230">
        <f t="shared" si="6"/>
        <v>0</v>
      </c>
      <c r="H230">
        <f t="shared" si="7"/>
        <v>0</v>
      </c>
    </row>
    <row r="231" spans="1:8" hidden="1" x14ac:dyDescent="0.2">
      <c r="B231" t="s">
        <v>4069</v>
      </c>
      <c r="C231" t="s">
        <v>4070</v>
      </c>
      <c r="D231" s="295">
        <v>160706.32</v>
      </c>
      <c r="E231" s="288"/>
      <c r="F231" s="288"/>
      <c r="G231">
        <f t="shared" si="6"/>
        <v>0</v>
      </c>
      <c r="H231">
        <f t="shared" si="7"/>
        <v>0</v>
      </c>
    </row>
    <row r="232" spans="1:8" hidden="1" x14ac:dyDescent="0.2">
      <c r="B232" t="s">
        <v>4071</v>
      </c>
      <c r="C232" t="s">
        <v>4072</v>
      </c>
      <c r="D232" s="295">
        <v>4949850.8899999997</v>
      </c>
      <c r="E232" s="288"/>
      <c r="F232" s="288"/>
      <c r="G232">
        <f t="shared" si="6"/>
        <v>0</v>
      </c>
      <c r="H232">
        <f t="shared" si="7"/>
        <v>0</v>
      </c>
    </row>
    <row r="233" spans="1:8" hidden="1" x14ac:dyDescent="0.2">
      <c r="B233" t="s">
        <v>4073</v>
      </c>
      <c r="C233" t="s">
        <v>4074</v>
      </c>
      <c r="D233" s="295">
        <v>311419.07</v>
      </c>
      <c r="E233" s="288"/>
      <c r="F233" s="288"/>
      <c r="G233">
        <f t="shared" si="6"/>
        <v>0</v>
      </c>
      <c r="H233">
        <f t="shared" si="7"/>
        <v>0</v>
      </c>
    </row>
    <row r="234" spans="1:8" hidden="1" x14ac:dyDescent="0.2">
      <c r="B234" t="s">
        <v>4075</v>
      </c>
      <c r="C234" t="s">
        <v>4076</v>
      </c>
      <c r="D234" s="295">
        <v>324940.59000000003</v>
      </c>
      <c r="E234" s="288"/>
      <c r="F234" s="288"/>
      <c r="G234">
        <f t="shared" si="6"/>
        <v>0</v>
      </c>
      <c r="H234">
        <f t="shared" si="7"/>
        <v>0</v>
      </c>
    </row>
    <row r="235" spans="1:8" x14ac:dyDescent="0.2">
      <c r="B235" t="s">
        <v>4077</v>
      </c>
      <c r="C235" t="s">
        <v>4078</v>
      </c>
      <c r="D235" s="295">
        <v>1167024.42</v>
      </c>
      <c r="E235" s="296" t="s">
        <v>3731</v>
      </c>
      <c r="F235" s="296"/>
    </row>
    <row r="236" spans="1:8" hidden="1" x14ac:dyDescent="0.2">
      <c r="B236" t="s">
        <v>4079</v>
      </c>
      <c r="C236" t="s">
        <v>4080</v>
      </c>
      <c r="D236" s="295">
        <v>3864171.45</v>
      </c>
      <c r="E236" s="288"/>
      <c r="F236" s="288"/>
      <c r="G236">
        <f t="shared" si="6"/>
        <v>0</v>
      </c>
      <c r="H236">
        <f t="shared" si="7"/>
        <v>0</v>
      </c>
    </row>
    <row r="237" spans="1:8" hidden="1" x14ac:dyDescent="0.2">
      <c r="A237" t="s">
        <v>4081</v>
      </c>
      <c r="B237" t="s">
        <v>4082</v>
      </c>
      <c r="C237" t="s">
        <v>4083</v>
      </c>
      <c r="D237" s="295">
        <v>2501273.9</v>
      </c>
      <c r="E237" s="288"/>
      <c r="F237" s="288"/>
      <c r="G237">
        <f t="shared" si="6"/>
        <v>0</v>
      </c>
      <c r="H237">
        <f t="shared" si="7"/>
        <v>0</v>
      </c>
    </row>
    <row r="238" spans="1:8" hidden="1" x14ac:dyDescent="0.2">
      <c r="B238" t="s">
        <v>4084</v>
      </c>
      <c r="C238" t="s">
        <v>4085</v>
      </c>
      <c r="D238" s="295">
        <v>2501273.9</v>
      </c>
      <c r="E238" s="288"/>
      <c r="F238" s="288"/>
      <c r="G238">
        <f t="shared" si="6"/>
        <v>0</v>
      </c>
      <c r="H238">
        <f t="shared" si="7"/>
        <v>0</v>
      </c>
    </row>
    <row r="239" spans="1:8" hidden="1" x14ac:dyDescent="0.2">
      <c r="B239" t="s">
        <v>4086</v>
      </c>
      <c r="C239" t="s">
        <v>4087</v>
      </c>
      <c r="D239" s="295">
        <v>3499942</v>
      </c>
      <c r="E239" s="288"/>
      <c r="F239" s="288"/>
      <c r="G239">
        <f t="shared" si="6"/>
        <v>0</v>
      </c>
      <c r="H239">
        <f t="shared" si="7"/>
        <v>0</v>
      </c>
    </row>
    <row r="240" spans="1:8" hidden="1" x14ac:dyDescent="0.2">
      <c r="B240" t="s">
        <v>4088</v>
      </c>
      <c r="C240" t="s">
        <v>4089</v>
      </c>
      <c r="D240" s="295">
        <v>4708055.5599999996</v>
      </c>
      <c r="E240" s="288"/>
      <c r="F240" s="288"/>
      <c r="G240">
        <f t="shared" si="6"/>
        <v>0</v>
      </c>
      <c r="H240">
        <f t="shared" si="7"/>
        <v>0</v>
      </c>
    </row>
    <row r="241" spans="1:8" hidden="1" x14ac:dyDescent="0.2">
      <c r="B241" t="s">
        <v>4090</v>
      </c>
      <c r="C241" t="s">
        <v>4091</v>
      </c>
      <c r="D241" s="295">
        <v>2501273.9</v>
      </c>
      <c r="E241" s="288"/>
      <c r="F241" s="288"/>
      <c r="G241">
        <f t="shared" si="6"/>
        <v>0</v>
      </c>
      <c r="H241">
        <f t="shared" si="7"/>
        <v>0</v>
      </c>
    </row>
    <row r="242" spans="1:8" hidden="1" x14ac:dyDescent="0.2">
      <c r="B242" t="s">
        <v>4092</v>
      </c>
      <c r="C242" t="s">
        <v>4093</v>
      </c>
      <c r="D242" s="295">
        <v>2541963.39</v>
      </c>
      <c r="E242" s="288"/>
      <c r="F242" s="288"/>
      <c r="G242">
        <f t="shared" si="6"/>
        <v>0</v>
      </c>
      <c r="H242">
        <f t="shared" si="7"/>
        <v>0</v>
      </c>
    </row>
    <row r="243" spans="1:8" hidden="1" x14ac:dyDescent="0.2">
      <c r="B243" t="s">
        <v>4094</v>
      </c>
      <c r="C243" t="s">
        <v>4095</v>
      </c>
      <c r="D243" s="295">
        <v>198205</v>
      </c>
      <c r="E243" s="288"/>
      <c r="F243" s="288"/>
      <c r="G243">
        <f t="shared" si="6"/>
        <v>0</v>
      </c>
      <c r="H243">
        <f t="shared" si="7"/>
        <v>0</v>
      </c>
    </row>
    <row r="244" spans="1:8" hidden="1" x14ac:dyDescent="0.2">
      <c r="B244" t="s">
        <v>4096</v>
      </c>
      <c r="C244" t="s">
        <v>4097</v>
      </c>
      <c r="D244" s="295">
        <v>1367584.29</v>
      </c>
      <c r="E244" s="288"/>
      <c r="F244" s="288"/>
      <c r="G244">
        <f t="shared" si="6"/>
        <v>0</v>
      </c>
      <c r="H244">
        <f t="shared" si="7"/>
        <v>0</v>
      </c>
    </row>
    <row r="245" spans="1:8" x14ac:dyDescent="0.2">
      <c r="A245" t="s">
        <v>4098</v>
      </c>
      <c r="B245" t="s">
        <v>4063</v>
      </c>
      <c r="C245" t="s">
        <v>4099</v>
      </c>
      <c r="D245" s="295">
        <v>369942.59</v>
      </c>
      <c r="E245" s="296" t="s">
        <v>3731</v>
      </c>
      <c r="F245" s="296"/>
    </row>
    <row r="246" spans="1:8" hidden="1" x14ac:dyDescent="0.2">
      <c r="C246" t="s">
        <v>4100</v>
      </c>
      <c r="D246" s="295">
        <v>3514287.63</v>
      </c>
      <c r="E246" s="288"/>
      <c r="F246" s="288"/>
      <c r="G246">
        <f t="shared" si="6"/>
        <v>0</v>
      </c>
      <c r="H246">
        <f t="shared" si="7"/>
        <v>0</v>
      </c>
    </row>
    <row r="247" spans="1:8" x14ac:dyDescent="0.2">
      <c r="C247" t="s">
        <v>4101</v>
      </c>
      <c r="D247" s="295">
        <v>5274371.97</v>
      </c>
      <c r="E247" s="296" t="s">
        <v>3731</v>
      </c>
      <c r="F247" s="296" t="s">
        <v>3731</v>
      </c>
    </row>
    <row r="248" spans="1:8" hidden="1" x14ac:dyDescent="0.2">
      <c r="B248" t="s">
        <v>4065</v>
      </c>
      <c r="C248" t="s">
        <v>4102</v>
      </c>
      <c r="D248" s="295">
        <v>160676.19</v>
      </c>
      <c r="E248" s="288"/>
      <c r="F248" s="288"/>
      <c r="G248">
        <f t="shared" si="6"/>
        <v>0</v>
      </c>
      <c r="H248">
        <f t="shared" si="7"/>
        <v>0</v>
      </c>
    </row>
    <row r="249" spans="1:8" hidden="1" x14ac:dyDescent="0.2">
      <c r="C249" t="s">
        <v>4103</v>
      </c>
      <c r="D249" s="295">
        <v>4092050.79</v>
      </c>
      <c r="E249" s="288"/>
      <c r="F249" s="288"/>
      <c r="G249">
        <f t="shared" si="6"/>
        <v>0</v>
      </c>
      <c r="H249">
        <f t="shared" si="7"/>
        <v>0</v>
      </c>
    </row>
    <row r="250" spans="1:8" hidden="1" x14ac:dyDescent="0.2">
      <c r="C250" t="s">
        <v>4104</v>
      </c>
      <c r="D250" s="295">
        <v>2668670.59</v>
      </c>
      <c r="E250" s="288"/>
      <c r="F250" s="288"/>
      <c r="G250">
        <f t="shared" si="6"/>
        <v>0</v>
      </c>
      <c r="H250">
        <f t="shared" si="7"/>
        <v>0</v>
      </c>
    </row>
    <row r="251" spans="1:8" hidden="1" x14ac:dyDescent="0.2">
      <c r="B251" t="s">
        <v>4067</v>
      </c>
      <c r="C251" t="s">
        <v>4105</v>
      </c>
      <c r="D251" s="295">
        <v>16426.37</v>
      </c>
      <c r="E251" s="296"/>
      <c r="F251" s="296"/>
      <c r="G251">
        <f t="shared" si="6"/>
        <v>0</v>
      </c>
      <c r="H251">
        <f t="shared" si="7"/>
        <v>0</v>
      </c>
    </row>
    <row r="252" spans="1:8" hidden="1" x14ac:dyDescent="0.2">
      <c r="C252" t="s">
        <v>4106</v>
      </c>
      <c r="D252" s="295">
        <v>89043.7</v>
      </c>
      <c r="E252" s="288"/>
      <c r="F252" s="288"/>
      <c r="G252">
        <f t="shared" si="6"/>
        <v>0</v>
      </c>
      <c r="H252">
        <f t="shared" si="7"/>
        <v>0</v>
      </c>
    </row>
    <row r="253" spans="1:8" hidden="1" x14ac:dyDescent="0.2">
      <c r="C253" t="s">
        <v>4107</v>
      </c>
      <c r="D253" s="295">
        <v>157643.54999999999</v>
      </c>
      <c r="E253" s="296"/>
      <c r="F253" s="296"/>
      <c r="G253">
        <f t="shared" si="6"/>
        <v>0</v>
      </c>
      <c r="H253">
        <f t="shared" si="7"/>
        <v>0</v>
      </c>
    </row>
    <row r="254" spans="1:8" hidden="1" x14ac:dyDescent="0.2">
      <c r="B254" t="s">
        <v>4069</v>
      </c>
      <c r="C254" t="s">
        <v>4108</v>
      </c>
      <c r="D254" s="295">
        <v>11831.56</v>
      </c>
      <c r="E254" s="288"/>
      <c r="F254" s="288" t="s">
        <v>3678</v>
      </c>
      <c r="G254" t="str">
        <f t="shared" si="6"/>
        <v xml:space="preserve">  IF_0203_1080</v>
      </c>
      <c r="H254">
        <f t="shared" si="7"/>
        <v>0</v>
      </c>
    </row>
    <row r="255" spans="1:8" hidden="1" x14ac:dyDescent="0.2">
      <c r="C255" t="s">
        <v>4109</v>
      </c>
      <c r="D255" s="295">
        <v>47872.47</v>
      </c>
      <c r="E255" s="296"/>
      <c r="F255" s="296"/>
      <c r="G255">
        <f t="shared" si="6"/>
        <v>0</v>
      </c>
      <c r="H255">
        <f t="shared" si="7"/>
        <v>0</v>
      </c>
    </row>
    <row r="256" spans="1:8" hidden="1" x14ac:dyDescent="0.2">
      <c r="C256" t="s">
        <v>4110</v>
      </c>
      <c r="D256" s="295">
        <v>114017.7</v>
      </c>
      <c r="E256" s="288"/>
      <c r="F256" s="288"/>
      <c r="G256">
        <f t="shared" si="6"/>
        <v>0</v>
      </c>
      <c r="H256">
        <f t="shared" si="7"/>
        <v>0</v>
      </c>
    </row>
    <row r="257" spans="1:8" hidden="1" x14ac:dyDescent="0.2">
      <c r="B257" t="s">
        <v>4071</v>
      </c>
      <c r="C257" t="s">
        <v>4111</v>
      </c>
      <c r="D257" s="295">
        <v>39360.11</v>
      </c>
      <c r="E257" s="296"/>
      <c r="F257" s="296"/>
      <c r="G257">
        <f t="shared" si="6"/>
        <v>0</v>
      </c>
      <c r="H257">
        <f t="shared" si="7"/>
        <v>0</v>
      </c>
    </row>
    <row r="258" spans="1:8" hidden="1" x14ac:dyDescent="0.2">
      <c r="C258" t="s">
        <v>4112</v>
      </c>
      <c r="D258" s="295">
        <v>3711057.62</v>
      </c>
      <c r="E258" s="288"/>
      <c r="F258" s="288"/>
      <c r="G258">
        <f t="shared" si="6"/>
        <v>0</v>
      </c>
      <c r="H258">
        <f t="shared" si="7"/>
        <v>0</v>
      </c>
    </row>
    <row r="259" spans="1:8" hidden="1" x14ac:dyDescent="0.2">
      <c r="C259" t="s">
        <v>4113</v>
      </c>
      <c r="D259" s="295">
        <v>1993546.92</v>
      </c>
      <c r="E259" s="296"/>
      <c r="F259" s="296"/>
      <c r="G259">
        <f t="shared" si="6"/>
        <v>0</v>
      </c>
      <c r="H259">
        <f t="shared" si="7"/>
        <v>0</v>
      </c>
    </row>
    <row r="260" spans="1:8" hidden="1" x14ac:dyDescent="0.2">
      <c r="B260" t="s">
        <v>4073</v>
      </c>
      <c r="C260" t="s">
        <v>4114</v>
      </c>
      <c r="D260" s="295">
        <v>22400.42</v>
      </c>
      <c r="E260" s="288"/>
      <c r="F260" s="288"/>
      <c r="G260">
        <f t="shared" si="6"/>
        <v>0</v>
      </c>
      <c r="H260">
        <f t="shared" si="7"/>
        <v>0</v>
      </c>
    </row>
    <row r="261" spans="1:8" hidden="1" x14ac:dyDescent="0.2">
      <c r="C261" t="s">
        <v>4115</v>
      </c>
      <c r="D261" s="295">
        <v>180451.23</v>
      </c>
      <c r="E261" s="296"/>
      <c r="F261" s="296"/>
      <c r="G261">
        <f t="shared" si="6"/>
        <v>0</v>
      </c>
      <c r="H261">
        <f t="shared" si="7"/>
        <v>0</v>
      </c>
    </row>
    <row r="262" spans="1:8" hidden="1" x14ac:dyDescent="0.2">
      <c r="C262" t="s">
        <v>4116</v>
      </c>
      <c r="D262" s="295">
        <v>169379.49</v>
      </c>
      <c r="E262" s="288"/>
      <c r="F262" s="288"/>
      <c r="G262">
        <f t="shared" ref="G262:G325" si="8">IF(F262="X",C262,0)</f>
        <v>0</v>
      </c>
      <c r="H262">
        <f t="shared" ref="H262:H325" si="9">IF(E262="X",C262,0)</f>
        <v>0</v>
      </c>
    </row>
    <row r="263" spans="1:8" hidden="1" x14ac:dyDescent="0.2">
      <c r="B263" t="s">
        <v>4075</v>
      </c>
      <c r="C263" t="s">
        <v>4117</v>
      </c>
      <c r="D263" s="295">
        <v>8817.7999999999993</v>
      </c>
      <c r="E263" s="296"/>
      <c r="F263" s="296"/>
      <c r="G263">
        <f t="shared" si="8"/>
        <v>0</v>
      </c>
      <c r="H263">
        <f t="shared" si="9"/>
        <v>0</v>
      </c>
    </row>
    <row r="264" spans="1:8" hidden="1" x14ac:dyDescent="0.2">
      <c r="C264" t="s">
        <v>4118</v>
      </c>
      <c r="D264" s="295">
        <v>16809.919999999998</v>
      </c>
      <c r="E264" s="288"/>
      <c r="F264" s="288"/>
      <c r="G264">
        <f t="shared" si="8"/>
        <v>0</v>
      </c>
      <c r="H264">
        <f t="shared" si="9"/>
        <v>0</v>
      </c>
    </row>
    <row r="265" spans="1:8" hidden="1" x14ac:dyDescent="0.2">
      <c r="C265" t="s">
        <v>4119</v>
      </c>
      <c r="D265" s="295">
        <v>134685.67000000001</v>
      </c>
      <c r="E265" s="288"/>
      <c r="F265" s="288"/>
      <c r="G265">
        <f t="shared" si="8"/>
        <v>0</v>
      </c>
      <c r="H265">
        <f t="shared" si="9"/>
        <v>0</v>
      </c>
    </row>
    <row r="266" spans="1:8" hidden="1" x14ac:dyDescent="0.2">
      <c r="B266" t="s">
        <v>4120</v>
      </c>
      <c r="C266" t="s">
        <v>4121</v>
      </c>
      <c r="D266" s="295">
        <v>69960</v>
      </c>
      <c r="E266" s="288"/>
      <c r="F266" s="288" t="s">
        <v>3678</v>
      </c>
      <c r="G266" t="str">
        <f t="shared" si="8"/>
        <v xml:space="preserve">  IF_0204_1320</v>
      </c>
      <c r="H266">
        <f t="shared" si="9"/>
        <v>0</v>
      </c>
    </row>
    <row r="267" spans="1:8" hidden="1" x14ac:dyDescent="0.2">
      <c r="C267" t="s">
        <v>4122</v>
      </c>
      <c r="D267" s="295">
        <v>103013.29</v>
      </c>
      <c r="E267" s="288"/>
      <c r="F267" s="288"/>
      <c r="G267">
        <f t="shared" si="8"/>
        <v>0</v>
      </c>
      <c r="H267">
        <f t="shared" si="9"/>
        <v>0</v>
      </c>
    </row>
    <row r="268" spans="1:8" hidden="1" x14ac:dyDescent="0.2">
      <c r="C268" t="s">
        <v>4123</v>
      </c>
      <c r="D268" s="295">
        <v>22352.55</v>
      </c>
      <c r="E268" s="288"/>
      <c r="F268" s="288" t="s">
        <v>3678</v>
      </c>
      <c r="G268" t="str">
        <f t="shared" si="8"/>
        <v xml:space="preserve">  IF_0204_1360</v>
      </c>
      <c r="H268">
        <f t="shared" si="9"/>
        <v>0</v>
      </c>
    </row>
    <row r="269" spans="1:8" hidden="1" x14ac:dyDescent="0.2">
      <c r="B269" t="s">
        <v>4079</v>
      </c>
      <c r="C269" t="s">
        <v>4124</v>
      </c>
      <c r="D269" s="295">
        <v>76320.289999999994</v>
      </c>
      <c r="E269" s="288"/>
      <c r="F269" s="288"/>
      <c r="G269">
        <f t="shared" si="8"/>
        <v>0</v>
      </c>
      <c r="H269">
        <f t="shared" si="9"/>
        <v>0</v>
      </c>
    </row>
    <row r="270" spans="1:8" hidden="1" x14ac:dyDescent="0.2">
      <c r="C270" t="s">
        <v>4125</v>
      </c>
      <c r="D270" s="295">
        <v>4684985.1900000004</v>
      </c>
      <c r="E270" s="288"/>
      <c r="F270" s="288"/>
      <c r="G270">
        <f t="shared" si="8"/>
        <v>0</v>
      </c>
      <c r="H270">
        <f t="shared" si="9"/>
        <v>0</v>
      </c>
    </row>
    <row r="271" spans="1:8" hidden="1" x14ac:dyDescent="0.2">
      <c r="C271" t="s">
        <v>4126</v>
      </c>
      <c r="D271" s="295">
        <v>2322001.71</v>
      </c>
      <c r="E271" s="288"/>
      <c r="F271" s="288"/>
      <c r="G271">
        <f t="shared" si="8"/>
        <v>0</v>
      </c>
      <c r="H271">
        <f t="shared" si="9"/>
        <v>0</v>
      </c>
    </row>
    <row r="272" spans="1:8" hidden="1" x14ac:dyDescent="0.2">
      <c r="A272" t="s">
        <v>4127</v>
      </c>
      <c r="B272" t="s">
        <v>4082</v>
      </c>
      <c r="C272" t="s">
        <v>4128</v>
      </c>
      <c r="D272" s="295">
        <v>37167.46</v>
      </c>
      <c r="E272" s="288"/>
      <c r="F272" s="288"/>
      <c r="G272">
        <f t="shared" si="8"/>
        <v>0</v>
      </c>
      <c r="H272">
        <f t="shared" si="9"/>
        <v>0</v>
      </c>
    </row>
    <row r="273" spans="2:8" hidden="1" x14ac:dyDescent="0.2">
      <c r="C273" t="s">
        <v>4129</v>
      </c>
      <c r="D273" s="295">
        <v>331013.7</v>
      </c>
      <c r="E273" s="288"/>
      <c r="F273" s="288"/>
      <c r="G273">
        <f t="shared" si="8"/>
        <v>0</v>
      </c>
      <c r="H273">
        <f t="shared" si="9"/>
        <v>0</v>
      </c>
    </row>
    <row r="274" spans="2:8" hidden="1" x14ac:dyDescent="0.2">
      <c r="C274" t="s">
        <v>4130</v>
      </c>
      <c r="D274" s="295">
        <v>442436.43</v>
      </c>
      <c r="E274" s="288"/>
      <c r="F274" s="288"/>
      <c r="G274">
        <f t="shared" si="8"/>
        <v>0</v>
      </c>
      <c r="H274">
        <f t="shared" si="9"/>
        <v>0</v>
      </c>
    </row>
    <row r="275" spans="2:8" hidden="1" x14ac:dyDescent="0.2">
      <c r="B275" t="s">
        <v>4084</v>
      </c>
      <c r="C275" t="s">
        <v>4131</v>
      </c>
      <c r="D275" s="295">
        <v>37395.43</v>
      </c>
      <c r="E275" s="288"/>
      <c r="F275" s="288"/>
      <c r="G275">
        <f t="shared" si="8"/>
        <v>0</v>
      </c>
      <c r="H275">
        <f t="shared" si="9"/>
        <v>0</v>
      </c>
    </row>
    <row r="276" spans="2:8" hidden="1" x14ac:dyDescent="0.2">
      <c r="C276" t="s">
        <v>4132</v>
      </c>
      <c r="D276" s="295">
        <v>338627.16</v>
      </c>
      <c r="E276" s="288"/>
      <c r="F276" s="288"/>
      <c r="G276">
        <f t="shared" si="8"/>
        <v>0</v>
      </c>
      <c r="H276">
        <f t="shared" si="9"/>
        <v>0</v>
      </c>
    </row>
    <row r="277" spans="2:8" hidden="1" x14ac:dyDescent="0.2">
      <c r="C277" t="s">
        <v>4133</v>
      </c>
      <c r="D277" s="295">
        <v>448486.51</v>
      </c>
      <c r="E277" s="288"/>
      <c r="F277" s="288"/>
      <c r="G277">
        <f t="shared" si="8"/>
        <v>0</v>
      </c>
      <c r="H277">
        <f t="shared" si="9"/>
        <v>0</v>
      </c>
    </row>
    <row r="278" spans="2:8" hidden="1" x14ac:dyDescent="0.2">
      <c r="B278" t="s">
        <v>4086</v>
      </c>
      <c r="C278" t="s">
        <v>4134</v>
      </c>
      <c r="D278" s="295">
        <v>124119.01</v>
      </c>
      <c r="E278" s="288"/>
      <c r="F278" s="288"/>
      <c r="G278">
        <f t="shared" si="8"/>
        <v>0</v>
      </c>
      <c r="H278">
        <f t="shared" si="9"/>
        <v>0</v>
      </c>
    </row>
    <row r="279" spans="2:8" hidden="1" x14ac:dyDescent="0.2">
      <c r="C279" t="s">
        <v>4135</v>
      </c>
      <c r="D279" s="295">
        <v>472687.02</v>
      </c>
      <c r="E279" s="288"/>
      <c r="F279" s="288"/>
      <c r="G279">
        <f t="shared" si="8"/>
        <v>0</v>
      </c>
      <c r="H279">
        <f t="shared" si="9"/>
        <v>0</v>
      </c>
    </row>
    <row r="280" spans="2:8" hidden="1" x14ac:dyDescent="0.2">
      <c r="C280" t="s">
        <v>4136</v>
      </c>
      <c r="D280" s="295">
        <v>923974.79</v>
      </c>
      <c r="E280" s="288"/>
      <c r="F280" s="288"/>
      <c r="G280">
        <f t="shared" si="8"/>
        <v>0</v>
      </c>
      <c r="H280">
        <f t="shared" si="9"/>
        <v>0</v>
      </c>
    </row>
    <row r="281" spans="2:8" hidden="1" x14ac:dyDescent="0.2">
      <c r="B281" t="s">
        <v>4088</v>
      </c>
      <c r="C281" t="s">
        <v>4137</v>
      </c>
      <c r="D281" s="295">
        <v>70288.53</v>
      </c>
      <c r="E281" s="288"/>
      <c r="F281" s="288"/>
      <c r="G281">
        <f t="shared" si="8"/>
        <v>0</v>
      </c>
      <c r="H281">
        <f t="shared" si="9"/>
        <v>0</v>
      </c>
    </row>
    <row r="282" spans="2:8" hidden="1" x14ac:dyDescent="0.2">
      <c r="C282" t="s">
        <v>4138</v>
      </c>
      <c r="D282" s="295">
        <v>460190.18</v>
      </c>
      <c r="E282" s="288"/>
      <c r="F282" s="288"/>
      <c r="G282">
        <f t="shared" si="8"/>
        <v>0</v>
      </c>
      <c r="H282">
        <f t="shared" si="9"/>
        <v>0</v>
      </c>
    </row>
    <row r="283" spans="2:8" hidden="1" x14ac:dyDescent="0.2">
      <c r="C283" t="s">
        <v>4139</v>
      </c>
      <c r="D283" s="295">
        <v>1169816.1499999999</v>
      </c>
      <c r="E283" s="288"/>
      <c r="F283" s="288"/>
      <c r="G283">
        <f t="shared" si="8"/>
        <v>0</v>
      </c>
      <c r="H283">
        <f t="shared" si="9"/>
        <v>0</v>
      </c>
    </row>
    <row r="284" spans="2:8" hidden="1" x14ac:dyDescent="0.2">
      <c r="B284" t="s">
        <v>4090</v>
      </c>
      <c r="C284" t="s">
        <v>4140</v>
      </c>
      <c r="D284" s="295">
        <v>38022.33</v>
      </c>
      <c r="E284" s="288"/>
      <c r="F284" s="288"/>
      <c r="G284">
        <f t="shared" si="8"/>
        <v>0</v>
      </c>
      <c r="H284">
        <f t="shared" si="9"/>
        <v>0</v>
      </c>
    </row>
    <row r="285" spans="2:8" hidden="1" x14ac:dyDescent="0.2">
      <c r="C285" t="s">
        <v>4141</v>
      </c>
      <c r="D285" s="295">
        <v>338627.16</v>
      </c>
      <c r="E285" s="288"/>
      <c r="F285" s="288"/>
      <c r="G285">
        <f t="shared" si="8"/>
        <v>0</v>
      </c>
      <c r="H285">
        <f t="shared" si="9"/>
        <v>0</v>
      </c>
    </row>
    <row r="286" spans="2:8" hidden="1" x14ac:dyDescent="0.2">
      <c r="C286" t="s">
        <v>4142</v>
      </c>
      <c r="D286" s="295">
        <v>448486.51</v>
      </c>
      <c r="E286" s="288"/>
      <c r="F286" s="288"/>
      <c r="G286">
        <f t="shared" si="8"/>
        <v>0</v>
      </c>
      <c r="H286">
        <f t="shared" si="9"/>
        <v>0</v>
      </c>
    </row>
    <row r="287" spans="2:8" hidden="1" x14ac:dyDescent="0.2">
      <c r="B287" t="s">
        <v>4092</v>
      </c>
      <c r="C287" t="s">
        <v>4143</v>
      </c>
      <c r="D287" s="295">
        <v>50452.68</v>
      </c>
      <c r="E287" s="288"/>
      <c r="F287" s="288"/>
      <c r="G287">
        <f t="shared" si="8"/>
        <v>0</v>
      </c>
      <c r="H287">
        <f t="shared" si="9"/>
        <v>0</v>
      </c>
    </row>
    <row r="288" spans="2:8" hidden="1" x14ac:dyDescent="0.2">
      <c r="C288" t="s">
        <v>4144</v>
      </c>
      <c r="D288" s="295">
        <v>727455.99</v>
      </c>
      <c r="E288" s="288"/>
      <c r="F288" s="288"/>
      <c r="G288">
        <f t="shared" si="8"/>
        <v>0</v>
      </c>
      <c r="H288">
        <f t="shared" si="9"/>
        <v>0</v>
      </c>
    </row>
    <row r="289" spans="1:8" hidden="1" x14ac:dyDescent="0.2">
      <c r="C289" t="s">
        <v>4145</v>
      </c>
      <c r="D289" s="295">
        <v>920834.25</v>
      </c>
      <c r="E289" s="288"/>
      <c r="F289" s="288"/>
      <c r="G289">
        <f t="shared" si="8"/>
        <v>0</v>
      </c>
      <c r="H289">
        <f t="shared" si="9"/>
        <v>0</v>
      </c>
    </row>
    <row r="290" spans="1:8" hidden="1" x14ac:dyDescent="0.2">
      <c r="B290" t="s">
        <v>4077</v>
      </c>
      <c r="C290" t="s">
        <v>4146</v>
      </c>
      <c r="D290" s="295">
        <v>611060.93000000005</v>
      </c>
      <c r="E290" s="288"/>
      <c r="F290" s="288"/>
      <c r="G290">
        <f t="shared" si="8"/>
        <v>0</v>
      </c>
      <c r="H290">
        <f t="shared" si="9"/>
        <v>0</v>
      </c>
    </row>
    <row r="291" spans="1:8" hidden="1" x14ac:dyDescent="0.2">
      <c r="C291" t="s">
        <v>4147</v>
      </c>
      <c r="D291" s="295">
        <v>12041.08</v>
      </c>
      <c r="E291" s="288"/>
      <c r="F291" s="288"/>
      <c r="G291">
        <f t="shared" si="8"/>
        <v>0</v>
      </c>
      <c r="H291">
        <f t="shared" si="9"/>
        <v>0</v>
      </c>
    </row>
    <row r="292" spans="1:8" hidden="1" x14ac:dyDescent="0.2">
      <c r="C292" t="s">
        <v>4148</v>
      </c>
      <c r="D292" s="295">
        <v>9617.6299999999992</v>
      </c>
      <c r="E292" s="288"/>
      <c r="F292" s="288"/>
      <c r="G292">
        <f t="shared" si="8"/>
        <v>0</v>
      </c>
      <c r="H292">
        <f t="shared" si="9"/>
        <v>0</v>
      </c>
    </row>
    <row r="293" spans="1:8" hidden="1" x14ac:dyDescent="0.2">
      <c r="C293" t="s">
        <v>4149</v>
      </c>
      <c r="D293" s="295">
        <v>941680.24</v>
      </c>
      <c r="E293" s="288"/>
      <c r="F293" s="288"/>
      <c r="G293">
        <f t="shared" si="8"/>
        <v>0</v>
      </c>
      <c r="H293">
        <f t="shared" si="9"/>
        <v>0</v>
      </c>
    </row>
    <row r="294" spans="1:8" hidden="1" x14ac:dyDescent="0.2">
      <c r="C294" t="s">
        <v>4150</v>
      </c>
      <c r="D294" s="295">
        <v>12041.08</v>
      </c>
      <c r="E294" s="288"/>
      <c r="F294" s="288"/>
      <c r="G294">
        <f t="shared" si="8"/>
        <v>0</v>
      </c>
      <c r="H294">
        <f t="shared" si="9"/>
        <v>0</v>
      </c>
    </row>
    <row r="295" spans="1:8" hidden="1" x14ac:dyDescent="0.2">
      <c r="C295" t="s">
        <v>4151</v>
      </c>
      <c r="D295" s="295">
        <v>14398.43</v>
      </c>
      <c r="E295" s="288"/>
      <c r="F295" s="288"/>
      <c r="G295">
        <f t="shared" si="8"/>
        <v>0</v>
      </c>
      <c r="H295">
        <f t="shared" si="9"/>
        <v>0</v>
      </c>
    </row>
    <row r="296" spans="1:8" hidden="1" x14ac:dyDescent="0.2">
      <c r="B296" t="s">
        <v>4094</v>
      </c>
      <c r="C296" t="s">
        <v>4152</v>
      </c>
      <c r="D296" s="295">
        <v>17906.82</v>
      </c>
      <c r="E296" s="288"/>
      <c r="F296" s="288"/>
      <c r="G296">
        <f t="shared" si="8"/>
        <v>0</v>
      </c>
      <c r="H296">
        <f t="shared" si="9"/>
        <v>0</v>
      </c>
    </row>
    <row r="297" spans="1:8" hidden="1" x14ac:dyDescent="0.2">
      <c r="C297" t="s">
        <v>4153</v>
      </c>
      <c r="D297" s="295">
        <v>80526.23</v>
      </c>
      <c r="E297" s="288"/>
      <c r="F297" s="288"/>
      <c r="G297">
        <f t="shared" si="8"/>
        <v>0</v>
      </c>
      <c r="H297">
        <f t="shared" si="9"/>
        <v>0</v>
      </c>
    </row>
    <row r="298" spans="1:8" hidden="1" x14ac:dyDescent="0.2">
      <c r="C298" t="s">
        <v>4154</v>
      </c>
      <c r="D298" s="295">
        <v>194667.72</v>
      </c>
      <c r="E298" s="288"/>
      <c r="F298" s="288"/>
      <c r="G298">
        <f t="shared" si="8"/>
        <v>0</v>
      </c>
      <c r="H298">
        <f t="shared" si="9"/>
        <v>0</v>
      </c>
    </row>
    <row r="299" spans="1:8" hidden="1" x14ac:dyDescent="0.2">
      <c r="B299" t="s">
        <v>4096</v>
      </c>
      <c r="C299" t="s">
        <v>4155</v>
      </c>
      <c r="D299" s="295">
        <v>48240.55</v>
      </c>
      <c r="E299" s="288"/>
      <c r="F299" s="288"/>
      <c r="G299">
        <f t="shared" si="8"/>
        <v>0</v>
      </c>
      <c r="H299">
        <f t="shared" si="9"/>
        <v>0</v>
      </c>
    </row>
    <row r="300" spans="1:8" hidden="1" x14ac:dyDescent="0.2">
      <c r="C300" t="s">
        <v>4156</v>
      </c>
      <c r="D300" s="295">
        <v>354300.07</v>
      </c>
      <c r="E300" s="288"/>
      <c r="F300" s="288"/>
      <c r="G300">
        <f t="shared" si="8"/>
        <v>0</v>
      </c>
      <c r="H300">
        <f t="shared" si="9"/>
        <v>0</v>
      </c>
    </row>
    <row r="301" spans="1:8" hidden="1" x14ac:dyDescent="0.2">
      <c r="C301" t="s">
        <v>4157</v>
      </c>
      <c r="D301" s="295">
        <v>577226.93000000005</v>
      </c>
      <c r="E301" s="288"/>
      <c r="F301" s="288"/>
      <c r="G301">
        <f t="shared" si="8"/>
        <v>0</v>
      </c>
      <c r="H301">
        <f t="shared" si="9"/>
        <v>0</v>
      </c>
    </row>
    <row r="302" spans="1:8" hidden="1" x14ac:dyDescent="0.2">
      <c r="A302" t="s">
        <v>4158</v>
      </c>
      <c r="B302" t="s">
        <v>4159</v>
      </c>
      <c r="C302" t="s">
        <v>4160</v>
      </c>
      <c r="D302" s="295">
        <v>34249565.450000003</v>
      </c>
      <c r="E302" s="288"/>
      <c r="F302" s="288"/>
      <c r="G302">
        <f t="shared" si="8"/>
        <v>0</v>
      </c>
      <c r="H302">
        <f t="shared" si="9"/>
        <v>0</v>
      </c>
    </row>
    <row r="303" spans="1:8" hidden="1" x14ac:dyDescent="0.2">
      <c r="A303" t="s">
        <v>4161</v>
      </c>
      <c r="B303" t="s">
        <v>4162</v>
      </c>
      <c r="C303" t="s">
        <v>4163</v>
      </c>
      <c r="D303" s="295">
        <v>2003743.65</v>
      </c>
      <c r="E303" s="288"/>
      <c r="F303" s="288"/>
      <c r="G303">
        <f t="shared" si="8"/>
        <v>0</v>
      </c>
      <c r="H303">
        <f t="shared" si="9"/>
        <v>0</v>
      </c>
    </row>
    <row r="304" spans="1:8" hidden="1" x14ac:dyDescent="0.2">
      <c r="A304" t="s">
        <v>4164</v>
      </c>
      <c r="B304" t="s">
        <v>4165</v>
      </c>
      <c r="C304" t="s">
        <v>4166</v>
      </c>
      <c r="D304" s="295">
        <v>23790368.940000001</v>
      </c>
      <c r="E304" s="288"/>
      <c r="F304" s="288"/>
      <c r="G304">
        <f t="shared" si="8"/>
        <v>0</v>
      </c>
      <c r="H304">
        <f t="shared" si="9"/>
        <v>0</v>
      </c>
    </row>
    <row r="305" spans="1:8" hidden="1" x14ac:dyDescent="0.2">
      <c r="A305" t="s">
        <v>4167</v>
      </c>
      <c r="B305" t="s">
        <v>4168</v>
      </c>
      <c r="C305" t="s">
        <v>4169</v>
      </c>
      <c r="D305" s="295">
        <v>26417734.41</v>
      </c>
      <c r="E305" s="288"/>
      <c r="F305" s="288"/>
      <c r="G305">
        <f t="shared" si="8"/>
        <v>0</v>
      </c>
      <c r="H305">
        <f t="shared" si="9"/>
        <v>0</v>
      </c>
    </row>
    <row r="306" spans="1:8" hidden="1" x14ac:dyDescent="0.2">
      <c r="A306" t="s">
        <v>4170</v>
      </c>
      <c r="B306" t="s">
        <v>4171</v>
      </c>
      <c r="C306" t="s">
        <v>4172</v>
      </c>
      <c r="D306" s="295">
        <v>9849103.6199999992</v>
      </c>
      <c r="E306" s="288"/>
      <c r="F306" s="288"/>
      <c r="G306">
        <f t="shared" si="8"/>
        <v>0</v>
      </c>
      <c r="H306">
        <f t="shared" si="9"/>
        <v>0</v>
      </c>
    </row>
    <row r="307" spans="1:8" hidden="1" x14ac:dyDescent="0.2">
      <c r="C307" t="s">
        <v>4173</v>
      </c>
      <c r="D307" s="295">
        <v>11389693.24</v>
      </c>
      <c r="E307" s="288"/>
      <c r="F307" s="288"/>
      <c r="G307">
        <f t="shared" si="8"/>
        <v>0</v>
      </c>
      <c r="H307">
        <f t="shared" si="9"/>
        <v>0</v>
      </c>
    </row>
    <row r="308" spans="1:8" hidden="1" x14ac:dyDescent="0.2">
      <c r="C308" t="s">
        <v>4174</v>
      </c>
      <c r="D308" s="295">
        <v>11694967</v>
      </c>
      <c r="E308" s="288"/>
      <c r="F308" s="288"/>
      <c r="G308">
        <f t="shared" si="8"/>
        <v>0</v>
      </c>
      <c r="H308">
        <f t="shared" si="9"/>
        <v>0</v>
      </c>
    </row>
    <row r="309" spans="1:8" hidden="1" x14ac:dyDescent="0.2">
      <c r="A309" t="s">
        <v>4175</v>
      </c>
      <c r="B309" t="s">
        <v>4176</v>
      </c>
      <c r="C309" t="s">
        <v>4177</v>
      </c>
      <c r="D309" s="295">
        <v>1646575.75</v>
      </c>
      <c r="E309" s="288"/>
      <c r="F309" s="288"/>
      <c r="G309">
        <f t="shared" si="8"/>
        <v>0</v>
      </c>
      <c r="H309">
        <f t="shared" si="9"/>
        <v>0</v>
      </c>
    </row>
    <row r="310" spans="1:8" hidden="1" x14ac:dyDescent="0.2">
      <c r="C310" t="s">
        <v>4178</v>
      </c>
      <c r="D310" s="295">
        <v>1061302.42</v>
      </c>
      <c r="E310" s="288"/>
      <c r="F310" s="288"/>
      <c r="G310">
        <f t="shared" si="8"/>
        <v>0</v>
      </c>
      <c r="H310">
        <f t="shared" si="9"/>
        <v>0</v>
      </c>
    </row>
    <row r="311" spans="1:8" hidden="1" x14ac:dyDescent="0.2">
      <c r="C311" t="s">
        <v>4179</v>
      </c>
      <c r="D311" s="295">
        <v>497800</v>
      </c>
      <c r="E311" s="288"/>
      <c r="F311" s="288"/>
      <c r="G311">
        <f t="shared" si="8"/>
        <v>0</v>
      </c>
      <c r="H311">
        <f t="shared" si="9"/>
        <v>0</v>
      </c>
    </row>
    <row r="312" spans="1:8" hidden="1" x14ac:dyDescent="0.2">
      <c r="C312" t="s">
        <v>4180</v>
      </c>
      <c r="D312" s="295">
        <v>450397.29</v>
      </c>
      <c r="E312" s="288"/>
      <c r="F312" s="288"/>
      <c r="G312">
        <f t="shared" si="8"/>
        <v>0</v>
      </c>
      <c r="H312">
        <f t="shared" si="9"/>
        <v>0</v>
      </c>
    </row>
    <row r="313" spans="1:8" hidden="1" x14ac:dyDescent="0.2">
      <c r="C313" t="s">
        <v>4181</v>
      </c>
      <c r="D313" s="295">
        <v>4309552.67</v>
      </c>
      <c r="E313" s="288"/>
      <c r="F313" s="288"/>
      <c r="G313">
        <f t="shared" si="8"/>
        <v>0</v>
      </c>
      <c r="H313">
        <f t="shared" si="9"/>
        <v>0</v>
      </c>
    </row>
    <row r="314" spans="1:8" hidden="1" x14ac:dyDescent="0.2">
      <c r="C314" t="s">
        <v>4182</v>
      </c>
      <c r="D314" s="295">
        <v>2681568.2000000002</v>
      </c>
      <c r="E314" s="288"/>
      <c r="F314" s="288"/>
      <c r="G314">
        <f t="shared" si="8"/>
        <v>0</v>
      </c>
      <c r="H314">
        <f t="shared" si="9"/>
        <v>0</v>
      </c>
    </row>
    <row r="315" spans="1:8" hidden="1" x14ac:dyDescent="0.2">
      <c r="C315" t="s">
        <v>4183</v>
      </c>
      <c r="D315" s="295">
        <v>489599.68</v>
      </c>
      <c r="E315" s="288"/>
      <c r="F315" s="288"/>
      <c r="G315">
        <f t="shared" si="8"/>
        <v>0</v>
      </c>
      <c r="H315">
        <f t="shared" si="9"/>
        <v>0</v>
      </c>
    </row>
    <row r="316" spans="1:8" hidden="1" x14ac:dyDescent="0.2">
      <c r="C316" t="s">
        <v>4184</v>
      </c>
      <c r="D316" s="295">
        <v>234929.94</v>
      </c>
      <c r="E316" s="288"/>
      <c r="F316" s="288"/>
      <c r="G316">
        <f t="shared" si="8"/>
        <v>0</v>
      </c>
      <c r="H316">
        <f t="shared" si="9"/>
        <v>0</v>
      </c>
    </row>
    <row r="317" spans="1:8" hidden="1" x14ac:dyDescent="0.2">
      <c r="C317" s="300" t="s">
        <v>4185</v>
      </c>
      <c r="D317" s="301">
        <v>1379345.59</v>
      </c>
      <c r="E317" s="288"/>
      <c r="F317" s="288" t="s">
        <v>3678</v>
      </c>
      <c r="G317" t="str">
        <f t="shared" si="8"/>
        <v xml:space="preserve">  IF_0402_1420</v>
      </c>
      <c r="H317">
        <f t="shared" si="9"/>
        <v>0</v>
      </c>
    </row>
    <row r="318" spans="1:8" hidden="1" x14ac:dyDescent="0.2">
      <c r="C318" t="s">
        <v>4186</v>
      </c>
      <c r="D318" s="295">
        <v>757423.83</v>
      </c>
      <c r="E318" s="288"/>
      <c r="F318" s="288"/>
      <c r="G318">
        <f t="shared" si="8"/>
        <v>0</v>
      </c>
      <c r="H318">
        <f t="shared" si="9"/>
        <v>0</v>
      </c>
    </row>
    <row r="319" spans="1:8" hidden="1" x14ac:dyDescent="0.2">
      <c r="C319" t="s">
        <v>4187</v>
      </c>
      <c r="D319" s="295">
        <v>1457825.01</v>
      </c>
      <c r="E319" s="288"/>
      <c r="F319" s="288"/>
      <c r="G319">
        <f t="shared" si="8"/>
        <v>0</v>
      </c>
      <c r="H319">
        <f t="shared" si="9"/>
        <v>0</v>
      </c>
    </row>
    <row r="320" spans="1:8" hidden="1" x14ac:dyDescent="0.2">
      <c r="C320" t="s">
        <v>4188</v>
      </c>
      <c r="D320" s="295">
        <v>848914.54</v>
      </c>
      <c r="E320" s="288"/>
      <c r="F320" s="288"/>
      <c r="G320">
        <f t="shared" si="8"/>
        <v>0</v>
      </c>
      <c r="H320">
        <f t="shared" si="9"/>
        <v>0</v>
      </c>
    </row>
    <row r="321" spans="1:8" hidden="1" x14ac:dyDescent="0.2">
      <c r="C321" t="s">
        <v>4189</v>
      </c>
      <c r="D321" s="295">
        <v>495380.93</v>
      </c>
      <c r="E321" s="288"/>
      <c r="F321" s="288"/>
      <c r="G321">
        <f t="shared" si="8"/>
        <v>0</v>
      </c>
      <c r="H321">
        <f t="shared" si="9"/>
        <v>0</v>
      </c>
    </row>
    <row r="322" spans="1:8" hidden="1" x14ac:dyDescent="0.2">
      <c r="C322" t="s">
        <v>4190</v>
      </c>
      <c r="D322" s="295">
        <v>262070.8</v>
      </c>
      <c r="E322" s="288"/>
      <c r="F322" s="288"/>
      <c r="G322">
        <f t="shared" si="8"/>
        <v>0</v>
      </c>
      <c r="H322">
        <f t="shared" si="9"/>
        <v>0</v>
      </c>
    </row>
    <row r="323" spans="1:8" hidden="1" x14ac:dyDescent="0.2">
      <c r="C323" t="s">
        <v>4191</v>
      </c>
      <c r="D323" s="295">
        <v>501838.71</v>
      </c>
      <c r="E323" s="288"/>
      <c r="F323" s="288"/>
      <c r="G323">
        <f t="shared" si="8"/>
        <v>0</v>
      </c>
      <c r="H323">
        <f t="shared" si="9"/>
        <v>0</v>
      </c>
    </row>
    <row r="324" spans="1:8" hidden="1" x14ac:dyDescent="0.2">
      <c r="C324" t="s">
        <v>4192</v>
      </c>
      <c r="D324" s="295">
        <v>308350.40999999997</v>
      </c>
      <c r="E324" s="288"/>
      <c r="F324" s="288"/>
      <c r="G324">
        <f t="shared" si="8"/>
        <v>0</v>
      </c>
      <c r="H324">
        <f t="shared" si="9"/>
        <v>0</v>
      </c>
    </row>
    <row r="325" spans="1:8" hidden="1" x14ac:dyDescent="0.2">
      <c r="C325" t="s">
        <v>4193</v>
      </c>
      <c r="D325" s="295">
        <v>4895027.41</v>
      </c>
      <c r="E325" s="288"/>
      <c r="F325" s="288"/>
      <c r="G325">
        <f t="shared" si="8"/>
        <v>0</v>
      </c>
      <c r="H325">
        <f t="shared" si="9"/>
        <v>0</v>
      </c>
    </row>
    <row r="326" spans="1:8" hidden="1" x14ac:dyDescent="0.2">
      <c r="C326" t="s">
        <v>4194</v>
      </c>
      <c r="D326" s="295">
        <v>1301412.8600000001</v>
      </c>
      <c r="E326" s="288"/>
      <c r="F326" s="288"/>
      <c r="G326">
        <f t="shared" ref="G326:G389" si="10">IF(F326="X",C326,0)</f>
        <v>0</v>
      </c>
      <c r="H326">
        <f t="shared" ref="H326:H389" si="11">IF(E326="X",C326,0)</f>
        <v>0</v>
      </c>
    </row>
    <row r="327" spans="1:8" hidden="1" x14ac:dyDescent="0.2">
      <c r="C327" t="s">
        <v>4195</v>
      </c>
      <c r="D327" s="295">
        <v>1301412.8600000001</v>
      </c>
      <c r="E327" s="288"/>
      <c r="F327" s="288"/>
      <c r="G327">
        <f t="shared" si="10"/>
        <v>0</v>
      </c>
      <c r="H327">
        <f t="shared" si="11"/>
        <v>0</v>
      </c>
    </row>
    <row r="328" spans="1:8" hidden="1" x14ac:dyDescent="0.2">
      <c r="C328" t="s">
        <v>4196</v>
      </c>
      <c r="D328" s="295">
        <v>1306971.7</v>
      </c>
      <c r="E328" s="288"/>
      <c r="F328" s="288"/>
      <c r="G328">
        <f t="shared" si="10"/>
        <v>0</v>
      </c>
      <c r="H328">
        <f t="shared" si="11"/>
        <v>0</v>
      </c>
    </row>
    <row r="329" spans="1:8" hidden="1" x14ac:dyDescent="0.2">
      <c r="C329" t="s">
        <v>4197</v>
      </c>
      <c r="D329" s="295">
        <v>1331345.1100000001</v>
      </c>
      <c r="E329" s="288"/>
      <c r="F329" s="288"/>
      <c r="G329">
        <f t="shared" si="10"/>
        <v>0</v>
      </c>
      <c r="H329">
        <f t="shared" si="11"/>
        <v>0</v>
      </c>
    </row>
    <row r="330" spans="1:8" hidden="1" x14ac:dyDescent="0.2">
      <c r="C330" t="s">
        <v>4198</v>
      </c>
      <c r="D330" s="295">
        <v>1331345.1100000001</v>
      </c>
      <c r="E330" s="288"/>
      <c r="F330" s="288"/>
      <c r="G330">
        <f t="shared" si="10"/>
        <v>0</v>
      </c>
      <c r="H330">
        <f t="shared" si="11"/>
        <v>0</v>
      </c>
    </row>
    <row r="331" spans="1:8" hidden="1" x14ac:dyDescent="0.2">
      <c r="C331" t="s">
        <v>4199</v>
      </c>
      <c r="D331" s="295">
        <v>1331345.1100000001</v>
      </c>
      <c r="E331" s="288"/>
      <c r="F331" s="288"/>
      <c r="G331">
        <f t="shared" si="10"/>
        <v>0</v>
      </c>
      <c r="H331">
        <f t="shared" si="11"/>
        <v>0</v>
      </c>
    </row>
    <row r="332" spans="1:8" hidden="1" x14ac:dyDescent="0.2">
      <c r="A332" t="s">
        <v>4200</v>
      </c>
      <c r="B332" t="s">
        <v>4201</v>
      </c>
      <c r="C332" t="s">
        <v>4202</v>
      </c>
      <c r="D332" s="295">
        <v>11018953.51</v>
      </c>
      <c r="E332" s="288"/>
      <c r="F332" s="288"/>
      <c r="G332">
        <f t="shared" si="10"/>
        <v>0</v>
      </c>
      <c r="H332">
        <f t="shared" si="11"/>
        <v>0</v>
      </c>
    </row>
    <row r="333" spans="1:8" hidden="1" x14ac:dyDescent="0.2">
      <c r="A333" t="s">
        <v>4203</v>
      </c>
      <c r="B333" t="s">
        <v>4201</v>
      </c>
      <c r="C333" t="s">
        <v>4204</v>
      </c>
      <c r="D333" s="295">
        <v>26649271.629999999</v>
      </c>
      <c r="E333" s="288"/>
      <c r="F333" s="288"/>
      <c r="G333">
        <f t="shared" si="10"/>
        <v>0</v>
      </c>
      <c r="H333">
        <f t="shared" si="11"/>
        <v>0</v>
      </c>
    </row>
    <row r="334" spans="1:8" hidden="1" x14ac:dyDescent="0.2">
      <c r="A334" t="s">
        <v>4205</v>
      </c>
      <c r="B334" t="s">
        <v>4201</v>
      </c>
      <c r="C334" t="s">
        <v>4206</v>
      </c>
      <c r="D334" s="295">
        <v>48362472.119999997</v>
      </c>
      <c r="E334" s="288"/>
      <c r="F334" s="288"/>
      <c r="G334">
        <f t="shared" si="10"/>
        <v>0</v>
      </c>
      <c r="H334">
        <f t="shared" si="11"/>
        <v>0</v>
      </c>
    </row>
    <row r="335" spans="1:8" hidden="1" x14ac:dyDescent="0.2">
      <c r="A335" t="s">
        <v>4207</v>
      </c>
      <c r="B335" t="s">
        <v>4208</v>
      </c>
      <c r="C335" t="s">
        <v>4209</v>
      </c>
      <c r="D335" s="295">
        <v>1885625.25</v>
      </c>
      <c r="E335" s="288"/>
      <c r="F335" s="288"/>
      <c r="G335">
        <f t="shared" si="10"/>
        <v>0</v>
      </c>
      <c r="H335">
        <f t="shared" si="11"/>
        <v>0</v>
      </c>
    </row>
    <row r="336" spans="1:8" hidden="1" x14ac:dyDescent="0.2">
      <c r="A336" t="s">
        <v>4210</v>
      </c>
      <c r="B336" t="s">
        <v>3956</v>
      </c>
      <c r="C336" t="s">
        <v>4211</v>
      </c>
      <c r="D336" s="295">
        <v>273805.75</v>
      </c>
      <c r="E336" s="288"/>
      <c r="F336" s="288"/>
      <c r="G336">
        <f t="shared" si="10"/>
        <v>0</v>
      </c>
      <c r="H336">
        <f t="shared" si="11"/>
        <v>0</v>
      </c>
    </row>
    <row r="337" spans="1:8" hidden="1" x14ac:dyDescent="0.2">
      <c r="A337" t="s">
        <v>4212</v>
      </c>
      <c r="B337" t="s">
        <v>3840</v>
      </c>
      <c r="C337" t="s">
        <v>4213</v>
      </c>
      <c r="D337" s="295">
        <v>264941.88</v>
      </c>
      <c r="E337" s="288"/>
      <c r="F337" s="288"/>
      <c r="G337">
        <f t="shared" si="10"/>
        <v>0</v>
      </c>
      <c r="H337">
        <f t="shared" si="11"/>
        <v>0</v>
      </c>
    </row>
    <row r="338" spans="1:8" hidden="1" x14ac:dyDescent="0.2">
      <c r="A338" t="s">
        <v>4214</v>
      </c>
      <c r="B338" t="s">
        <v>4215</v>
      </c>
      <c r="C338" t="s">
        <v>4216</v>
      </c>
      <c r="D338" s="295">
        <v>1002655.44</v>
      </c>
      <c r="E338" s="288"/>
      <c r="F338" s="288"/>
      <c r="G338">
        <f t="shared" si="10"/>
        <v>0</v>
      </c>
      <c r="H338">
        <f t="shared" si="11"/>
        <v>0</v>
      </c>
    </row>
    <row r="339" spans="1:8" hidden="1" x14ac:dyDescent="0.2">
      <c r="A339" t="s">
        <v>4217</v>
      </c>
      <c r="B339" t="s">
        <v>4218</v>
      </c>
      <c r="C339" t="s">
        <v>4219</v>
      </c>
      <c r="D339" s="295">
        <v>560206.5</v>
      </c>
      <c r="E339" s="288"/>
      <c r="F339" s="288"/>
      <c r="G339">
        <f t="shared" si="10"/>
        <v>0</v>
      </c>
      <c r="H339">
        <f t="shared" si="11"/>
        <v>0</v>
      </c>
    </row>
    <row r="340" spans="1:8" hidden="1" x14ac:dyDescent="0.2">
      <c r="A340" t="s">
        <v>4220</v>
      </c>
      <c r="B340" t="s">
        <v>3707</v>
      </c>
      <c r="C340" t="s">
        <v>4221</v>
      </c>
      <c r="D340" s="295">
        <v>1490472.75</v>
      </c>
      <c r="E340" s="288"/>
      <c r="F340" s="288"/>
      <c r="G340">
        <f t="shared" si="10"/>
        <v>0</v>
      </c>
      <c r="H340">
        <f t="shared" si="11"/>
        <v>0</v>
      </c>
    </row>
    <row r="341" spans="1:8" hidden="1" x14ac:dyDescent="0.2">
      <c r="B341" t="s">
        <v>4222</v>
      </c>
      <c r="C341" t="s">
        <v>4223</v>
      </c>
      <c r="D341" s="295">
        <v>308594.09000000003</v>
      </c>
      <c r="E341" s="288"/>
      <c r="F341" s="288"/>
      <c r="G341">
        <f t="shared" si="10"/>
        <v>0</v>
      </c>
      <c r="H341">
        <f t="shared" si="11"/>
        <v>0</v>
      </c>
    </row>
    <row r="342" spans="1:8" hidden="1" x14ac:dyDescent="0.2">
      <c r="A342" t="s">
        <v>4224</v>
      </c>
      <c r="B342" t="s">
        <v>4225</v>
      </c>
      <c r="C342" t="s">
        <v>4226</v>
      </c>
      <c r="D342" s="295">
        <v>1520726.58</v>
      </c>
      <c r="E342" s="288"/>
      <c r="F342" s="288"/>
      <c r="G342">
        <f t="shared" si="10"/>
        <v>0</v>
      </c>
      <c r="H342">
        <f t="shared" si="11"/>
        <v>0</v>
      </c>
    </row>
    <row r="343" spans="1:8" hidden="1" x14ac:dyDescent="0.2">
      <c r="A343" t="s">
        <v>4227</v>
      </c>
      <c r="B343" t="s">
        <v>3807</v>
      </c>
      <c r="C343" t="s">
        <v>4228</v>
      </c>
      <c r="D343" s="295">
        <v>1734171.07</v>
      </c>
      <c r="E343" s="288"/>
      <c r="F343" s="288"/>
      <c r="G343">
        <f t="shared" si="10"/>
        <v>0</v>
      </c>
      <c r="H343">
        <f t="shared" si="11"/>
        <v>0</v>
      </c>
    </row>
    <row r="344" spans="1:8" hidden="1" x14ac:dyDescent="0.2">
      <c r="A344" t="s">
        <v>4229</v>
      </c>
      <c r="B344" t="s">
        <v>3796</v>
      </c>
      <c r="C344" t="s">
        <v>4230</v>
      </c>
      <c r="D344" s="295">
        <v>3096066.76</v>
      </c>
      <c r="E344" s="288"/>
      <c r="F344" s="288"/>
      <c r="G344">
        <f t="shared" si="10"/>
        <v>0</v>
      </c>
      <c r="H344">
        <f t="shared" si="11"/>
        <v>0</v>
      </c>
    </row>
    <row r="345" spans="1:8" hidden="1" x14ac:dyDescent="0.2">
      <c r="A345" t="s">
        <v>4231</v>
      </c>
      <c r="B345" t="s">
        <v>4232</v>
      </c>
      <c r="C345" t="s">
        <v>4233</v>
      </c>
      <c r="D345" s="295">
        <v>1739674.95</v>
      </c>
      <c r="E345" s="288"/>
      <c r="F345" s="288"/>
      <c r="G345">
        <f t="shared" si="10"/>
        <v>0</v>
      </c>
      <c r="H345">
        <f t="shared" si="11"/>
        <v>0</v>
      </c>
    </row>
    <row r="346" spans="1:8" hidden="1" x14ac:dyDescent="0.2">
      <c r="A346" t="s">
        <v>4234</v>
      </c>
      <c r="B346" t="s">
        <v>4159</v>
      </c>
      <c r="C346" t="s">
        <v>4235</v>
      </c>
      <c r="D346" s="295">
        <v>867102.28</v>
      </c>
      <c r="E346" s="288"/>
      <c r="F346" s="288"/>
      <c r="G346">
        <f t="shared" si="10"/>
        <v>0</v>
      </c>
      <c r="H346">
        <f t="shared" si="11"/>
        <v>0</v>
      </c>
    </row>
    <row r="347" spans="1:8" hidden="1" x14ac:dyDescent="0.2">
      <c r="A347" t="s">
        <v>4236</v>
      </c>
      <c r="B347" t="s">
        <v>4237</v>
      </c>
      <c r="C347" t="s">
        <v>4238</v>
      </c>
      <c r="D347" s="295">
        <v>560206.5</v>
      </c>
      <c r="E347" s="288"/>
      <c r="F347" s="288"/>
      <c r="G347">
        <f t="shared" si="10"/>
        <v>0</v>
      </c>
      <c r="H347">
        <f t="shared" si="11"/>
        <v>0</v>
      </c>
    </row>
    <row r="348" spans="1:8" hidden="1" x14ac:dyDescent="0.2">
      <c r="A348" t="s">
        <v>4239</v>
      </c>
      <c r="B348" t="s">
        <v>4240</v>
      </c>
      <c r="C348" t="s">
        <v>4241</v>
      </c>
      <c r="D348" s="295">
        <v>689906.63</v>
      </c>
      <c r="E348" s="288"/>
      <c r="F348" s="288"/>
      <c r="G348">
        <f t="shared" si="10"/>
        <v>0</v>
      </c>
      <c r="H348">
        <f t="shared" si="11"/>
        <v>0</v>
      </c>
    </row>
    <row r="349" spans="1:8" hidden="1" x14ac:dyDescent="0.2">
      <c r="A349" t="s">
        <v>4242</v>
      </c>
      <c r="B349" t="s">
        <v>3676</v>
      </c>
      <c r="C349" t="s">
        <v>4243</v>
      </c>
      <c r="D349" s="295">
        <v>63947.839999999997</v>
      </c>
      <c r="E349" s="288"/>
      <c r="F349" s="288"/>
      <c r="G349">
        <f t="shared" si="10"/>
        <v>0</v>
      </c>
      <c r="H349">
        <f t="shared" si="11"/>
        <v>0</v>
      </c>
    </row>
    <row r="350" spans="1:8" hidden="1" x14ac:dyDescent="0.2">
      <c r="A350" t="s">
        <v>4244</v>
      </c>
      <c r="B350" t="s">
        <v>3676</v>
      </c>
      <c r="C350" t="s">
        <v>4245</v>
      </c>
      <c r="D350" s="295">
        <v>390533.05</v>
      </c>
      <c r="E350" s="288"/>
      <c r="F350" s="288"/>
      <c r="G350">
        <f t="shared" si="10"/>
        <v>0</v>
      </c>
      <c r="H350">
        <f t="shared" si="11"/>
        <v>0</v>
      </c>
    </row>
    <row r="351" spans="1:8" hidden="1" x14ac:dyDescent="0.2">
      <c r="A351" t="s">
        <v>4246</v>
      </c>
      <c r="B351" t="s">
        <v>4247</v>
      </c>
      <c r="C351" t="s">
        <v>4248</v>
      </c>
      <c r="D351" s="295">
        <v>112041.3</v>
      </c>
      <c r="E351" s="288"/>
      <c r="F351" s="288"/>
      <c r="G351">
        <f t="shared" si="10"/>
        <v>0</v>
      </c>
      <c r="H351">
        <f t="shared" si="11"/>
        <v>0</v>
      </c>
    </row>
    <row r="352" spans="1:8" hidden="1" x14ac:dyDescent="0.2">
      <c r="C352" t="s">
        <v>4249</v>
      </c>
      <c r="D352" s="295">
        <v>410390.75</v>
      </c>
      <c r="E352" s="288"/>
      <c r="F352" s="288"/>
      <c r="G352">
        <f t="shared" si="10"/>
        <v>0</v>
      </c>
      <c r="H352">
        <f t="shared" si="11"/>
        <v>0</v>
      </c>
    </row>
    <row r="353" spans="1:8" hidden="1" x14ac:dyDescent="0.2">
      <c r="C353" t="s">
        <v>4250</v>
      </c>
      <c r="D353" s="295">
        <v>224082.6</v>
      </c>
      <c r="E353" s="288"/>
      <c r="F353" s="288"/>
      <c r="G353">
        <f t="shared" si="10"/>
        <v>0</v>
      </c>
      <c r="H353">
        <f t="shared" si="11"/>
        <v>0</v>
      </c>
    </row>
    <row r="354" spans="1:8" hidden="1" x14ac:dyDescent="0.2">
      <c r="C354" t="s">
        <v>4251</v>
      </c>
      <c r="D354" s="295">
        <v>839659.1</v>
      </c>
      <c r="E354" s="288"/>
      <c r="F354" s="288"/>
      <c r="G354">
        <f t="shared" si="10"/>
        <v>0</v>
      </c>
      <c r="H354">
        <f t="shared" si="11"/>
        <v>0</v>
      </c>
    </row>
    <row r="355" spans="1:8" hidden="1" x14ac:dyDescent="0.2">
      <c r="C355" t="s">
        <v>4252</v>
      </c>
      <c r="D355" s="295">
        <v>112041.3</v>
      </c>
      <c r="E355" s="288"/>
      <c r="F355" s="288"/>
      <c r="G355">
        <f t="shared" si="10"/>
        <v>0</v>
      </c>
      <c r="H355">
        <f t="shared" si="11"/>
        <v>0</v>
      </c>
    </row>
    <row r="356" spans="1:8" hidden="1" x14ac:dyDescent="0.2">
      <c r="C356" t="s">
        <v>4253</v>
      </c>
      <c r="D356" s="295">
        <v>413222.39</v>
      </c>
      <c r="E356" s="288"/>
      <c r="F356" s="288"/>
      <c r="G356">
        <f t="shared" si="10"/>
        <v>0</v>
      </c>
      <c r="H356">
        <f t="shared" si="11"/>
        <v>0</v>
      </c>
    </row>
    <row r="357" spans="1:8" hidden="1" x14ac:dyDescent="0.2">
      <c r="A357" t="s">
        <v>4254</v>
      </c>
      <c r="B357" t="s">
        <v>3756</v>
      </c>
      <c r="C357" t="s">
        <v>4255</v>
      </c>
      <c r="D357" s="295">
        <v>321270.84999999998</v>
      </c>
      <c r="E357" s="288"/>
      <c r="F357" s="288"/>
      <c r="G357">
        <f t="shared" si="10"/>
        <v>0</v>
      </c>
      <c r="H357">
        <f t="shared" si="11"/>
        <v>0</v>
      </c>
    </row>
    <row r="358" spans="1:8" hidden="1" x14ac:dyDescent="0.2">
      <c r="A358" t="s">
        <v>4256</v>
      </c>
      <c r="B358" t="s">
        <v>4257</v>
      </c>
      <c r="C358" t="s">
        <v>4258</v>
      </c>
      <c r="D358" s="295">
        <v>795060.09</v>
      </c>
      <c r="E358" s="288"/>
      <c r="F358" s="288"/>
      <c r="G358">
        <f t="shared" si="10"/>
        <v>0</v>
      </c>
      <c r="H358">
        <f t="shared" si="11"/>
        <v>0</v>
      </c>
    </row>
    <row r="359" spans="1:8" hidden="1" x14ac:dyDescent="0.2">
      <c r="A359" t="s">
        <v>4259</v>
      </c>
      <c r="B359" t="s">
        <v>4260</v>
      </c>
      <c r="C359" t="s">
        <v>4261</v>
      </c>
      <c r="D359" s="295">
        <v>527266.36</v>
      </c>
      <c r="E359" s="288"/>
      <c r="F359" s="288" t="s">
        <v>3678</v>
      </c>
      <c r="G359" t="str">
        <f t="shared" si="10"/>
        <v xml:space="preserve">  AS_0305_2220</v>
      </c>
      <c r="H359">
        <f t="shared" si="11"/>
        <v>0</v>
      </c>
    </row>
    <row r="360" spans="1:8" hidden="1" x14ac:dyDescent="0.2">
      <c r="A360" t="s">
        <v>4262</v>
      </c>
      <c r="B360" t="s">
        <v>4263</v>
      </c>
      <c r="C360" t="s">
        <v>4264</v>
      </c>
      <c r="D360" s="295">
        <v>302261.01</v>
      </c>
      <c r="E360" s="288"/>
      <c r="F360" s="288"/>
      <c r="G360">
        <f t="shared" si="10"/>
        <v>0</v>
      </c>
      <c r="H360">
        <f t="shared" si="11"/>
        <v>0</v>
      </c>
    </row>
    <row r="361" spans="1:8" hidden="1" x14ac:dyDescent="0.2">
      <c r="A361" t="s">
        <v>4265</v>
      </c>
      <c r="B361" t="s">
        <v>4266</v>
      </c>
      <c r="C361" t="s">
        <v>4267</v>
      </c>
      <c r="D361" s="295">
        <v>306886.15000000002</v>
      </c>
      <c r="E361" s="288"/>
      <c r="F361" s="288"/>
      <c r="G361">
        <f t="shared" si="10"/>
        <v>0</v>
      </c>
      <c r="H361">
        <f t="shared" si="11"/>
        <v>0</v>
      </c>
    </row>
    <row r="362" spans="1:8" hidden="1" x14ac:dyDescent="0.2">
      <c r="A362" t="s">
        <v>4268</v>
      </c>
      <c r="B362" t="s">
        <v>4269</v>
      </c>
      <c r="C362" t="s">
        <v>4270</v>
      </c>
      <c r="D362" s="295">
        <v>438451.13</v>
      </c>
      <c r="E362" s="288"/>
      <c r="F362" s="288" t="s">
        <v>3678</v>
      </c>
      <c r="G362" t="str">
        <f t="shared" si="10"/>
        <v xml:space="preserve">  EJ_0305_5080</v>
      </c>
      <c r="H362">
        <f t="shared" si="11"/>
        <v>0</v>
      </c>
    </row>
    <row r="363" spans="1:8" hidden="1" x14ac:dyDescent="0.2">
      <c r="A363" t="s">
        <v>4271</v>
      </c>
      <c r="B363" t="s">
        <v>4272</v>
      </c>
      <c r="C363" t="s">
        <v>4273</v>
      </c>
      <c r="D363" s="295">
        <v>973569.46</v>
      </c>
      <c r="E363" s="288"/>
      <c r="F363" s="288"/>
      <c r="G363">
        <f t="shared" si="10"/>
        <v>0</v>
      </c>
      <c r="H363">
        <f t="shared" si="11"/>
        <v>0</v>
      </c>
    </row>
    <row r="364" spans="1:8" hidden="1" x14ac:dyDescent="0.2">
      <c r="A364" t="s">
        <v>4274</v>
      </c>
      <c r="B364" t="s">
        <v>4218</v>
      </c>
      <c r="C364" t="s">
        <v>4275</v>
      </c>
      <c r="D364" s="295">
        <v>448165.2</v>
      </c>
      <c r="E364" s="288"/>
      <c r="F364" s="288"/>
      <c r="G364">
        <f t="shared" si="10"/>
        <v>0</v>
      </c>
      <c r="H364">
        <f t="shared" si="11"/>
        <v>0</v>
      </c>
    </row>
    <row r="365" spans="1:8" hidden="1" x14ac:dyDescent="0.2">
      <c r="A365" t="s">
        <v>4276</v>
      </c>
      <c r="B365" t="s">
        <v>3810</v>
      </c>
      <c r="C365" t="s">
        <v>4277</v>
      </c>
      <c r="D365" s="295">
        <v>361423.59</v>
      </c>
      <c r="E365" s="288"/>
      <c r="F365" s="288"/>
      <c r="G365">
        <f t="shared" si="10"/>
        <v>0</v>
      </c>
      <c r="H365">
        <f t="shared" si="11"/>
        <v>0</v>
      </c>
    </row>
    <row r="366" spans="1:8" hidden="1" x14ac:dyDescent="0.2">
      <c r="A366" t="s">
        <v>4278</v>
      </c>
      <c r="B366" t="s">
        <v>3784</v>
      </c>
      <c r="C366" s="300" t="s">
        <v>4279</v>
      </c>
      <c r="D366" s="295">
        <v>363346.67</v>
      </c>
      <c r="E366" s="288"/>
      <c r="F366" s="288" t="s">
        <v>3678</v>
      </c>
      <c r="G366" t="str">
        <f t="shared" si="10"/>
        <v xml:space="preserve">  HR_0203_1420</v>
      </c>
      <c r="H366">
        <f t="shared" si="11"/>
        <v>0</v>
      </c>
    </row>
    <row r="367" spans="1:8" hidden="1" x14ac:dyDescent="0.2">
      <c r="A367" t="s">
        <v>4280</v>
      </c>
      <c r="B367" t="s">
        <v>4269</v>
      </c>
      <c r="C367" t="s">
        <v>4281</v>
      </c>
      <c r="D367" s="295">
        <v>755158.36</v>
      </c>
      <c r="E367" s="288"/>
      <c r="F367" s="288"/>
      <c r="G367">
        <f t="shared" si="10"/>
        <v>0</v>
      </c>
      <c r="H367">
        <f t="shared" si="11"/>
        <v>0</v>
      </c>
    </row>
    <row r="368" spans="1:8" hidden="1" x14ac:dyDescent="0.2">
      <c r="A368" t="s">
        <v>4282</v>
      </c>
      <c r="B368" t="s">
        <v>3832</v>
      </c>
      <c r="C368" t="s">
        <v>4283</v>
      </c>
      <c r="D368" s="295">
        <v>1439415.6</v>
      </c>
      <c r="E368" s="288"/>
      <c r="F368" s="288"/>
      <c r="G368">
        <f t="shared" si="10"/>
        <v>0</v>
      </c>
      <c r="H368">
        <f t="shared" si="11"/>
        <v>0</v>
      </c>
    </row>
    <row r="369" spans="1:8" hidden="1" x14ac:dyDescent="0.2">
      <c r="A369" t="s">
        <v>4284</v>
      </c>
      <c r="B369" t="s">
        <v>4215</v>
      </c>
      <c r="C369" t="s">
        <v>4285</v>
      </c>
      <c r="D369" s="295">
        <v>396128.16</v>
      </c>
      <c r="E369" s="288"/>
      <c r="F369" s="288"/>
      <c r="G369">
        <f t="shared" si="10"/>
        <v>0</v>
      </c>
      <c r="H369">
        <f t="shared" si="11"/>
        <v>0</v>
      </c>
    </row>
    <row r="370" spans="1:8" hidden="1" x14ac:dyDescent="0.2">
      <c r="A370" t="s">
        <v>4286</v>
      </c>
      <c r="B370" t="s">
        <v>4287</v>
      </c>
      <c r="C370" t="s">
        <v>4288</v>
      </c>
      <c r="D370" s="295">
        <v>1352523.77</v>
      </c>
      <c r="E370" s="288"/>
      <c r="F370" s="288"/>
      <c r="G370">
        <f t="shared" si="10"/>
        <v>0</v>
      </c>
      <c r="H370">
        <f t="shared" si="11"/>
        <v>0</v>
      </c>
    </row>
    <row r="371" spans="1:8" hidden="1" x14ac:dyDescent="0.2">
      <c r="A371" t="s">
        <v>4289</v>
      </c>
      <c r="B371" t="s">
        <v>4287</v>
      </c>
      <c r="C371" t="s">
        <v>4290</v>
      </c>
      <c r="D371" s="295">
        <v>713611.54</v>
      </c>
      <c r="E371" s="288"/>
      <c r="F371" s="288"/>
      <c r="G371">
        <f t="shared" si="10"/>
        <v>0</v>
      </c>
      <c r="H371">
        <f t="shared" si="11"/>
        <v>0</v>
      </c>
    </row>
    <row r="372" spans="1:8" hidden="1" x14ac:dyDescent="0.2">
      <c r="A372" t="s">
        <v>4291</v>
      </c>
      <c r="B372" t="s">
        <v>3729</v>
      </c>
      <c r="C372" t="s">
        <v>4292</v>
      </c>
      <c r="D372" s="295">
        <v>894599.36</v>
      </c>
      <c r="E372" s="288"/>
      <c r="F372" s="288"/>
      <c r="G372">
        <f t="shared" si="10"/>
        <v>0</v>
      </c>
      <c r="H372">
        <f t="shared" si="11"/>
        <v>0</v>
      </c>
    </row>
    <row r="373" spans="1:8" hidden="1" x14ac:dyDescent="0.2">
      <c r="A373" t="s">
        <v>4293</v>
      </c>
      <c r="B373" t="s">
        <v>3966</v>
      </c>
      <c r="C373" t="s">
        <v>4294</v>
      </c>
      <c r="D373" s="295">
        <v>1644646.26</v>
      </c>
      <c r="E373" s="288"/>
      <c r="F373" s="288"/>
      <c r="G373">
        <f t="shared" si="10"/>
        <v>0</v>
      </c>
      <c r="H373">
        <f t="shared" si="11"/>
        <v>0</v>
      </c>
    </row>
    <row r="374" spans="1:8" hidden="1" x14ac:dyDescent="0.2">
      <c r="A374" t="s">
        <v>4295</v>
      </c>
      <c r="B374" t="s">
        <v>4296</v>
      </c>
      <c r="C374" t="s">
        <v>4297</v>
      </c>
      <c r="D374" s="295">
        <v>81790.28</v>
      </c>
      <c r="E374" s="288"/>
      <c r="F374" s="288"/>
      <c r="G374">
        <f t="shared" si="10"/>
        <v>0</v>
      </c>
      <c r="H374">
        <f t="shared" si="11"/>
        <v>0</v>
      </c>
    </row>
    <row r="375" spans="1:8" hidden="1" x14ac:dyDescent="0.2">
      <c r="C375" t="s">
        <v>4298</v>
      </c>
      <c r="D375" s="295">
        <v>289256.02</v>
      </c>
      <c r="E375" s="288"/>
      <c r="F375" s="288"/>
      <c r="G375">
        <f t="shared" si="10"/>
        <v>0</v>
      </c>
      <c r="H375">
        <f t="shared" si="11"/>
        <v>0</v>
      </c>
    </row>
    <row r="376" spans="1:8" hidden="1" x14ac:dyDescent="0.2">
      <c r="C376" t="s">
        <v>4299</v>
      </c>
      <c r="D376" s="295">
        <v>456415.43</v>
      </c>
      <c r="E376" s="288"/>
      <c r="F376" s="288"/>
      <c r="G376">
        <f t="shared" si="10"/>
        <v>0</v>
      </c>
      <c r="H376">
        <f t="shared" si="11"/>
        <v>0</v>
      </c>
    </row>
    <row r="377" spans="1:8" hidden="1" x14ac:dyDescent="0.2">
      <c r="A377" t="s">
        <v>4300</v>
      </c>
      <c r="B377" t="s">
        <v>3752</v>
      </c>
      <c r="C377" t="s">
        <v>4301</v>
      </c>
      <c r="D377" s="295">
        <v>159540.67000000001</v>
      </c>
      <c r="E377" s="288"/>
      <c r="F377" s="288"/>
      <c r="G377">
        <f t="shared" si="10"/>
        <v>0</v>
      </c>
      <c r="H377">
        <f t="shared" si="11"/>
        <v>0</v>
      </c>
    </row>
    <row r="378" spans="1:8" hidden="1" x14ac:dyDescent="0.2">
      <c r="B378" t="s">
        <v>3754</v>
      </c>
      <c r="C378" t="s">
        <v>4302</v>
      </c>
      <c r="D378" s="295">
        <v>137541.96</v>
      </c>
      <c r="E378" s="288"/>
      <c r="F378" s="288"/>
      <c r="G378">
        <f t="shared" si="10"/>
        <v>0</v>
      </c>
      <c r="H378">
        <f t="shared" si="11"/>
        <v>0</v>
      </c>
    </row>
    <row r="379" spans="1:8" hidden="1" x14ac:dyDescent="0.2">
      <c r="C379" t="s">
        <v>4303</v>
      </c>
      <c r="D379" s="295">
        <v>68770.98</v>
      </c>
      <c r="E379" s="288"/>
      <c r="F379" s="288"/>
      <c r="G379">
        <f t="shared" si="10"/>
        <v>0</v>
      </c>
      <c r="H379">
        <f t="shared" si="11"/>
        <v>0</v>
      </c>
    </row>
    <row r="380" spans="1:8" hidden="1" x14ac:dyDescent="0.2">
      <c r="C380" t="s">
        <v>4304</v>
      </c>
      <c r="D380" s="295">
        <v>378240.39</v>
      </c>
      <c r="E380" s="288"/>
      <c r="F380" s="288"/>
      <c r="G380">
        <f t="shared" si="10"/>
        <v>0</v>
      </c>
      <c r="H380">
        <f t="shared" si="11"/>
        <v>0</v>
      </c>
    </row>
    <row r="381" spans="1:8" hidden="1" x14ac:dyDescent="0.2">
      <c r="B381" t="s">
        <v>3756</v>
      </c>
      <c r="C381" t="s">
        <v>4305</v>
      </c>
      <c r="D381" s="295">
        <v>3363.17</v>
      </c>
      <c r="E381" s="288"/>
      <c r="F381" s="288"/>
      <c r="G381">
        <f t="shared" si="10"/>
        <v>0</v>
      </c>
      <c r="H381">
        <f t="shared" si="11"/>
        <v>0</v>
      </c>
    </row>
    <row r="382" spans="1:8" hidden="1" x14ac:dyDescent="0.2">
      <c r="C382" t="s">
        <v>4306</v>
      </c>
      <c r="D382" s="295">
        <v>4481.6499999999996</v>
      </c>
      <c r="E382" s="288"/>
      <c r="F382" s="288"/>
      <c r="G382">
        <f t="shared" si="10"/>
        <v>0</v>
      </c>
      <c r="H382">
        <f t="shared" si="11"/>
        <v>0</v>
      </c>
    </row>
    <row r="383" spans="1:8" hidden="1" x14ac:dyDescent="0.2">
      <c r="C383" t="s">
        <v>4307</v>
      </c>
      <c r="D383" s="295">
        <v>3361.24</v>
      </c>
      <c r="E383" s="288"/>
      <c r="F383" s="288"/>
      <c r="G383">
        <f t="shared" si="10"/>
        <v>0</v>
      </c>
      <c r="H383">
        <f t="shared" si="11"/>
        <v>0</v>
      </c>
    </row>
    <row r="384" spans="1:8" hidden="1" x14ac:dyDescent="0.2">
      <c r="B384" t="s">
        <v>3758</v>
      </c>
      <c r="C384" t="s">
        <v>4308</v>
      </c>
      <c r="D384" s="295">
        <v>4484.2299999999996</v>
      </c>
      <c r="E384" s="288"/>
      <c r="F384" s="288"/>
      <c r="G384">
        <f t="shared" si="10"/>
        <v>0</v>
      </c>
      <c r="H384">
        <f t="shared" si="11"/>
        <v>0</v>
      </c>
    </row>
    <row r="385" spans="1:8" hidden="1" x14ac:dyDescent="0.2">
      <c r="C385" t="s">
        <v>4309</v>
      </c>
      <c r="D385" s="295">
        <v>3361.24</v>
      </c>
      <c r="E385" s="288"/>
      <c r="F385" s="288"/>
      <c r="G385">
        <f t="shared" si="10"/>
        <v>0</v>
      </c>
      <c r="H385">
        <f t="shared" si="11"/>
        <v>0</v>
      </c>
    </row>
    <row r="386" spans="1:8" hidden="1" x14ac:dyDescent="0.2">
      <c r="C386" t="s">
        <v>4310</v>
      </c>
      <c r="D386" s="295">
        <v>3361.24</v>
      </c>
      <c r="E386" s="288"/>
      <c r="F386" s="288"/>
      <c r="G386">
        <f t="shared" si="10"/>
        <v>0</v>
      </c>
      <c r="H386">
        <f t="shared" si="11"/>
        <v>0</v>
      </c>
    </row>
    <row r="387" spans="1:8" hidden="1" x14ac:dyDescent="0.2">
      <c r="C387" t="s">
        <v>4311</v>
      </c>
      <c r="D387" s="295">
        <v>6722.48</v>
      </c>
      <c r="E387" s="288"/>
      <c r="F387" s="288"/>
      <c r="G387">
        <f t="shared" si="10"/>
        <v>0</v>
      </c>
      <c r="H387">
        <f t="shared" si="11"/>
        <v>0</v>
      </c>
    </row>
    <row r="388" spans="1:8" hidden="1" x14ac:dyDescent="0.2">
      <c r="C388" t="s">
        <v>4312</v>
      </c>
      <c r="D388" s="295">
        <v>6730.21</v>
      </c>
      <c r="E388" s="288"/>
      <c r="F388" s="288"/>
      <c r="G388">
        <f t="shared" si="10"/>
        <v>0</v>
      </c>
      <c r="H388">
        <f t="shared" si="11"/>
        <v>0</v>
      </c>
    </row>
    <row r="389" spans="1:8" hidden="1" x14ac:dyDescent="0.2">
      <c r="B389" t="s">
        <v>3722</v>
      </c>
      <c r="C389" t="s">
        <v>4313</v>
      </c>
      <c r="D389" s="295">
        <v>59143.040000000001</v>
      </c>
      <c r="E389" s="288"/>
      <c r="F389" s="288"/>
      <c r="G389">
        <f t="shared" si="10"/>
        <v>0</v>
      </c>
      <c r="H389">
        <f t="shared" si="11"/>
        <v>0</v>
      </c>
    </row>
    <row r="390" spans="1:8" hidden="1" x14ac:dyDescent="0.2">
      <c r="C390" t="s">
        <v>4314</v>
      </c>
      <c r="D390" s="295">
        <v>3318.73</v>
      </c>
      <c r="E390" s="288"/>
      <c r="F390" s="288"/>
      <c r="G390">
        <f t="shared" ref="G390:G453" si="12">IF(F390="X",C390,0)</f>
        <v>0</v>
      </c>
      <c r="H390">
        <f t="shared" ref="H390:H453" si="13">IF(E390="X",C390,0)</f>
        <v>0</v>
      </c>
    </row>
    <row r="391" spans="1:8" hidden="1" x14ac:dyDescent="0.2">
      <c r="B391" t="s">
        <v>3760</v>
      </c>
      <c r="C391" t="s">
        <v>4315</v>
      </c>
      <c r="D391" s="295">
        <v>147894.51999999999</v>
      </c>
      <c r="E391" s="288"/>
      <c r="F391" s="288"/>
      <c r="G391">
        <f t="shared" si="12"/>
        <v>0</v>
      </c>
      <c r="H391">
        <f t="shared" si="13"/>
        <v>0</v>
      </c>
    </row>
    <row r="392" spans="1:8" hidden="1" x14ac:dyDescent="0.2">
      <c r="C392" t="s">
        <v>4316</v>
      </c>
      <c r="D392" s="295">
        <v>16960.82</v>
      </c>
      <c r="E392" s="288"/>
      <c r="F392" s="288"/>
      <c r="G392">
        <f t="shared" si="12"/>
        <v>0</v>
      </c>
      <c r="H392">
        <f t="shared" si="13"/>
        <v>0</v>
      </c>
    </row>
    <row r="393" spans="1:8" hidden="1" x14ac:dyDescent="0.2">
      <c r="B393" t="s">
        <v>3762</v>
      </c>
      <c r="C393" t="s">
        <v>4317</v>
      </c>
      <c r="D393" s="295">
        <v>30550.34</v>
      </c>
      <c r="E393" s="288"/>
      <c r="F393" s="288"/>
      <c r="G393">
        <f t="shared" si="12"/>
        <v>0</v>
      </c>
      <c r="H393">
        <f t="shared" si="13"/>
        <v>0</v>
      </c>
    </row>
    <row r="394" spans="1:8" hidden="1" x14ac:dyDescent="0.2">
      <c r="C394" t="s">
        <v>4318</v>
      </c>
      <c r="D394" s="295">
        <v>13577.93</v>
      </c>
      <c r="E394" s="288"/>
      <c r="F394" s="288" t="s">
        <v>3678</v>
      </c>
      <c r="G394" t="str">
        <f t="shared" si="12"/>
        <v xml:space="preserve">  IR_0302_3660</v>
      </c>
      <c r="H394">
        <f t="shared" si="13"/>
        <v>0</v>
      </c>
    </row>
    <row r="395" spans="1:8" hidden="1" x14ac:dyDescent="0.2">
      <c r="C395" t="s">
        <v>4319</v>
      </c>
      <c r="D395" s="295">
        <v>56020.65</v>
      </c>
      <c r="E395" s="288"/>
      <c r="F395" s="288"/>
      <c r="G395">
        <f t="shared" si="12"/>
        <v>0</v>
      </c>
      <c r="H395">
        <f t="shared" si="13"/>
        <v>0</v>
      </c>
    </row>
    <row r="396" spans="1:8" hidden="1" x14ac:dyDescent="0.2">
      <c r="A396" t="s">
        <v>4320</v>
      </c>
      <c r="B396" t="s">
        <v>4321</v>
      </c>
      <c r="C396" t="s">
        <v>4322</v>
      </c>
      <c r="D396" s="295">
        <v>298232.31</v>
      </c>
      <c r="E396" s="288"/>
      <c r="F396" s="288" t="s">
        <v>3678</v>
      </c>
      <c r="G396" t="str">
        <f t="shared" si="12"/>
        <v xml:space="preserve">  EJ_0401_6960</v>
      </c>
      <c r="H396">
        <f t="shared" si="13"/>
        <v>0</v>
      </c>
    </row>
    <row r="397" spans="1:8" hidden="1" x14ac:dyDescent="0.2">
      <c r="A397" t="s">
        <v>4323</v>
      </c>
      <c r="B397" t="s">
        <v>4324</v>
      </c>
      <c r="C397" t="s">
        <v>4325</v>
      </c>
      <c r="D397" s="295">
        <v>389824.94</v>
      </c>
      <c r="E397" s="288"/>
      <c r="F397" s="288"/>
      <c r="G397">
        <f t="shared" si="12"/>
        <v>0</v>
      </c>
      <c r="H397">
        <f t="shared" si="13"/>
        <v>0</v>
      </c>
    </row>
    <row r="398" spans="1:8" hidden="1" x14ac:dyDescent="0.2">
      <c r="A398" t="s">
        <v>4326</v>
      </c>
      <c r="B398" t="s">
        <v>4327</v>
      </c>
      <c r="C398" t="s">
        <v>4328</v>
      </c>
      <c r="D398" s="295">
        <v>394091.4</v>
      </c>
      <c r="E398" s="288"/>
      <c r="F398" s="288"/>
      <c r="G398">
        <f t="shared" si="12"/>
        <v>0</v>
      </c>
      <c r="H398">
        <f t="shared" si="13"/>
        <v>0</v>
      </c>
    </row>
    <row r="399" spans="1:8" hidden="1" x14ac:dyDescent="0.2">
      <c r="A399" t="s">
        <v>4329</v>
      </c>
      <c r="B399" t="s">
        <v>4215</v>
      </c>
      <c r="C399" t="s">
        <v>4330</v>
      </c>
      <c r="D399" s="295">
        <v>446116.68</v>
      </c>
      <c r="E399" s="288"/>
      <c r="F399" s="288"/>
      <c r="G399">
        <f t="shared" si="12"/>
        <v>0</v>
      </c>
      <c r="H399">
        <f t="shared" si="13"/>
        <v>0</v>
      </c>
    </row>
    <row r="400" spans="1:8" hidden="1" x14ac:dyDescent="0.2">
      <c r="A400" t="s">
        <v>4331</v>
      </c>
      <c r="B400" t="s">
        <v>4332</v>
      </c>
      <c r="C400" t="s">
        <v>4333</v>
      </c>
      <c r="D400" s="295">
        <v>400068.33</v>
      </c>
      <c r="E400" s="288"/>
      <c r="F400" s="288" t="s">
        <v>3678</v>
      </c>
      <c r="G400" t="str">
        <f t="shared" si="12"/>
        <v xml:space="preserve">  EJ_0305_8100</v>
      </c>
      <c r="H400">
        <f t="shared" si="13"/>
        <v>0</v>
      </c>
    </row>
    <row r="401" spans="1:8" hidden="1" x14ac:dyDescent="0.2">
      <c r="A401" t="s">
        <v>4334</v>
      </c>
      <c r="B401" t="s">
        <v>4335</v>
      </c>
      <c r="C401" t="s">
        <v>4336</v>
      </c>
      <c r="D401" s="295">
        <v>1383896.02</v>
      </c>
      <c r="E401" s="288"/>
      <c r="F401" s="288"/>
      <c r="G401">
        <f t="shared" si="12"/>
        <v>0</v>
      </c>
      <c r="H401">
        <f t="shared" si="13"/>
        <v>0</v>
      </c>
    </row>
    <row r="402" spans="1:8" hidden="1" x14ac:dyDescent="0.2">
      <c r="A402" t="s">
        <v>4337</v>
      </c>
      <c r="B402" t="s">
        <v>3810</v>
      </c>
      <c r="C402" t="s">
        <v>4338</v>
      </c>
      <c r="D402" s="295">
        <v>1902607.08</v>
      </c>
      <c r="E402" s="288"/>
      <c r="F402" s="288" t="s">
        <v>3678</v>
      </c>
      <c r="G402" t="str">
        <f t="shared" si="12"/>
        <v xml:space="preserve">  HR_0500_1460</v>
      </c>
      <c r="H402">
        <f t="shared" si="13"/>
        <v>0</v>
      </c>
    </row>
    <row r="403" spans="1:8" hidden="1" x14ac:dyDescent="0.2">
      <c r="A403" t="s">
        <v>4339</v>
      </c>
      <c r="B403" t="s">
        <v>4340</v>
      </c>
      <c r="C403" t="s">
        <v>4341</v>
      </c>
      <c r="D403" s="295">
        <v>523737.09</v>
      </c>
      <c r="E403" s="288"/>
      <c r="F403" s="288"/>
      <c r="G403">
        <f t="shared" si="12"/>
        <v>0</v>
      </c>
      <c r="H403">
        <f t="shared" si="13"/>
        <v>0</v>
      </c>
    </row>
    <row r="404" spans="1:8" hidden="1" x14ac:dyDescent="0.2">
      <c r="A404" t="s">
        <v>4342</v>
      </c>
      <c r="B404" t="s">
        <v>4343</v>
      </c>
      <c r="C404" t="s">
        <v>4344</v>
      </c>
      <c r="D404" s="295">
        <v>777790.7</v>
      </c>
      <c r="E404" s="288"/>
      <c r="F404" s="288"/>
      <c r="G404">
        <f t="shared" si="12"/>
        <v>0</v>
      </c>
      <c r="H404">
        <f t="shared" si="13"/>
        <v>0</v>
      </c>
    </row>
    <row r="405" spans="1:8" hidden="1" x14ac:dyDescent="0.2">
      <c r="A405" t="s">
        <v>4345</v>
      </c>
      <c r="B405" t="s">
        <v>3937</v>
      </c>
      <c r="C405" t="s">
        <v>4346</v>
      </c>
      <c r="D405" s="295">
        <v>812635.13</v>
      </c>
      <c r="E405" s="288"/>
      <c r="F405" s="288"/>
      <c r="G405">
        <f t="shared" si="12"/>
        <v>0</v>
      </c>
      <c r="H405">
        <f t="shared" si="13"/>
        <v>0</v>
      </c>
    </row>
    <row r="406" spans="1:8" hidden="1" x14ac:dyDescent="0.2">
      <c r="B406" t="s">
        <v>4347</v>
      </c>
      <c r="C406" t="s">
        <v>4348</v>
      </c>
      <c r="D406" s="295">
        <v>691060.61</v>
      </c>
      <c r="E406" s="288"/>
      <c r="F406" s="288"/>
      <c r="G406">
        <f t="shared" si="12"/>
        <v>0</v>
      </c>
      <c r="H406">
        <f t="shared" si="13"/>
        <v>0</v>
      </c>
    </row>
    <row r="407" spans="1:8" hidden="1" x14ac:dyDescent="0.2">
      <c r="A407" t="s">
        <v>4349</v>
      </c>
      <c r="B407" t="s">
        <v>3792</v>
      </c>
      <c r="C407" t="s">
        <v>4350</v>
      </c>
      <c r="D407" s="295">
        <v>696602.41</v>
      </c>
      <c r="E407" s="288"/>
      <c r="F407" s="288"/>
      <c r="G407">
        <f t="shared" si="12"/>
        <v>0</v>
      </c>
      <c r="H407">
        <f t="shared" si="13"/>
        <v>0</v>
      </c>
    </row>
    <row r="408" spans="1:8" hidden="1" x14ac:dyDescent="0.2">
      <c r="A408" t="s">
        <v>4351</v>
      </c>
      <c r="B408" t="s">
        <v>4352</v>
      </c>
      <c r="C408" t="s">
        <v>4353</v>
      </c>
      <c r="D408" s="295">
        <v>372480.48</v>
      </c>
      <c r="E408" s="288"/>
      <c r="F408" s="288"/>
      <c r="G408">
        <f t="shared" si="12"/>
        <v>0</v>
      </c>
      <c r="H408">
        <f t="shared" si="13"/>
        <v>0</v>
      </c>
    </row>
    <row r="409" spans="1:8" hidden="1" x14ac:dyDescent="0.2">
      <c r="A409" t="s">
        <v>4354</v>
      </c>
      <c r="B409" t="s">
        <v>3698</v>
      </c>
      <c r="C409" t="s">
        <v>4355</v>
      </c>
      <c r="D409" s="295">
        <v>538589.80000000005</v>
      </c>
      <c r="E409" s="288"/>
      <c r="F409" s="288"/>
      <c r="G409">
        <f t="shared" si="12"/>
        <v>0</v>
      </c>
      <c r="H409">
        <f t="shared" si="13"/>
        <v>0</v>
      </c>
    </row>
    <row r="410" spans="1:8" hidden="1" x14ac:dyDescent="0.2">
      <c r="A410" t="s">
        <v>4356</v>
      </c>
      <c r="B410" t="s">
        <v>3756</v>
      </c>
      <c r="C410" t="s">
        <v>4357</v>
      </c>
      <c r="D410" s="295">
        <v>16139.45</v>
      </c>
      <c r="E410" s="288"/>
      <c r="F410" s="288"/>
      <c r="G410">
        <f t="shared" si="12"/>
        <v>0</v>
      </c>
      <c r="H410">
        <f t="shared" si="13"/>
        <v>0</v>
      </c>
    </row>
    <row r="411" spans="1:8" hidden="1" x14ac:dyDescent="0.2">
      <c r="B411" t="s">
        <v>3758</v>
      </c>
      <c r="C411" t="s">
        <v>4358</v>
      </c>
      <c r="D411" s="295">
        <v>13045.88</v>
      </c>
      <c r="E411" s="288"/>
      <c r="F411" s="288"/>
      <c r="G411">
        <f t="shared" si="12"/>
        <v>0</v>
      </c>
      <c r="H411">
        <f t="shared" si="13"/>
        <v>0</v>
      </c>
    </row>
    <row r="412" spans="1:8" hidden="1" x14ac:dyDescent="0.2">
      <c r="C412" t="s">
        <v>4359</v>
      </c>
      <c r="D412" s="295">
        <v>459845.51</v>
      </c>
      <c r="E412" s="288"/>
      <c r="F412" s="288"/>
      <c r="G412">
        <f t="shared" si="12"/>
        <v>0</v>
      </c>
      <c r="H412">
        <f t="shared" si="13"/>
        <v>0</v>
      </c>
    </row>
    <row r="413" spans="1:8" hidden="1" x14ac:dyDescent="0.2">
      <c r="B413" t="s">
        <v>3762</v>
      </c>
      <c r="C413" t="s">
        <v>4360</v>
      </c>
      <c r="D413" s="295">
        <v>92371.33</v>
      </c>
      <c r="E413" s="288"/>
      <c r="F413" s="288"/>
      <c r="G413">
        <f t="shared" si="12"/>
        <v>0</v>
      </c>
      <c r="H413">
        <f t="shared" si="13"/>
        <v>0</v>
      </c>
    </row>
    <row r="414" spans="1:8" hidden="1" x14ac:dyDescent="0.2">
      <c r="A414" t="s">
        <v>4361</v>
      </c>
      <c r="B414" t="s">
        <v>4362</v>
      </c>
      <c r="C414" t="s">
        <v>4363</v>
      </c>
      <c r="D414" s="295">
        <v>357393.8</v>
      </c>
      <c r="E414" s="288"/>
      <c r="F414" s="288"/>
      <c r="G414">
        <f t="shared" si="12"/>
        <v>0</v>
      </c>
      <c r="H414">
        <f t="shared" si="13"/>
        <v>0</v>
      </c>
    </row>
    <row r="415" spans="1:8" hidden="1" x14ac:dyDescent="0.2">
      <c r="C415" t="s">
        <v>4364</v>
      </c>
      <c r="D415" s="295">
        <v>357393.8</v>
      </c>
      <c r="E415" s="288"/>
      <c r="F415" s="288"/>
      <c r="G415">
        <f t="shared" si="12"/>
        <v>0</v>
      </c>
      <c r="H415">
        <f t="shared" si="13"/>
        <v>0</v>
      </c>
    </row>
    <row r="416" spans="1:8" hidden="1" x14ac:dyDescent="0.2">
      <c r="C416" t="s">
        <v>4365</v>
      </c>
      <c r="D416" s="295">
        <v>568925.35</v>
      </c>
      <c r="E416" s="288"/>
      <c r="F416" s="288"/>
      <c r="G416">
        <f t="shared" si="12"/>
        <v>0</v>
      </c>
      <c r="H416">
        <f t="shared" si="13"/>
        <v>0</v>
      </c>
    </row>
    <row r="417" spans="1:8" hidden="1" x14ac:dyDescent="0.2">
      <c r="A417" t="s">
        <v>4366</v>
      </c>
      <c r="B417" t="s">
        <v>3810</v>
      </c>
      <c r="C417" t="s">
        <v>4367</v>
      </c>
      <c r="D417" s="295">
        <v>598156.80000000005</v>
      </c>
      <c r="E417" s="288"/>
      <c r="F417" s="288"/>
      <c r="G417">
        <f t="shared" si="12"/>
        <v>0</v>
      </c>
      <c r="H417">
        <f t="shared" si="13"/>
        <v>0</v>
      </c>
    </row>
    <row r="418" spans="1:8" hidden="1" x14ac:dyDescent="0.2">
      <c r="A418" t="s">
        <v>4368</v>
      </c>
      <c r="B418" t="s">
        <v>4369</v>
      </c>
      <c r="C418" t="s">
        <v>4370</v>
      </c>
      <c r="D418" s="295">
        <v>61104.68</v>
      </c>
      <c r="E418" s="288"/>
      <c r="F418" s="288"/>
      <c r="G418">
        <f t="shared" si="12"/>
        <v>0</v>
      </c>
      <c r="H418">
        <f t="shared" si="13"/>
        <v>0</v>
      </c>
    </row>
    <row r="419" spans="1:8" hidden="1" x14ac:dyDescent="0.2">
      <c r="A419" t="s">
        <v>4371</v>
      </c>
      <c r="B419" t="s">
        <v>4369</v>
      </c>
      <c r="C419" t="s">
        <v>4372</v>
      </c>
      <c r="D419" s="295">
        <v>246331.94</v>
      </c>
      <c r="E419" s="288"/>
      <c r="F419" s="288"/>
      <c r="G419">
        <f t="shared" si="12"/>
        <v>0</v>
      </c>
      <c r="H419">
        <f t="shared" si="13"/>
        <v>0</v>
      </c>
    </row>
    <row r="420" spans="1:8" hidden="1" x14ac:dyDescent="0.2">
      <c r="A420" t="s">
        <v>4373</v>
      </c>
      <c r="B420" t="s">
        <v>4374</v>
      </c>
      <c r="C420" t="s">
        <v>4375</v>
      </c>
      <c r="D420" s="295">
        <v>286888.46000000002</v>
      </c>
      <c r="E420" s="288"/>
      <c r="F420" s="288"/>
      <c r="G420">
        <f t="shared" si="12"/>
        <v>0</v>
      </c>
      <c r="H420">
        <f t="shared" si="13"/>
        <v>0</v>
      </c>
    </row>
    <row r="421" spans="1:8" hidden="1" x14ac:dyDescent="0.2">
      <c r="A421" t="s">
        <v>4376</v>
      </c>
      <c r="B421" t="s">
        <v>4377</v>
      </c>
      <c r="C421" t="s">
        <v>4378</v>
      </c>
      <c r="D421" s="295">
        <v>997568.68</v>
      </c>
      <c r="E421" s="288"/>
      <c r="F421" s="288"/>
      <c r="G421">
        <f t="shared" si="12"/>
        <v>0</v>
      </c>
      <c r="H421">
        <f t="shared" si="13"/>
        <v>0</v>
      </c>
    </row>
    <row r="422" spans="1:8" hidden="1" x14ac:dyDescent="0.2">
      <c r="A422" t="s">
        <v>4379</v>
      </c>
      <c r="B422" t="s">
        <v>3792</v>
      </c>
      <c r="C422" t="s">
        <v>4380</v>
      </c>
      <c r="D422" s="295">
        <v>453053.28</v>
      </c>
      <c r="E422" s="288"/>
      <c r="F422" s="288"/>
      <c r="G422">
        <f t="shared" si="12"/>
        <v>0</v>
      </c>
      <c r="H422">
        <f t="shared" si="13"/>
        <v>0</v>
      </c>
    </row>
    <row r="423" spans="1:8" hidden="1" x14ac:dyDescent="0.2">
      <c r="A423" t="s">
        <v>4381</v>
      </c>
      <c r="B423" t="s">
        <v>4382</v>
      </c>
      <c r="C423" t="s">
        <v>4383</v>
      </c>
      <c r="D423" s="295">
        <v>158611.29999999999</v>
      </c>
      <c r="E423" s="288"/>
      <c r="F423" s="288"/>
      <c r="G423">
        <f t="shared" si="12"/>
        <v>0</v>
      </c>
      <c r="H423">
        <f t="shared" si="13"/>
        <v>0</v>
      </c>
    </row>
    <row r="424" spans="1:8" hidden="1" x14ac:dyDescent="0.2">
      <c r="A424" t="s">
        <v>4384</v>
      </c>
      <c r="B424" t="s">
        <v>4385</v>
      </c>
      <c r="C424" t="s">
        <v>4386</v>
      </c>
      <c r="D424" s="295">
        <v>171927.45</v>
      </c>
      <c r="E424" s="288"/>
      <c r="F424" s="288"/>
      <c r="G424">
        <f t="shared" si="12"/>
        <v>0</v>
      </c>
      <c r="H424">
        <f t="shared" si="13"/>
        <v>0</v>
      </c>
    </row>
    <row r="425" spans="1:8" hidden="1" x14ac:dyDescent="0.2">
      <c r="A425" t="s">
        <v>4387</v>
      </c>
      <c r="B425" t="s">
        <v>4260</v>
      </c>
      <c r="C425" t="s">
        <v>4388</v>
      </c>
      <c r="D425" s="295">
        <v>1814172.73</v>
      </c>
      <c r="E425" s="288"/>
      <c r="F425" s="288"/>
      <c r="G425">
        <f t="shared" si="12"/>
        <v>0</v>
      </c>
      <c r="H425">
        <f t="shared" si="13"/>
        <v>0</v>
      </c>
    </row>
    <row r="426" spans="1:8" hidden="1" x14ac:dyDescent="0.2">
      <c r="A426" t="s">
        <v>4389</v>
      </c>
      <c r="B426" t="s">
        <v>4390</v>
      </c>
      <c r="C426" t="s">
        <v>4391</v>
      </c>
      <c r="D426" s="295">
        <v>723768.56</v>
      </c>
      <c r="E426" s="288"/>
      <c r="F426" s="288"/>
      <c r="G426">
        <f t="shared" si="12"/>
        <v>0</v>
      </c>
      <c r="H426">
        <f t="shared" si="13"/>
        <v>0</v>
      </c>
    </row>
    <row r="427" spans="1:8" hidden="1" x14ac:dyDescent="0.2">
      <c r="A427" t="s">
        <v>4392</v>
      </c>
      <c r="B427" t="s">
        <v>4393</v>
      </c>
      <c r="C427" t="s">
        <v>4394</v>
      </c>
      <c r="D427" s="295">
        <v>65418.63</v>
      </c>
      <c r="E427" s="288"/>
      <c r="F427" s="288"/>
      <c r="G427">
        <f t="shared" si="12"/>
        <v>0</v>
      </c>
      <c r="H427">
        <f t="shared" si="13"/>
        <v>0</v>
      </c>
    </row>
    <row r="428" spans="1:8" hidden="1" x14ac:dyDescent="0.2">
      <c r="A428" t="s">
        <v>4395</v>
      </c>
      <c r="B428" t="s">
        <v>4393</v>
      </c>
      <c r="C428" t="s">
        <v>4396</v>
      </c>
      <c r="D428" s="295">
        <v>401541.77</v>
      </c>
      <c r="E428" s="288"/>
      <c r="F428" s="288"/>
      <c r="G428">
        <f t="shared" si="12"/>
        <v>0</v>
      </c>
      <c r="H428">
        <f t="shared" si="13"/>
        <v>0</v>
      </c>
    </row>
    <row r="429" spans="1:8" hidden="1" x14ac:dyDescent="0.2">
      <c r="A429" t="s">
        <v>4397</v>
      </c>
      <c r="B429" t="s">
        <v>4398</v>
      </c>
      <c r="C429" t="s">
        <v>4399</v>
      </c>
      <c r="D429" s="295">
        <v>1824424.51</v>
      </c>
      <c r="E429" s="288"/>
      <c r="F429" s="288"/>
      <c r="G429">
        <f t="shared" si="12"/>
        <v>0</v>
      </c>
      <c r="H429">
        <f t="shared" si="13"/>
        <v>0</v>
      </c>
    </row>
    <row r="430" spans="1:8" hidden="1" x14ac:dyDescent="0.2">
      <c r="A430" t="s">
        <v>4400</v>
      </c>
      <c r="B430" t="s">
        <v>4401</v>
      </c>
      <c r="C430" t="s">
        <v>4402</v>
      </c>
      <c r="D430" s="295">
        <v>63947.839999999997</v>
      </c>
      <c r="E430" s="288"/>
      <c r="F430" s="288"/>
      <c r="G430">
        <f t="shared" si="12"/>
        <v>0</v>
      </c>
      <c r="H430">
        <f t="shared" si="13"/>
        <v>0</v>
      </c>
    </row>
    <row r="431" spans="1:8" hidden="1" x14ac:dyDescent="0.2">
      <c r="A431" t="s">
        <v>4403</v>
      </c>
      <c r="B431" t="s">
        <v>4401</v>
      </c>
      <c r="C431" t="s">
        <v>4404</v>
      </c>
      <c r="D431" s="295">
        <v>261675.7</v>
      </c>
      <c r="E431" s="288"/>
      <c r="F431" s="288"/>
      <c r="G431">
        <f t="shared" si="12"/>
        <v>0</v>
      </c>
      <c r="H431">
        <f t="shared" si="13"/>
        <v>0</v>
      </c>
    </row>
    <row r="432" spans="1:8" hidden="1" x14ac:dyDescent="0.2">
      <c r="A432" t="s">
        <v>4405</v>
      </c>
      <c r="B432" t="s">
        <v>4406</v>
      </c>
      <c r="C432" t="s">
        <v>4407</v>
      </c>
      <c r="D432" s="295">
        <v>306900</v>
      </c>
      <c r="E432" s="288"/>
      <c r="F432" s="288"/>
      <c r="G432">
        <f t="shared" si="12"/>
        <v>0</v>
      </c>
      <c r="H432">
        <f t="shared" si="13"/>
        <v>0</v>
      </c>
    </row>
    <row r="433" spans="1:8" hidden="1" x14ac:dyDescent="0.2">
      <c r="A433" t="s">
        <v>4408</v>
      </c>
      <c r="B433" t="s">
        <v>4406</v>
      </c>
      <c r="C433" t="s">
        <v>4409</v>
      </c>
      <c r="D433" s="295">
        <v>313958.7</v>
      </c>
      <c r="E433" s="288"/>
      <c r="F433" s="288"/>
      <c r="G433">
        <f t="shared" si="12"/>
        <v>0</v>
      </c>
      <c r="H433">
        <f t="shared" si="13"/>
        <v>0</v>
      </c>
    </row>
    <row r="434" spans="1:8" hidden="1" x14ac:dyDescent="0.2">
      <c r="A434" t="s">
        <v>4410</v>
      </c>
      <c r="B434" t="s">
        <v>4411</v>
      </c>
      <c r="C434" t="s">
        <v>4412</v>
      </c>
      <c r="D434" s="295">
        <v>308939.18</v>
      </c>
      <c r="E434" s="288"/>
      <c r="F434" s="288"/>
      <c r="G434">
        <f t="shared" si="12"/>
        <v>0</v>
      </c>
      <c r="H434">
        <f t="shared" si="13"/>
        <v>0</v>
      </c>
    </row>
    <row r="435" spans="1:8" hidden="1" x14ac:dyDescent="0.2">
      <c r="A435" t="s">
        <v>4413</v>
      </c>
      <c r="B435" t="s">
        <v>4414</v>
      </c>
      <c r="C435" t="s">
        <v>4415</v>
      </c>
      <c r="D435" s="295">
        <v>1698562.61</v>
      </c>
      <c r="E435" s="288"/>
      <c r="F435" s="288"/>
      <c r="G435">
        <f t="shared" si="12"/>
        <v>0</v>
      </c>
      <c r="H435">
        <f t="shared" si="13"/>
        <v>0</v>
      </c>
    </row>
    <row r="436" spans="1:8" hidden="1" x14ac:dyDescent="0.2">
      <c r="A436" t="s">
        <v>4416</v>
      </c>
      <c r="B436" t="s">
        <v>4417</v>
      </c>
      <c r="C436" t="s">
        <v>4418</v>
      </c>
      <c r="D436" s="295">
        <v>911964.53</v>
      </c>
      <c r="E436" s="288"/>
      <c r="F436" s="288"/>
      <c r="G436">
        <f t="shared" si="12"/>
        <v>0</v>
      </c>
      <c r="H436">
        <f t="shared" si="13"/>
        <v>0</v>
      </c>
    </row>
    <row r="437" spans="1:8" hidden="1" x14ac:dyDescent="0.2">
      <c r="A437" t="s">
        <v>4419</v>
      </c>
      <c r="B437" t="s">
        <v>4420</v>
      </c>
      <c r="C437" t="s">
        <v>4421</v>
      </c>
      <c r="D437" s="295">
        <v>162241.95000000001</v>
      </c>
      <c r="E437" s="288"/>
      <c r="F437" s="288"/>
      <c r="G437">
        <f t="shared" si="12"/>
        <v>0</v>
      </c>
      <c r="H437">
        <f t="shared" si="13"/>
        <v>0</v>
      </c>
    </row>
    <row r="438" spans="1:8" hidden="1" x14ac:dyDescent="0.2">
      <c r="C438" t="s">
        <v>4422</v>
      </c>
      <c r="D438" s="295">
        <v>392633.06</v>
      </c>
      <c r="E438" s="288"/>
      <c r="F438" s="288"/>
      <c r="G438">
        <f t="shared" si="12"/>
        <v>0</v>
      </c>
      <c r="H438">
        <f t="shared" si="13"/>
        <v>0</v>
      </c>
    </row>
    <row r="439" spans="1:8" hidden="1" x14ac:dyDescent="0.2">
      <c r="C439" t="s">
        <v>4423</v>
      </c>
      <c r="D439" s="295">
        <v>203755.29</v>
      </c>
      <c r="E439" s="288"/>
      <c r="F439" s="288"/>
      <c r="G439">
        <f t="shared" si="12"/>
        <v>0</v>
      </c>
      <c r="H439">
        <f t="shared" si="13"/>
        <v>0</v>
      </c>
    </row>
    <row r="440" spans="1:8" hidden="1" x14ac:dyDescent="0.2">
      <c r="C440" t="s">
        <v>4424</v>
      </c>
      <c r="D440" s="295">
        <v>282428.15000000002</v>
      </c>
      <c r="E440" s="288"/>
      <c r="F440" s="288"/>
      <c r="G440">
        <f t="shared" si="12"/>
        <v>0</v>
      </c>
      <c r="H440">
        <f t="shared" si="13"/>
        <v>0</v>
      </c>
    </row>
    <row r="441" spans="1:8" hidden="1" x14ac:dyDescent="0.2">
      <c r="A441" t="s">
        <v>4425</v>
      </c>
      <c r="B441" t="s">
        <v>4420</v>
      </c>
      <c r="C441" t="s">
        <v>4426</v>
      </c>
      <c r="D441" s="295">
        <v>113890.02</v>
      </c>
      <c r="E441" s="288"/>
      <c r="F441" s="288"/>
      <c r="G441">
        <f t="shared" si="12"/>
        <v>0</v>
      </c>
      <c r="H441">
        <f t="shared" si="13"/>
        <v>0</v>
      </c>
    </row>
    <row r="442" spans="1:8" hidden="1" x14ac:dyDescent="0.2">
      <c r="C442" t="s">
        <v>4427</v>
      </c>
      <c r="D442" s="295">
        <v>455560.07</v>
      </c>
      <c r="E442" s="288"/>
      <c r="F442" s="288"/>
      <c r="G442">
        <f t="shared" si="12"/>
        <v>0</v>
      </c>
      <c r="H442">
        <f t="shared" si="13"/>
        <v>0</v>
      </c>
    </row>
    <row r="443" spans="1:8" hidden="1" x14ac:dyDescent="0.2">
      <c r="C443" t="s">
        <v>4428</v>
      </c>
      <c r="D443" s="295">
        <v>535055.30000000005</v>
      </c>
      <c r="E443" s="288"/>
      <c r="F443" s="288"/>
      <c r="G443">
        <f t="shared" si="12"/>
        <v>0</v>
      </c>
      <c r="H443">
        <f t="shared" si="13"/>
        <v>0</v>
      </c>
    </row>
    <row r="444" spans="1:8" hidden="1" x14ac:dyDescent="0.2">
      <c r="C444" t="s">
        <v>4429</v>
      </c>
      <c r="D444" s="295">
        <v>472066.56</v>
      </c>
      <c r="E444" s="288"/>
      <c r="F444" s="288"/>
      <c r="G444">
        <f t="shared" si="12"/>
        <v>0</v>
      </c>
      <c r="H444">
        <f t="shared" si="13"/>
        <v>0</v>
      </c>
    </row>
    <row r="445" spans="1:8" hidden="1" x14ac:dyDescent="0.2">
      <c r="A445" t="s">
        <v>4430</v>
      </c>
      <c r="B445" t="s">
        <v>4431</v>
      </c>
      <c r="C445" t="s">
        <v>4432</v>
      </c>
      <c r="D445" s="295">
        <v>972204.77</v>
      </c>
      <c r="E445" s="288"/>
      <c r="F445" s="288"/>
      <c r="G445">
        <f t="shared" si="12"/>
        <v>0</v>
      </c>
      <c r="H445">
        <f t="shared" si="13"/>
        <v>0</v>
      </c>
    </row>
    <row r="446" spans="1:8" hidden="1" x14ac:dyDescent="0.2">
      <c r="A446" t="s">
        <v>4433</v>
      </c>
      <c r="B446" t="s">
        <v>4414</v>
      </c>
      <c r="C446" t="s">
        <v>4434</v>
      </c>
      <c r="D446" s="295">
        <v>1143415.79</v>
      </c>
      <c r="E446" s="288"/>
      <c r="F446" s="288"/>
      <c r="G446">
        <f t="shared" si="12"/>
        <v>0</v>
      </c>
      <c r="H446">
        <f t="shared" si="13"/>
        <v>0</v>
      </c>
    </row>
    <row r="447" spans="1:8" hidden="1" x14ac:dyDescent="0.2">
      <c r="A447" t="s">
        <v>4435</v>
      </c>
      <c r="B447" t="s">
        <v>4332</v>
      </c>
      <c r="C447" t="s">
        <v>4436</v>
      </c>
      <c r="D447" s="295">
        <v>769487.23</v>
      </c>
      <c r="E447" s="288"/>
      <c r="F447" s="288"/>
      <c r="G447">
        <f t="shared" si="12"/>
        <v>0</v>
      </c>
      <c r="H447">
        <f t="shared" si="13"/>
        <v>0</v>
      </c>
    </row>
    <row r="448" spans="1:8" hidden="1" x14ac:dyDescent="0.2">
      <c r="A448" t="s">
        <v>4437</v>
      </c>
      <c r="B448" t="s">
        <v>3832</v>
      </c>
      <c r="C448" t="s">
        <v>4438</v>
      </c>
      <c r="D448" s="295">
        <v>1439415.6</v>
      </c>
      <c r="E448" s="288"/>
      <c r="F448" s="288"/>
      <c r="G448">
        <f t="shared" si="12"/>
        <v>0</v>
      </c>
      <c r="H448">
        <f t="shared" si="13"/>
        <v>0</v>
      </c>
    </row>
    <row r="449" spans="1:8" hidden="1" x14ac:dyDescent="0.2">
      <c r="A449" t="s">
        <v>4439</v>
      </c>
      <c r="B449" t="s">
        <v>3716</v>
      </c>
      <c r="C449" t="s">
        <v>4440</v>
      </c>
      <c r="D449" s="295">
        <v>42513.22</v>
      </c>
      <c r="E449" s="288"/>
      <c r="F449" s="288"/>
      <c r="G449">
        <f t="shared" si="12"/>
        <v>0</v>
      </c>
      <c r="H449">
        <f t="shared" si="13"/>
        <v>0</v>
      </c>
    </row>
    <row r="450" spans="1:8" hidden="1" x14ac:dyDescent="0.2">
      <c r="C450" t="s">
        <v>4441</v>
      </c>
      <c r="D450" s="295">
        <v>20073.73</v>
      </c>
      <c r="E450" s="288"/>
      <c r="F450" s="288"/>
      <c r="G450">
        <f t="shared" si="12"/>
        <v>0</v>
      </c>
      <c r="H450">
        <f t="shared" si="13"/>
        <v>0</v>
      </c>
    </row>
    <row r="451" spans="1:8" hidden="1" x14ac:dyDescent="0.2">
      <c r="C451" t="s">
        <v>4442</v>
      </c>
      <c r="D451" s="295">
        <v>61154.31</v>
      </c>
      <c r="E451" s="288"/>
      <c r="F451" s="288"/>
      <c r="G451">
        <f t="shared" si="12"/>
        <v>0</v>
      </c>
      <c r="H451">
        <f t="shared" si="13"/>
        <v>0</v>
      </c>
    </row>
    <row r="452" spans="1:8" hidden="1" x14ac:dyDescent="0.2">
      <c r="C452" t="s">
        <v>4443</v>
      </c>
      <c r="D452" s="295">
        <v>66487.22</v>
      </c>
      <c r="E452" s="288"/>
      <c r="F452" s="288"/>
      <c r="G452">
        <f t="shared" si="12"/>
        <v>0</v>
      </c>
      <c r="H452">
        <f t="shared" si="13"/>
        <v>0</v>
      </c>
    </row>
    <row r="453" spans="1:8" hidden="1" x14ac:dyDescent="0.2">
      <c r="C453" t="s">
        <v>4444</v>
      </c>
      <c r="D453" s="295">
        <v>68016.429999999993</v>
      </c>
      <c r="E453" s="288"/>
      <c r="F453" s="288"/>
      <c r="G453">
        <f t="shared" si="12"/>
        <v>0</v>
      </c>
      <c r="H453">
        <f t="shared" si="13"/>
        <v>0</v>
      </c>
    </row>
    <row r="454" spans="1:8" hidden="1" x14ac:dyDescent="0.2">
      <c r="C454" t="s">
        <v>4445</v>
      </c>
      <c r="D454" s="295">
        <v>34790.410000000003</v>
      </c>
      <c r="E454" s="288"/>
      <c r="F454" s="288"/>
      <c r="G454">
        <f t="shared" ref="G454:G517" si="14">IF(F454="X",C454,0)</f>
        <v>0</v>
      </c>
      <c r="H454">
        <f t="shared" ref="H454:H517" si="15">IF(E454="X",C454,0)</f>
        <v>0</v>
      </c>
    </row>
    <row r="455" spans="1:8" hidden="1" x14ac:dyDescent="0.2">
      <c r="C455" t="s">
        <v>4446</v>
      </c>
      <c r="D455" s="295">
        <v>35590.58</v>
      </c>
      <c r="E455" s="288"/>
      <c r="F455" s="288"/>
      <c r="G455">
        <f t="shared" si="14"/>
        <v>0</v>
      </c>
      <c r="H455">
        <f t="shared" si="15"/>
        <v>0</v>
      </c>
    </row>
    <row r="456" spans="1:8" hidden="1" x14ac:dyDescent="0.2">
      <c r="C456" t="s">
        <v>4447</v>
      </c>
      <c r="D456" s="295">
        <v>36412.47</v>
      </c>
      <c r="E456" s="288"/>
      <c r="F456" s="288"/>
      <c r="G456">
        <f t="shared" si="14"/>
        <v>0</v>
      </c>
      <c r="H456">
        <f t="shared" si="15"/>
        <v>0</v>
      </c>
    </row>
    <row r="457" spans="1:8" hidden="1" x14ac:dyDescent="0.2">
      <c r="C457" t="s">
        <v>4448</v>
      </c>
      <c r="D457" s="295">
        <v>37249.949999999997</v>
      </c>
      <c r="E457" s="288"/>
      <c r="F457" s="288"/>
      <c r="G457">
        <f t="shared" si="14"/>
        <v>0</v>
      </c>
      <c r="H457">
        <f t="shared" si="15"/>
        <v>0</v>
      </c>
    </row>
    <row r="458" spans="1:8" hidden="1" x14ac:dyDescent="0.2">
      <c r="C458" t="s">
        <v>4449</v>
      </c>
      <c r="D458" s="295">
        <v>25218.14</v>
      </c>
      <c r="E458" s="288"/>
      <c r="F458" s="288"/>
      <c r="G458">
        <f t="shared" si="14"/>
        <v>0</v>
      </c>
      <c r="H458">
        <f t="shared" si="15"/>
        <v>0</v>
      </c>
    </row>
    <row r="459" spans="1:8" hidden="1" x14ac:dyDescent="0.2">
      <c r="A459" t="s">
        <v>4450</v>
      </c>
      <c r="B459" t="s">
        <v>3716</v>
      </c>
      <c r="C459" t="s">
        <v>4451</v>
      </c>
      <c r="D459" s="295">
        <v>40334.870000000003</v>
      </c>
      <c r="E459" s="288"/>
      <c r="F459" s="288"/>
      <c r="G459">
        <f t="shared" si="14"/>
        <v>0</v>
      </c>
      <c r="H459">
        <f t="shared" si="15"/>
        <v>0</v>
      </c>
    </row>
    <row r="460" spans="1:8" hidden="1" x14ac:dyDescent="0.2">
      <c r="C460" t="s">
        <v>4452</v>
      </c>
      <c r="D460" s="295">
        <v>54056.9</v>
      </c>
      <c r="E460" s="288"/>
      <c r="F460" s="288"/>
      <c r="G460">
        <f t="shared" si="14"/>
        <v>0</v>
      </c>
      <c r="H460">
        <f t="shared" si="15"/>
        <v>0</v>
      </c>
    </row>
    <row r="461" spans="1:8" hidden="1" x14ac:dyDescent="0.2">
      <c r="C461" t="s">
        <v>4453</v>
      </c>
      <c r="D461" s="295">
        <v>55300.23</v>
      </c>
      <c r="E461" s="288"/>
      <c r="F461" s="288"/>
      <c r="G461">
        <f t="shared" si="14"/>
        <v>0</v>
      </c>
      <c r="H461">
        <f t="shared" si="15"/>
        <v>0</v>
      </c>
    </row>
    <row r="462" spans="1:8" hidden="1" x14ac:dyDescent="0.2">
      <c r="C462" t="s">
        <v>4454</v>
      </c>
      <c r="D462" s="295">
        <v>56572.12</v>
      </c>
      <c r="E462" s="288"/>
      <c r="F462" s="288"/>
      <c r="G462">
        <f t="shared" si="14"/>
        <v>0</v>
      </c>
      <c r="H462">
        <f t="shared" si="15"/>
        <v>0</v>
      </c>
    </row>
    <row r="463" spans="1:8" hidden="1" x14ac:dyDescent="0.2">
      <c r="C463" t="s">
        <v>4455</v>
      </c>
      <c r="D463" s="295">
        <v>57878.559999999998</v>
      </c>
      <c r="E463" s="288"/>
      <c r="F463" s="288"/>
      <c r="G463">
        <f t="shared" si="14"/>
        <v>0</v>
      </c>
      <c r="H463">
        <f t="shared" si="15"/>
        <v>0</v>
      </c>
    </row>
    <row r="464" spans="1:8" hidden="1" x14ac:dyDescent="0.2">
      <c r="C464" t="s">
        <v>4456</v>
      </c>
      <c r="D464" s="295">
        <v>59209.77</v>
      </c>
      <c r="E464" s="288"/>
      <c r="F464" s="288"/>
      <c r="G464">
        <f t="shared" si="14"/>
        <v>0</v>
      </c>
      <c r="H464">
        <f t="shared" si="15"/>
        <v>0</v>
      </c>
    </row>
    <row r="465" spans="1:8" hidden="1" x14ac:dyDescent="0.2">
      <c r="C465" t="s">
        <v>4457</v>
      </c>
      <c r="D465" s="295">
        <v>60571.59</v>
      </c>
      <c r="E465" s="288"/>
      <c r="F465" s="288"/>
      <c r="G465">
        <f t="shared" si="14"/>
        <v>0</v>
      </c>
      <c r="H465">
        <f t="shared" si="15"/>
        <v>0</v>
      </c>
    </row>
    <row r="466" spans="1:8" hidden="1" x14ac:dyDescent="0.2">
      <c r="C466" t="s">
        <v>4458</v>
      </c>
      <c r="D466" s="295">
        <v>26968.16</v>
      </c>
      <c r="E466" s="288"/>
      <c r="F466" s="288"/>
      <c r="G466">
        <f t="shared" si="14"/>
        <v>0</v>
      </c>
      <c r="H466">
        <f t="shared" si="15"/>
        <v>0</v>
      </c>
    </row>
    <row r="467" spans="1:8" hidden="1" x14ac:dyDescent="0.2">
      <c r="A467" t="s">
        <v>4459</v>
      </c>
      <c r="B467" t="s">
        <v>3716</v>
      </c>
      <c r="C467" t="s">
        <v>4460</v>
      </c>
      <c r="D467" s="295">
        <v>5602.06</v>
      </c>
      <c r="E467" s="288"/>
      <c r="F467" s="288"/>
      <c r="G467">
        <f t="shared" si="14"/>
        <v>0</v>
      </c>
      <c r="H467">
        <f t="shared" si="15"/>
        <v>0</v>
      </c>
    </row>
    <row r="468" spans="1:8" hidden="1" x14ac:dyDescent="0.2">
      <c r="C468" t="s">
        <v>4461</v>
      </c>
      <c r="D468" s="295">
        <v>75079.41</v>
      </c>
      <c r="E468" s="288"/>
      <c r="F468" s="288"/>
      <c r="G468">
        <f t="shared" si="14"/>
        <v>0</v>
      </c>
      <c r="H468">
        <f t="shared" si="15"/>
        <v>0</v>
      </c>
    </row>
    <row r="469" spans="1:8" hidden="1" x14ac:dyDescent="0.2">
      <c r="C469" t="s">
        <v>4462</v>
      </c>
      <c r="D469" s="295">
        <v>76806.259999999995</v>
      </c>
      <c r="E469" s="288"/>
      <c r="F469" s="288"/>
      <c r="G469">
        <f t="shared" si="14"/>
        <v>0</v>
      </c>
      <c r="H469">
        <f t="shared" si="15"/>
        <v>0</v>
      </c>
    </row>
    <row r="470" spans="1:8" hidden="1" x14ac:dyDescent="0.2">
      <c r="C470" t="s">
        <v>4463</v>
      </c>
      <c r="D470" s="295">
        <v>39286.980000000003</v>
      </c>
      <c r="E470" s="288"/>
      <c r="F470" s="288"/>
      <c r="G470">
        <f t="shared" si="14"/>
        <v>0</v>
      </c>
      <c r="H470">
        <f t="shared" si="15"/>
        <v>0</v>
      </c>
    </row>
    <row r="471" spans="1:8" hidden="1" x14ac:dyDescent="0.2">
      <c r="C471" t="s">
        <v>4464</v>
      </c>
      <c r="D471" s="295">
        <v>40194.25</v>
      </c>
      <c r="E471" s="288"/>
      <c r="F471" s="288"/>
      <c r="G471">
        <f t="shared" si="14"/>
        <v>0</v>
      </c>
      <c r="H471">
        <f t="shared" si="15"/>
        <v>0</v>
      </c>
    </row>
    <row r="472" spans="1:8" hidden="1" x14ac:dyDescent="0.2">
      <c r="C472" t="s">
        <v>4465</v>
      </c>
      <c r="D472" s="295">
        <v>41118.720000000001</v>
      </c>
      <c r="E472" s="288"/>
      <c r="F472" s="288" t="s">
        <v>3678</v>
      </c>
      <c r="G472" t="str">
        <f t="shared" si="14"/>
        <v xml:space="preserve">  IF_0103_1522</v>
      </c>
      <c r="H472">
        <f t="shared" si="15"/>
        <v>0</v>
      </c>
    </row>
    <row r="473" spans="1:8" hidden="1" x14ac:dyDescent="0.2">
      <c r="C473" t="s">
        <v>4466</v>
      </c>
      <c r="D473" s="295">
        <v>42064.44</v>
      </c>
      <c r="E473" s="288"/>
      <c r="F473" s="288"/>
      <c r="G473">
        <f t="shared" si="14"/>
        <v>0</v>
      </c>
      <c r="H473">
        <f t="shared" si="15"/>
        <v>0</v>
      </c>
    </row>
    <row r="474" spans="1:8" hidden="1" x14ac:dyDescent="0.2">
      <c r="C474" t="s">
        <v>4467</v>
      </c>
      <c r="D474" s="295">
        <v>21402.44</v>
      </c>
      <c r="E474" s="288"/>
      <c r="F474" s="288"/>
      <c r="G474">
        <f t="shared" si="14"/>
        <v>0</v>
      </c>
      <c r="H474">
        <f t="shared" si="15"/>
        <v>0</v>
      </c>
    </row>
    <row r="475" spans="1:8" hidden="1" x14ac:dyDescent="0.2">
      <c r="A475" t="s">
        <v>4468</v>
      </c>
      <c r="B475" t="s">
        <v>3787</v>
      </c>
      <c r="C475" t="s">
        <v>4469</v>
      </c>
      <c r="D475" s="295">
        <v>266205.55</v>
      </c>
      <c r="E475" s="288"/>
      <c r="F475" s="288"/>
      <c r="G475">
        <f t="shared" si="14"/>
        <v>0</v>
      </c>
      <c r="H475">
        <f t="shared" si="15"/>
        <v>0</v>
      </c>
    </row>
    <row r="476" spans="1:8" hidden="1" x14ac:dyDescent="0.2">
      <c r="A476" t="s">
        <v>4470</v>
      </c>
      <c r="B476" t="s">
        <v>4240</v>
      </c>
      <c r="C476" t="s">
        <v>4471</v>
      </c>
      <c r="D476" s="295">
        <v>336123.9</v>
      </c>
      <c r="E476" s="288"/>
      <c r="F476" s="288" t="s">
        <v>3678</v>
      </c>
      <c r="G476" t="str">
        <f t="shared" si="14"/>
        <v xml:space="preserve">  IR_0208_1080</v>
      </c>
      <c r="H476">
        <f t="shared" si="15"/>
        <v>0</v>
      </c>
    </row>
    <row r="477" spans="1:8" hidden="1" x14ac:dyDescent="0.2">
      <c r="A477" t="s">
        <v>4472</v>
      </c>
      <c r="B477" t="s">
        <v>3778</v>
      </c>
      <c r="C477" t="s">
        <v>4473</v>
      </c>
      <c r="D477" s="295">
        <v>595623.5</v>
      </c>
      <c r="E477" s="288"/>
      <c r="F477" s="288"/>
      <c r="G477">
        <f t="shared" si="14"/>
        <v>0</v>
      </c>
      <c r="H477">
        <f t="shared" si="15"/>
        <v>0</v>
      </c>
    </row>
    <row r="478" spans="1:8" hidden="1" x14ac:dyDescent="0.2">
      <c r="A478" t="s">
        <v>4474</v>
      </c>
      <c r="B478" t="s">
        <v>4215</v>
      </c>
      <c r="C478" t="s">
        <v>4475</v>
      </c>
      <c r="D478" s="295">
        <v>573279.47</v>
      </c>
      <c r="E478" s="288"/>
      <c r="F478" s="288"/>
      <c r="G478">
        <f t="shared" si="14"/>
        <v>0</v>
      </c>
      <c r="H478">
        <f t="shared" si="15"/>
        <v>0</v>
      </c>
    </row>
    <row r="479" spans="1:8" hidden="1" x14ac:dyDescent="0.2">
      <c r="A479" t="s">
        <v>4476</v>
      </c>
      <c r="B479" t="s">
        <v>3752</v>
      </c>
      <c r="C479" t="s">
        <v>4477</v>
      </c>
      <c r="D479" s="295">
        <v>45797.55</v>
      </c>
      <c r="E479" s="288"/>
      <c r="F479" s="288"/>
      <c r="G479">
        <f t="shared" si="14"/>
        <v>0</v>
      </c>
      <c r="H479">
        <f t="shared" si="15"/>
        <v>0</v>
      </c>
    </row>
    <row r="480" spans="1:8" hidden="1" x14ac:dyDescent="0.2">
      <c r="B480" t="s">
        <v>3754</v>
      </c>
      <c r="C480" t="s">
        <v>4478</v>
      </c>
      <c r="D480" s="295">
        <v>85207.26</v>
      </c>
      <c r="E480" s="288"/>
      <c r="F480" s="288"/>
      <c r="G480">
        <f t="shared" si="14"/>
        <v>0</v>
      </c>
      <c r="H480">
        <f t="shared" si="15"/>
        <v>0</v>
      </c>
    </row>
    <row r="481" spans="1:8" hidden="1" x14ac:dyDescent="0.2">
      <c r="B481" t="s">
        <v>3756</v>
      </c>
      <c r="C481" t="s">
        <v>4479</v>
      </c>
      <c r="D481" s="295">
        <v>39020.639999999999</v>
      </c>
      <c r="E481" s="288"/>
      <c r="F481" s="288"/>
      <c r="G481">
        <f t="shared" si="14"/>
        <v>0</v>
      </c>
      <c r="H481">
        <f t="shared" si="15"/>
        <v>0</v>
      </c>
    </row>
    <row r="482" spans="1:8" hidden="1" x14ac:dyDescent="0.2">
      <c r="B482" t="s">
        <v>3758</v>
      </c>
      <c r="C482" t="s">
        <v>4480</v>
      </c>
      <c r="D482" s="295">
        <v>161444.79</v>
      </c>
      <c r="E482" s="288"/>
      <c r="F482" s="288"/>
      <c r="G482">
        <f t="shared" si="14"/>
        <v>0</v>
      </c>
      <c r="H482">
        <f t="shared" si="15"/>
        <v>0</v>
      </c>
    </row>
    <row r="483" spans="1:8" hidden="1" x14ac:dyDescent="0.2">
      <c r="C483" t="s">
        <v>4481</v>
      </c>
      <c r="D483" s="295">
        <v>80752.649999999994</v>
      </c>
      <c r="E483" s="288"/>
      <c r="F483" s="288"/>
      <c r="G483">
        <f t="shared" si="14"/>
        <v>0</v>
      </c>
      <c r="H483">
        <f t="shared" si="15"/>
        <v>0</v>
      </c>
    </row>
    <row r="484" spans="1:8" hidden="1" x14ac:dyDescent="0.2">
      <c r="B484" t="s">
        <v>3760</v>
      </c>
      <c r="C484" t="s">
        <v>4482</v>
      </c>
      <c r="D484" s="295">
        <v>80999.83</v>
      </c>
      <c r="E484" s="288"/>
      <c r="F484" s="288"/>
      <c r="G484">
        <f t="shared" si="14"/>
        <v>0</v>
      </c>
      <c r="H484">
        <f t="shared" si="15"/>
        <v>0</v>
      </c>
    </row>
    <row r="485" spans="1:8" hidden="1" x14ac:dyDescent="0.2">
      <c r="B485" t="s">
        <v>3762</v>
      </c>
      <c r="C485" t="s">
        <v>4483</v>
      </c>
      <c r="D485" s="295">
        <v>80722.399999999994</v>
      </c>
      <c r="E485" s="288"/>
      <c r="F485" s="288"/>
      <c r="G485">
        <f t="shared" si="14"/>
        <v>0</v>
      </c>
      <c r="H485">
        <f t="shared" si="15"/>
        <v>0</v>
      </c>
    </row>
    <row r="486" spans="1:8" hidden="1" x14ac:dyDescent="0.2">
      <c r="C486" t="s">
        <v>4484</v>
      </c>
      <c r="D486" s="295">
        <v>80722.399999999994</v>
      </c>
      <c r="E486" s="288"/>
      <c r="F486" s="288"/>
      <c r="G486">
        <f t="shared" si="14"/>
        <v>0</v>
      </c>
      <c r="H486">
        <f t="shared" si="15"/>
        <v>0</v>
      </c>
    </row>
    <row r="487" spans="1:8" hidden="1" x14ac:dyDescent="0.2">
      <c r="A487" t="s">
        <v>4485</v>
      </c>
      <c r="B487" t="s">
        <v>4225</v>
      </c>
      <c r="C487" t="s">
        <v>4486</v>
      </c>
      <c r="D487" s="295">
        <v>325748.25</v>
      </c>
      <c r="E487" s="288"/>
      <c r="F487" s="288"/>
      <c r="G487">
        <f t="shared" si="14"/>
        <v>0</v>
      </c>
      <c r="H487">
        <f t="shared" si="15"/>
        <v>0</v>
      </c>
    </row>
    <row r="488" spans="1:8" hidden="1" x14ac:dyDescent="0.2">
      <c r="A488" t="s">
        <v>4487</v>
      </c>
      <c r="B488" t="s">
        <v>3810</v>
      </c>
      <c r="C488" t="s">
        <v>4488</v>
      </c>
      <c r="D488" s="295">
        <v>342378.52</v>
      </c>
      <c r="E488" s="288"/>
      <c r="F488" s="288"/>
      <c r="G488">
        <f t="shared" si="14"/>
        <v>0</v>
      </c>
      <c r="H488">
        <f t="shared" si="15"/>
        <v>0</v>
      </c>
    </row>
    <row r="489" spans="1:8" hidden="1" x14ac:dyDescent="0.2">
      <c r="A489" t="s">
        <v>4489</v>
      </c>
      <c r="B489" t="s">
        <v>4343</v>
      </c>
      <c r="C489" t="s">
        <v>4490</v>
      </c>
      <c r="D489" s="295">
        <v>280103.25</v>
      </c>
      <c r="E489" s="288"/>
      <c r="F489" s="288"/>
      <c r="G489">
        <f t="shared" si="14"/>
        <v>0</v>
      </c>
      <c r="H489">
        <f t="shared" si="15"/>
        <v>0</v>
      </c>
    </row>
    <row r="490" spans="1:8" hidden="1" x14ac:dyDescent="0.2">
      <c r="B490" t="s">
        <v>3817</v>
      </c>
      <c r="C490" t="s">
        <v>4491</v>
      </c>
      <c r="D490" s="295">
        <v>596785.74</v>
      </c>
      <c r="E490" s="288"/>
      <c r="F490" s="288"/>
      <c r="G490">
        <f t="shared" si="14"/>
        <v>0</v>
      </c>
      <c r="H490">
        <f t="shared" si="15"/>
        <v>0</v>
      </c>
    </row>
    <row r="491" spans="1:8" hidden="1" x14ac:dyDescent="0.2">
      <c r="C491" t="s">
        <v>4492</v>
      </c>
      <c r="D491" s="295">
        <v>327053.03999999998</v>
      </c>
      <c r="E491" s="288"/>
      <c r="F491" s="288"/>
      <c r="G491">
        <f t="shared" si="14"/>
        <v>0</v>
      </c>
      <c r="H491">
        <f t="shared" si="15"/>
        <v>0</v>
      </c>
    </row>
    <row r="492" spans="1:8" hidden="1" x14ac:dyDescent="0.2">
      <c r="A492" t="s">
        <v>4493</v>
      </c>
      <c r="B492" t="s">
        <v>3752</v>
      </c>
      <c r="C492" t="s">
        <v>4494</v>
      </c>
      <c r="D492" s="295">
        <v>141364.28</v>
      </c>
      <c r="E492" s="288"/>
      <c r="F492" s="288"/>
      <c r="G492">
        <f t="shared" si="14"/>
        <v>0</v>
      </c>
      <c r="H492">
        <f t="shared" si="15"/>
        <v>0</v>
      </c>
    </row>
    <row r="493" spans="1:8" hidden="1" x14ac:dyDescent="0.2">
      <c r="B493" t="s">
        <v>3754</v>
      </c>
      <c r="C493" t="s">
        <v>4495</v>
      </c>
      <c r="D493" s="295">
        <v>328566.90000000002</v>
      </c>
      <c r="E493" s="288"/>
      <c r="F493" s="288"/>
      <c r="G493">
        <f t="shared" si="14"/>
        <v>0</v>
      </c>
      <c r="H493">
        <f t="shared" si="15"/>
        <v>0</v>
      </c>
    </row>
    <row r="494" spans="1:8" hidden="1" x14ac:dyDescent="0.2">
      <c r="B494" t="s">
        <v>3762</v>
      </c>
      <c r="C494" t="s">
        <v>4496</v>
      </c>
      <c r="D494" s="295">
        <v>65060.14</v>
      </c>
      <c r="E494" s="288"/>
      <c r="F494" s="288"/>
      <c r="G494">
        <f t="shared" si="14"/>
        <v>0</v>
      </c>
      <c r="H494">
        <f t="shared" si="15"/>
        <v>0</v>
      </c>
    </row>
    <row r="495" spans="1:8" hidden="1" x14ac:dyDescent="0.2">
      <c r="A495" t="s">
        <v>4497</v>
      </c>
      <c r="B495" t="s">
        <v>4215</v>
      </c>
      <c r="C495" t="s">
        <v>4498</v>
      </c>
      <c r="D495" s="295">
        <v>513370.45</v>
      </c>
      <c r="E495" s="288"/>
      <c r="F495" s="288"/>
      <c r="G495">
        <f t="shared" si="14"/>
        <v>0</v>
      </c>
      <c r="H495">
        <f t="shared" si="15"/>
        <v>0</v>
      </c>
    </row>
    <row r="496" spans="1:8" hidden="1" x14ac:dyDescent="0.2">
      <c r="A496" t="s">
        <v>4499</v>
      </c>
      <c r="B496" t="s">
        <v>4500</v>
      </c>
      <c r="C496" t="s">
        <v>4501</v>
      </c>
      <c r="D496" s="295">
        <v>816902.85</v>
      </c>
      <c r="E496" s="288"/>
      <c r="F496" s="288"/>
      <c r="G496">
        <f t="shared" si="14"/>
        <v>0</v>
      </c>
      <c r="H496">
        <f t="shared" si="15"/>
        <v>0</v>
      </c>
    </row>
    <row r="497" spans="1:8" hidden="1" x14ac:dyDescent="0.2">
      <c r="A497" t="s">
        <v>4502</v>
      </c>
      <c r="B497" t="s">
        <v>4503</v>
      </c>
      <c r="C497" t="s">
        <v>4504</v>
      </c>
      <c r="D497" s="295">
        <v>443846.91</v>
      </c>
      <c r="E497" s="288"/>
      <c r="F497" s="288"/>
      <c r="G497">
        <f t="shared" si="14"/>
        <v>0</v>
      </c>
      <c r="H497">
        <f t="shared" si="15"/>
        <v>0</v>
      </c>
    </row>
    <row r="498" spans="1:8" hidden="1" x14ac:dyDescent="0.2">
      <c r="A498" t="s">
        <v>4505</v>
      </c>
      <c r="B498" t="s">
        <v>4506</v>
      </c>
      <c r="C498" t="s">
        <v>4507</v>
      </c>
      <c r="D498" s="295">
        <v>523328.52</v>
      </c>
      <c r="E498" s="288"/>
      <c r="F498" s="288"/>
      <c r="G498">
        <f t="shared" si="14"/>
        <v>0</v>
      </c>
      <c r="H498">
        <f t="shared" si="15"/>
        <v>0</v>
      </c>
    </row>
    <row r="499" spans="1:8" hidden="1" x14ac:dyDescent="0.2">
      <c r="A499" t="s">
        <v>4508</v>
      </c>
      <c r="B499" t="s">
        <v>4509</v>
      </c>
      <c r="C499" t="s">
        <v>4510</v>
      </c>
      <c r="D499" s="295">
        <v>362769.99</v>
      </c>
      <c r="E499" s="288"/>
      <c r="F499" s="288"/>
      <c r="G499">
        <f t="shared" si="14"/>
        <v>0</v>
      </c>
      <c r="H499">
        <f t="shared" si="15"/>
        <v>0</v>
      </c>
    </row>
    <row r="500" spans="1:8" hidden="1" x14ac:dyDescent="0.2">
      <c r="A500" t="s">
        <v>4511</v>
      </c>
      <c r="B500" t="s">
        <v>4509</v>
      </c>
      <c r="C500" t="s">
        <v>4512</v>
      </c>
      <c r="D500" s="295">
        <v>373696.72</v>
      </c>
      <c r="E500" s="288"/>
      <c r="F500" s="288"/>
      <c r="G500">
        <f t="shared" si="14"/>
        <v>0</v>
      </c>
      <c r="H500">
        <f t="shared" si="15"/>
        <v>0</v>
      </c>
    </row>
    <row r="501" spans="1:8" hidden="1" x14ac:dyDescent="0.2">
      <c r="A501" t="s">
        <v>4513</v>
      </c>
      <c r="B501" t="s">
        <v>4514</v>
      </c>
      <c r="C501" t="s">
        <v>4515</v>
      </c>
      <c r="D501" s="295">
        <v>362769.99</v>
      </c>
      <c r="E501" s="288"/>
      <c r="F501" s="288"/>
      <c r="G501">
        <f t="shared" si="14"/>
        <v>0</v>
      </c>
      <c r="H501">
        <f t="shared" si="15"/>
        <v>0</v>
      </c>
    </row>
    <row r="502" spans="1:8" hidden="1" x14ac:dyDescent="0.2">
      <c r="A502" t="s">
        <v>4516</v>
      </c>
      <c r="B502" t="s">
        <v>4517</v>
      </c>
      <c r="C502" t="s">
        <v>4518</v>
      </c>
      <c r="D502" s="295">
        <v>1073714.25</v>
      </c>
      <c r="E502" s="288"/>
      <c r="F502" s="288"/>
      <c r="G502">
        <f t="shared" si="14"/>
        <v>0</v>
      </c>
      <c r="H502">
        <f t="shared" si="15"/>
        <v>0</v>
      </c>
    </row>
    <row r="503" spans="1:8" hidden="1" x14ac:dyDescent="0.2">
      <c r="A503" t="s">
        <v>4519</v>
      </c>
      <c r="B503" t="s">
        <v>4520</v>
      </c>
      <c r="C503" t="s">
        <v>4521</v>
      </c>
      <c r="D503" s="295">
        <v>774101.14</v>
      </c>
      <c r="E503" s="288"/>
      <c r="F503" s="288"/>
      <c r="G503">
        <f t="shared" si="14"/>
        <v>0</v>
      </c>
      <c r="H503">
        <f t="shared" si="15"/>
        <v>0</v>
      </c>
    </row>
    <row r="504" spans="1:8" hidden="1" x14ac:dyDescent="0.2">
      <c r="A504" t="s">
        <v>4522</v>
      </c>
      <c r="B504" t="s">
        <v>4523</v>
      </c>
      <c r="C504" t="s">
        <v>4524</v>
      </c>
      <c r="D504" s="295">
        <v>507773.32</v>
      </c>
      <c r="E504" s="288"/>
      <c r="F504" s="288"/>
      <c r="G504">
        <f t="shared" si="14"/>
        <v>0</v>
      </c>
      <c r="H504">
        <f t="shared" si="15"/>
        <v>0</v>
      </c>
    </row>
    <row r="505" spans="1:8" hidden="1" x14ac:dyDescent="0.2">
      <c r="A505" t="s">
        <v>4525</v>
      </c>
      <c r="B505" t="s">
        <v>3927</v>
      </c>
      <c r="C505" t="s">
        <v>4526</v>
      </c>
      <c r="D505" s="295">
        <v>860944.46</v>
      </c>
      <c r="E505" s="288"/>
      <c r="F505" s="288"/>
      <c r="G505">
        <f t="shared" si="14"/>
        <v>0</v>
      </c>
      <c r="H505">
        <f t="shared" si="15"/>
        <v>0</v>
      </c>
    </row>
    <row r="506" spans="1:8" hidden="1" x14ac:dyDescent="0.2">
      <c r="A506" t="s">
        <v>4527</v>
      </c>
      <c r="B506" t="s">
        <v>4528</v>
      </c>
      <c r="C506" t="s">
        <v>4529</v>
      </c>
      <c r="D506" s="295">
        <v>347042.48</v>
      </c>
      <c r="E506" s="288"/>
      <c r="F506" s="288"/>
      <c r="G506">
        <f t="shared" si="14"/>
        <v>0</v>
      </c>
      <c r="H506">
        <f t="shared" si="15"/>
        <v>0</v>
      </c>
    </row>
    <row r="507" spans="1:8" hidden="1" x14ac:dyDescent="0.2">
      <c r="A507" t="s">
        <v>4530</v>
      </c>
      <c r="B507" t="s">
        <v>4531</v>
      </c>
      <c r="C507" t="s">
        <v>4532</v>
      </c>
      <c r="D507" s="295">
        <v>2132703.37</v>
      </c>
      <c r="E507" s="288"/>
      <c r="F507" s="288"/>
      <c r="G507">
        <f t="shared" si="14"/>
        <v>0</v>
      </c>
      <c r="H507">
        <f t="shared" si="15"/>
        <v>0</v>
      </c>
    </row>
    <row r="508" spans="1:8" hidden="1" x14ac:dyDescent="0.2">
      <c r="A508" t="s">
        <v>4533</v>
      </c>
      <c r="B508" t="s">
        <v>4534</v>
      </c>
      <c r="C508" t="s">
        <v>4535</v>
      </c>
      <c r="D508" s="295">
        <v>1110777.45</v>
      </c>
      <c r="E508" s="288"/>
      <c r="F508" s="288"/>
      <c r="G508">
        <f t="shared" si="14"/>
        <v>0</v>
      </c>
      <c r="H508">
        <f t="shared" si="15"/>
        <v>0</v>
      </c>
    </row>
    <row r="509" spans="1:8" hidden="1" x14ac:dyDescent="0.2">
      <c r="A509" t="s">
        <v>4536</v>
      </c>
      <c r="B509" t="s">
        <v>4537</v>
      </c>
      <c r="C509" t="s">
        <v>4538</v>
      </c>
      <c r="D509" s="295">
        <v>1170910.97</v>
      </c>
      <c r="E509" s="288"/>
      <c r="F509" s="288"/>
      <c r="G509">
        <f t="shared" si="14"/>
        <v>0</v>
      </c>
      <c r="H509">
        <f t="shared" si="15"/>
        <v>0</v>
      </c>
    </row>
    <row r="510" spans="1:8" hidden="1" x14ac:dyDescent="0.2">
      <c r="A510" t="s">
        <v>4539</v>
      </c>
      <c r="B510" t="s">
        <v>4540</v>
      </c>
      <c r="C510" t="s">
        <v>4541</v>
      </c>
      <c r="D510" s="295">
        <v>1413482.85</v>
      </c>
      <c r="E510" s="288"/>
      <c r="F510" s="288"/>
      <c r="G510">
        <f t="shared" si="14"/>
        <v>0</v>
      </c>
      <c r="H510">
        <f t="shared" si="15"/>
        <v>0</v>
      </c>
    </row>
    <row r="511" spans="1:8" hidden="1" x14ac:dyDescent="0.2">
      <c r="A511" t="s">
        <v>4542</v>
      </c>
      <c r="B511" t="s">
        <v>4543</v>
      </c>
      <c r="C511" t="s">
        <v>4544</v>
      </c>
      <c r="D511" s="295">
        <v>686155.72</v>
      </c>
      <c r="E511" s="288"/>
      <c r="F511" s="288"/>
      <c r="G511">
        <f t="shared" si="14"/>
        <v>0</v>
      </c>
      <c r="H511">
        <f t="shared" si="15"/>
        <v>0</v>
      </c>
    </row>
    <row r="512" spans="1:8" hidden="1" x14ac:dyDescent="0.2">
      <c r="A512" t="s">
        <v>4545</v>
      </c>
      <c r="B512" t="s">
        <v>4546</v>
      </c>
      <c r="C512" t="s">
        <v>4547</v>
      </c>
      <c r="D512" s="295">
        <v>336727.83</v>
      </c>
      <c r="E512" s="288"/>
      <c r="F512" s="288"/>
      <c r="G512">
        <f t="shared" si="14"/>
        <v>0</v>
      </c>
      <c r="H512">
        <f t="shared" si="15"/>
        <v>0</v>
      </c>
    </row>
    <row r="513" spans="1:8" hidden="1" x14ac:dyDescent="0.2">
      <c r="C513" t="s">
        <v>4548</v>
      </c>
      <c r="D513" s="295">
        <v>353653.14</v>
      </c>
      <c r="E513" s="288"/>
      <c r="F513" s="288"/>
      <c r="G513">
        <f t="shared" si="14"/>
        <v>0</v>
      </c>
      <c r="H513">
        <f t="shared" si="15"/>
        <v>0</v>
      </c>
    </row>
    <row r="514" spans="1:8" hidden="1" x14ac:dyDescent="0.2">
      <c r="C514" t="s">
        <v>4549</v>
      </c>
      <c r="D514" s="295">
        <v>380570.25</v>
      </c>
      <c r="E514" s="288"/>
      <c r="F514" s="288"/>
      <c r="G514">
        <f t="shared" si="14"/>
        <v>0</v>
      </c>
      <c r="H514">
        <f t="shared" si="15"/>
        <v>0</v>
      </c>
    </row>
    <row r="515" spans="1:8" hidden="1" x14ac:dyDescent="0.2">
      <c r="B515" t="s">
        <v>4550</v>
      </c>
      <c r="C515" t="s">
        <v>4551</v>
      </c>
      <c r="D515" s="295">
        <v>336727.83</v>
      </c>
      <c r="E515" s="288"/>
      <c r="F515" s="288"/>
      <c r="G515">
        <f t="shared" si="14"/>
        <v>0</v>
      </c>
      <c r="H515">
        <f t="shared" si="15"/>
        <v>0</v>
      </c>
    </row>
    <row r="516" spans="1:8" hidden="1" x14ac:dyDescent="0.2">
      <c r="C516" t="s">
        <v>4552</v>
      </c>
      <c r="D516" s="295">
        <v>353653.14</v>
      </c>
      <c r="E516" s="288"/>
      <c r="F516" s="288"/>
      <c r="G516">
        <f t="shared" si="14"/>
        <v>0</v>
      </c>
      <c r="H516">
        <f t="shared" si="15"/>
        <v>0</v>
      </c>
    </row>
    <row r="517" spans="1:8" hidden="1" x14ac:dyDescent="0.2">
      <c r="C517" t="s">
        <v>4553</v>
      </c>
      <c r="D517" s="295">
        <v>380570.25</v>
      </c>
      <c r="E517" s="288"/>
      <c r="F517" s="288"/>
      <c r="G517">
        <f t="shared" si="14"/>
        <v>0</v>
      </c>
      <c r="H517">
        <f t="shared" si="15"/>
        <v>0</v>
      </c>
    </row>
    <row r="518" spans="1:8" hidden="1" x14ac:dyDescent="0.2">
      <c r="A518" t="s">
        <v>4554</v>
      </c>
      <c r="B518" t="s">
        <v>3784</v>
      </c>
      <c r="C518" t="s">
        <v>4555</v>
      </c>
      <c r="D518" s="295">
        <v>1898670.8</v>
      </c>
      <c r="E518" s="288"/>
      <c r="F518" s="288"/>
      <c r="G518">
        <f t="shared" ref="G518:G581" si="16">IF(F518="X",C518,0)</f>
        <v>0</v>
      </c>
      <c r="H518">
        <f t="shared" ref="H518:H581" si="17">IF(E518="X",C518,0)</f>
        <v>0</v>
      </c>
    </row>
    <row r="519" spans="1:8" hidden="1" x14ac:dyDescent="0.2">
      <c r="A519" t="s">
        <v>4556</v>
      </c>
      <c r="B519" t="s">
        <v>4557</v>
      </c>
      <c r="C519" t="s">
        <v>4558</v>
      </c>
      <c r="D519" s="295">
        <v>293694.18</v>
      </c>
      <c r="E519" s="288"/>
      <c r="F519" s="288"/>
      <c r="G519">
        <f t="shared" si="16"/>
        <v>0</v>
      </c>
      <c r="H519">
        <f t="shared" si="17"/>
        <v>0</v>
      </c>
    </row>
    <row r="520" spans="1:8" hidden="1" x14ac:dyDescent="0.2">
      <c r="A520" t="s">
        <v>4559</v>
      </c>
      <c r="B520" t="s">
        <v>4560</v>
      </c>
      <c r="C520" t="s">
        <v>4561</v>
      </c>
      <c r="D520" s="295">
        <v>607776.56000000006</v>
      </c>
      <c r="E520" s="288"/>
      <c r="F520" s="288"/>
      <c r="G520">
        <f t="shared" si="16"/>
        <v>0</v>
      </c>
      <c r="H520">
        <f t="shared" si="17"/>
        <v>0</v>
      </c>
    </row>
    <row r="521" spans="1:8" hidden="1" x14ac:dyDescent="0.2">
      <c r="A521" t="s">
        <v>4562</v>
      </c>
      <c r="B521" t="s">
        <v>4560</v>
      </c>
      <c r="C521" t="s">
        <v>4563</v>
      </c>
      <c r="D521" s="295">
        <v>317693.59000000003</v>
      </c>
      <c r="E521" s="288"/>
      <c r="F521" s="288"/>
      <c r="G521">
        <f t="shared" si="16"/>
        <v>0</v>
      </c>
      <c r="H521">
        <f t="shared" si="17"/>
        <v>0</v>
      </c>
    </row>
    <row r="522" spans="1:8" hidden="1" x14ac:dyDescent="0.2">
      <c r="A522" t="s">
        <v>4564</v>
      </c>
      <c r="B522" t="s">
        <v>4560</v>
      </c>
      <c r="C522" t="s">
        <v>4565</v>
      </c>
      <c r="D522" s="295">
        <v>443370.48</v>
      </c>
      <c r="E522" s="288"/>
      <c r="F522" s="288"/>
      <c r="G522">
        <f t="shared" si="16"/>
        <v>0</v>
      </c>
      <c r="H522">
        <f t="shared" si="17"/>
        <v>0</v>
      </c>
    </row>
    <row r="523" spans="1:8" hidden="1" x14ac:dyDescent="0.2">
      <c r="A523" t="s">
        <v>4566</v>
      </c>
      <c r="B523" t="s">
        <v>4560</v>
      </c>
      <c r="C523" t="s">
        <v>4567</v>
      </c>
      <c r="D523" s="295">
        <v>295027.5</v>
      </c>
      <c r="E523" s="288"/>
      <c r="F523" s="288"/>
      <c r="G523">
        <f t="shared" si="16"/>
        <v>0</v>
      </c>
      <c r="H523">
        <f t="shared" si="17"/>
        <v>0</v>
      </c>
    </row>
    <row r="524" spans="1:8" hidden="1" x14ac:dyDescent="0.2">
      <c r="A524" t="s">
        <v>4568</v>
      </c>
      <c r="B524" t="s">
        <v>4569</v>
      </c>
      <c r="C524" t="s">
        <v>4570</v>
      </c>
      <c r="D524" s="295">
        <v>727067.37</v>
      </c>
      <c r="E524" s="288"/>
      <c r="F524" s="288"/>
      <c r="G524">
        <f t="shared" si="16"/>
        <v>0</v>
      </c>
      <c r="H524">
        <f t="shared" si="17"/>
        <v>0</v>
      </c>
    </row>
    <row r="525" spans="1:8" hidden="1" x14ac:dyDescent="0.2">
      <c r="A525" t="s">
        <v>4571</v>
      </c>
      <c r="B525" t="s">
        <v>3921</v>
      </c>
      <c r="C525" t="s">
        <v>4572</v>
      </c>
      <c r="D525" s="295">
        <v>484322.49</v>
      </c>
      <c r="E525" s="288"/>
      <c r="F525" s="288"/>
      <c r="G525">
        <f t="shared" si="16"/>
        <v>0</v>
      </c>
      <c r="H525">
        <f t="shared" si="17"/>
        <v>0</v>
      </c>
    </row>
    <row r="526" spans="1:8" hidden="1" x14ac:dyDescent="0.2">
      <c r="A526" t="s">
        <v>4573</v>
      </c>
      <c r="B526" t="s">
        <v>3810</v>
      </c>
      <c r="C526" t="s">
        <v>4574</v>
      </c>
      <c r="D526" s="295">
        <v>547762.64</v>
      </c>
      <c r="E526" s="288"/>
      <c r="F526" s="288"/>
      <c r="G526">
        <f t="shared" si="16"/>
        <v>0</v>
      </c>
      <c r="H526">
        <f t="shared" si="17"/>
        <v>0</v>
      </c>
    </row>
    <row r="527" spans="1:8" hidden="1" x14ac:dyDescent="0.2">
      <c r="A527" t="s">
        <v>4575</v>
      </c>
      <c r="B527" t="s">
        <v>4576</v>
      </c>
      <c r="C527" t="s">
        <v>4577</v>
      </c>
      <c r="D527" s="295">
        <v>291488.63</v>
      </c>
      <c r="E527" s="288"/>
      <c r="F527" s="288"/>
      <c r="G527">
        <f t="shared" si="16"/>
        <v>0</v>
      </c>
      <c r="H527">
        <f t="shared" si="17"/>
        <v>0</v>
      </c>
    </row>
    <row r="528" spans="1:8" hidden="1" x14ac:dyDescent="0.2">
      <c r="A528" t="s">
        <v>4578</v>
      </c>
      <c r="B528" t="s">
        <v>4347</v>
      </c>
      <c r="C528" t="s">
        <v>4579</v>
      </c>
      <c r="D528" s="295">
        <v>286628.5</v>
      </c>
      <c r="E528" s="288"/>
      <c r="F528" s="288"/>
      <c r="G528">
        <f t="shared" si="16"/>
        <v>0</v>
      </c>
      <c r="H528">
        <f t="shared" si="17"/>
        <v>0</v>
      </c>
    </row>
    <row r="529" spans="1:8" hidden="1" x14ac:dyDescent="0.2">
      <c r="A529" t="s">
        <v>4580</v>
      </c>
      <c r="B529" t="s">
        <v>4581</v>
      </c>
      <c r="C529" t="s">
        <v>4582</v>
      </c>
      <c r="D529" s="295">
        <v>321106.92</v>
      </c>
      <c r="E529" s="288"/>
      <c r="F529" s="288"/>
      <c r="G529">
        <f t="shared" si="16"/>
        <v>0</v>
      </c>
      <c r="H529">
        <f t="shared" si="17"/>
        <v>0</v>
      </c>
    </row>
    <row r="530" spans="1:8" hidden="1" x14ac:dyDescent="0.2">
      <c r="A530" t="s">
        <v>4583</v>
      </c>
      <c r="B530" t="s">
        <v>4584</v>
      </c>
      <c r="C530" t="s">
        <v>4585</v>
      </c>
      <c r="D530" s="295">
        <v>338573.64</v>
      </c>
      <c r="E530" s="288"/>
      <c r="F530" s="288"/>
      <c r="G530">
        <f t="shared" si="16"/>
        <v>0</v>
      </c>
      <c r="H530">
        <f t="shared" si="17"/>
        <v>0</v>
      </c>
    </row>
    <row r="531" spans="1:8" hidden="1" x14ac:dyDescent="0.2">
      <c r="A531" t="s">
        <v>4586</v>
      </c>
      <c r="B531" t="s">
        <v>4352</v>
      </c>
      <c r="C531" t="s">
        <v>4587</v>
      </c>
      <c r="D531" s="295">
        <v>342973.96</v>
      </c>
      <c r="E531" s="288"/>
      <c r="F531" s="288"/>
      <c r="G531">
        <f t="shared" si="16"/>
        <v>0</v>
      </c>
      <c r="H531">
        <f t="shared" si="17"/>
        <v>0</v>
      </c>
    </row>
    <row r="532" spans="1:8" hidden="1" x14ac:dyDescent="0.2">
      <c r="A532" t="s">
        <v>4588</v>
      </c>
      <c r="B532" t="s">
        <v>4589</v>
      </c>
      <c r="C532" t="s">
        <v>4590</v>
      </c>
      <c r="D532" s="295">
        <v>990724.11</v>
      </c>
      <c r="E532" s="288"/>
      <c r="F532" s="288"/>
      <c r="G532">
        <f t="shared" si="16"/>
        <v>0</v>
      </c>
      <c r="H532">
        <f t="shared" si="17"/>
        <v>0</v>
      </c>
    </row>
    <row r="533" spans="1:8" hidden="1" x14ac:dyDescent="0.2">
      <c r="A533" t="s">
        <v>4591</v>
      </c>
      <c r="B533" t="s">
        <v>4347</v>
      </c>
      <c r="C533" t="s">
        <v>4592</v>
      </c>
      <c r="D533" s="295">
        <v>690517.52</v>
      </c>
      <c r="E533" s="288"/>
      <c r="F533" s="288"/>
      <c r="G533">
        <f t="shared" si="16"/>
        <v>0</v>
      </c>
      <c r="H533">
        <f t="shared" si="17"/>
        <v>0</v>
      </c>
    </row>
    <row r="534" spans="1:8" hidden="1" x14ac:dyDescent="0.2">
      <c r="A534" t="s">
        <v>4593</v>
      </c>
      <c r="B534" t="s">
        <v>4594</v>
      </c>
      <c r="C534" t="s">
        <v>4595</v>
      </c>
      <c r="D534" s="295">
        <v>1103802.8400000001</v>
      </c>
      <c r="E534" s="288"/>
      <c r="F534" s="288"/>
      <c r="G534">
        <f t="shared" si="16"/>
        <v>0</v>
      </c>
      <c r="H534">
        <f t="shared" si="17"/>
        <v>0</v>
      </c>
    </row>
    <row r="535" spans="1:8" hidden="1" x14ac:dyDescent="0.2">
      <c r="A535" t="s">
        <v>4596</v>
      </c>
      <c r="B535" t="s">
        <v>4597</v>
      </c>
      <c r="C535" t="s">
        <v>4598</v>
      </c>
      <c r="D535" s="295">
        <v>564943.93999999994</v>
      </c>
      <c r="E535" s="288"/>
      <c r="F535" s="288"/>
      <c r="G535">
        <f t="shared" si="16"/>
        <v>0</v>
      </c>
      <c r="H535">
        <f t="shared" si="17"/>
        <v>0</v>
      </c>
    </row>
    <row r="536" spans="1:8" hidden="1" x14ac:dyDescent="0.2">
      <c r="A536" t="s">
        <v>4599</v>
      </c>
      <c r="B536" t="s">
        <v>4600</v>
      </c>
      <c r="C536" t="s">
        <v>4601</v>
      </c>
      <c r="D536" s="295">
        <v>1045068.81</v>
      </c>
      <c r="E536" s="288"/>
      <c r="F536" s="288"/>
      <c r="G536">
        <f t="shared" si="16"/>
        <v>0</v>
      </c>
      <c r="H536">
        <f t="shared" si="17"/>
        <v>0</v>
      </c>
    </row>
    <row r="537" spans="1:8" hidden="1" x14ac:dyDescent="0.2">
      <c r="A537" t="s">
        <v>4602</v>
      </c>
      <c r="B537" t="s">
        <v>4600</v>
      </c>
      <c r="C537" t="s">
        <v>4603</v>
      </c>
      <c r="D537" s="295">
        <v>930931.63</v>
      </c>
      <c r="E537" s="288"/>
      <c r="F537" s="288"/>
      <c r="G537">
        <f t="shared" si="16"/>
        <v>0</v>
      </c>
      <c r="H537">
        <f t="shared" si="17"/>
        <v>0</v>
      </c>
    </row>
    <row r="538" spans="1:8" hidden="1" x14ac:dyDescent="0.2">
      <c r="A538" t="s">
        <v>4604</v>
      </c>
      <c r="B538" t="s">
        <v>4605</v>
      </c>
      <c r="C538" t="s">
        <v>4606</v>
      </c>
      <c r="D538" s="295">
        <v>1018786.84</v>
      </c>
      <c r="E538" s="288"/>
      <c r="F538" s="288"/>
      <c r="G538">
        <f t="shared" si="16"/>
        <v>0</v>
      </c>
      <c r="H538">
        <f t="shared" si="17"/>
        <v>0</v>
      </c>
    </row>
    <row r="539" spans="1:8" hidden="1" x14ac:dyDescent="0.2">
      <c r="A539" t="s">
        <v>4607</v>
      </c>
      <c r="B539" t="s">
        <v>4208</v>
      </c>
      <c r="C539" t="s">
        <v>4608</v>
      </c>
      <c r="D539" s="295">
        <v>997710.9</v>
      </c>
      <c r="E539" s="288"/>
      <c r="F539" s="288"/>
      <c r="G539">
        <f t="shared" si="16"/>
        <v>0</v>
      </c>
      <c r="H539">
        <f t="shared" si="17"/>
        <v>0</v>
      </c>
    </row>
    <row r="540" spans="1:8" hidden="1" x14ac:dyDescent="0.2">
      <c r="A540" t="s">
        <v>4609</v>
      </c>
      <c r="B540" t="s">
        <v>4610</v>
      </c>
      <c r="C540" t="s">
        <v>4611</v>
      </c>
      <c r="D540" s="295">
        <v>1134653.43</v>
      </c>
      <c r="E540" s="288"/>
      <c r="F540" s="288"/>
      <c r="G540">
        <f t="shared" si="16"/>
        <v>0</v>
      </c>
      <c r="H540">
        <f t="shared" si="17"/>
        <v>0</v>
      </c>
    </row>
    <row r="541" spans="1:8" hidden="1" x14ac:dyDescent="0.2">
      <c r="A541" t="s">
        <v>4612</v>
      </c>
      <c r="B541" t="s">
        <v>4208</v>
      </c>
      <c r="C541" t="s">
        <v>4613</v>
      </c>
      <c r="D541" s="295">
        <v>1139931.42</v>
      </c>
      <c r="E541" s="288"/>
      <c r="F541" s="288"/>
      <c r="G541">
        <f t="shared" si="16"/>
        <v>0</v>
      </c>
      <c r="H541">
        <f t="shared" si="17"/>
        <v>0</v>
      </c>
    </row>
    <row r="542" spans="1:8" hidden="1" x14ac:dyDescent="0.2">
      <c r="A542" t="s">
        <v>4614</v>
      </c>
      <c r="B542" t="s">
        <v>4615</v>
      </c>
      <c r="C542" t="s">
        <v>4616</v>
      </c>
      <c r="D542" s="295">
        <v>918128.29</v>
      </c>
      <c r="E542" s="288"/>
      <c r="F542" s="288"/>
      <c r="G542">
        <f t="shared" si="16"/>
        <v>0</v>
      </c>
      <c r="H542">
        <f t="shared" si="17"/>
        <v>0</v>
      </c>
    </row>
    <row r="543" spans="1:8" hidden="1" x14ac:dyDescent="0.2">
      <c r="A543" t="s">
        <v>4617</v>
      </c>
      <c r="B543" t="s">
        <v>4600</v>
      </c>
      <c r="C543" t="s">
        <v>4618</v>
      </c>
      <c r="D543" s="295">
        <v>1592022.2</v>
      </c>
      <c r="E543" s="288"/>
      <c r="F543" s="288"/>
      <c r="G543">
        <f t="shared" si="16"/>
        <v>0</v>
      </c>
      <c r="H543">
        <f t="shared" si="17"/>
        <v>0</v>
      </c>
    </row>
    <row r="544" spans="1:8" hidden="1" x14ac:dyDescent="0.2">
      <c r="A544" t="s">
        <v>4619</v>
      </c>
      <c r="B544" t="s">
        <v>4620</v>
      </c>
      <c r="C544" t="s">
        <v>4621</v>
      </c>
      <c r="D544" s="295">
        <v>1698406.53</v>
      </c>
      <c r="E544" s="288"/>
      <c r="F544" s="288"/>
      <c r="G544">
        <f t="shared" si="16"/>
        <v>0</v>
      </c>
      <c r="H544">
        <f t="shared" si="17"/>
        <v>0</v>
      </c>
    </row>
    <row r="545" spans="1:8" hidden="1" x14ac:dyDescent="0.2">
      <c r="A545" t="s">
        <v>4622</v>
      </c>
      <c r="B545" t="s">
        <v>4347</v>
      </c>
      <c r="C545" t="s">
        <v>4623</v>
      </c>
      <c r="D545" s="295">
        <v>1702942.62</v>
      </c>
      <c r="E545" s="288"/>
      <c r="F545" s="288"/>
      <c r="G545">
        <f t="shared" si="16"/>
        <v>0</v>
      </c>
      <c r="H545">
        <f t="shared" si="17"/>
        <v>0</v>
      </c>
    </row>
    <row r="546" spans="1:8" hidden="1" x14ac:dyDescent="0.2">
      <c r="A546" t="s">
        <v>4624</v>
      </c>
      <c r="B546" t="s">
        <v>3698</v>
      </c>
      <c r="C546" t="s">
        <v>4625</v>
      </c>
      <c r="D546" s="295">
        <v>2305463.9</v>
      </c>
      <c r="E546" s="288"/>
      <c r="F546" s="288"/>
      <c r="G546">
        <f t="shared" si="16"/>
        <v>0</v>
      </c>
      <c r="H546">
        <f t="shared" si="17"/>
        <v>0</v>
      </c>
    </row>
    <row r="547" spans="1:8" hidden="1" x14ac:dyDescent="0.2">
      <c r="A547" t="s">
        <v>4626</v>
      </c>
      <c r="B547" t="s">
        <v>3698</v>
      </c>
      <c r="C547" t="s">
        <v>4627</v>
      </c>
      <c r="D547" s="295">
        <v>2305463.9</v>
      </c>
      <c r="E547" s="288"/>
      <c r="F547" s="288"/>
      <c r="G547">
        <f t="shared" si="16"/>
        <v>0</v>
      </c>
      <c r="H547">
        <f t="shared" si="17"/>
        <v>0</v>
      </c>
    </row>
    <row r="548" spans="1:8" hidden="1" x14ac:dyDescent="0.2">
      <c r="A548" t="s">
        <v>4628</v>
      </c>
      <c r="B548" t="s">
        <v>4629</v>
      </c>
      <c r="C548" t="s">
        <v>4630</v>
      </c>
      <c r="D548" s="295">
        <v>719115.02</v>
      </c>
      <c r="E548" s="288"/>
      <c r="F548" s="288"/>
      <c r="G548">
        <f t="shared" si="16"/>
        <v>0</v>
      </c>
      <c r="H548">
        <f t="shared" si="17"/>
        <v>0</v>
      </c>
    </row>
    <row r="549" spans="1:8" hidden="1" x14ac:dyDescent="0.2">
      <c r="A549" t="s">
        <v>4631</v>
      </c>
      <c r="B549" t="s">
        <v>4629</v>
      </c>
      <c r="C549" t="s">
        <v>4632</v>
      </c>
      <c r="D549" s="295">
        <v>1454134.73</v>
      </c>
      <c r="E549" s="288"/>
      <c r="F549" s="288"/>
      <c r="G549">
        <f t="shared" si="16"/>
        <v>0</v>
      </c>
      <c r="H549">
        <f t="shared" si="17"/>
        <v>0</v>
      </c>
    </row>
    <row r="550" spans="1:8" hidden="1" x14ac:dyDescent="0.2">
      <c r="A550" t="s">
        <v>4633</v>
      </c>
      <c r="B550" t="s">
        <v>3813</v>
      </c>
      <c r="C550" t="s">
        <v>4634</v>
      </c>
      <c r="D550" s="295">
        <v>1508596.4</v>
      </c>
      <c r="E550" s="288"/>
      <c r="F550" s="288"/>
      <c r="G550">
        <f t="shared" si="16"/>
        <v>0</v>
      </c>
      <c r="H550">
        <f t="shared" si="17"/>
        <v>0</v>
      </c>
    </row>
    <row r="551" spans="1:8" hidden="1" x14ac:dyDescent="0.2">
      <c r="A551" t="s">
        <v>4635</v>
      </c>
      <c r="B551" t="s">
        <v>4636</v>
      </c>
      <c r="C551" t="s">
        <v>4637</v>
      </c>
      <c r="D551" s="295">
        <v>61104.68</v>
      </c>
      <c r="E551" s="288"/>
      <c r="F551" s="288"/>
      <c r="G551">
        <f t="shared" si="16"/>
        <v>0</v>
      </c>
      <c r="H551">
        <f t="shared" si="17"/>
        <v>0</v>
      </c>
    </row>
    <row r="552" spans="1:8" hidden="1" x14ac:dyDescent="0.2">
      <c r="A552" t="s">
        <v>4638</v>
      </c>
      <c r="B552" t="s">
        <v>4636</v>
      </c>
      <c r="C552" t="s">
        <v>4639</v>
      </c>
      <c r="D552" s="295">
        <v>1120084.18</v>
      </c>
      <c r="E552" s="288"/>
      <c r="F552" s="288"/>
      <c r="G552">
        <f t="shared" si="16"/>
        <v>0</v>
      </c>
      <c r="H552">
        <f t="shared" si="17"/>
        <v>0</v>
      </c>
    </row>
    <row r="553" spans="1:8" hidden="1" x14ac:dyDescent="0.2">
      <c r="A553" t="s">
        <v>4640</v>
      </c>
      <c r="B553" t="s">
        <v>4641</v>
      </c>
      <c r="C553" t="s">
        <v>4642</v>
      </c>
      <c r="D553" s="295">
        <v>570678.13</v>
      </c>
      <c r="E553" s="288"/>
      <c r="F553" s="288"/>
      <c r="G553">
        <f t="shared" si="16"/>
        <v>0</v>
      </c>
      <c r="H553">
        <f t="shared" si="17"/>
        <v>0</v>
      </c>
    </row>
    <row r="554" spans="1:8" hidden="1" x14ac:dyDescent="0.2">
      <c r="A554" t="s">
        <v>4643</v>
      </c>
      <c r="B554" t="s">
        <v>4641</v>
      </c>
      <c r="C554" t="s">
        <v>4644</v>
      </c>
      <c r="D554" s="295">
        <v>588709.81000000006</v>
      </c>
      <c r="E554" s="288"/>
      <c r="F554" s="288"/>
      <c r="G554">
        <f t="shared" si="16"/>
        <v>0</v>
      </c>
      <c r="H554">
        <f t="shared" si="17"/>
        <v>0</v>
      </c>
    </row>
    <row r="555" spans="1:8" hidden="1" x14ac:dyDescent="0.2">
      <c r="A555" t="s">
        <v>4645</v>
      </c>
      <c r="B555" t="s">
        <v>4646</v>
      </c>
      <c r="C555" t="s">
        <v>4647</v>
      </c>
      <c r="D555" s="295">
        <v>481814.7</v>
      </c>
      <c r="E555" s="288"/>
      <c r="F555" s="288" t="s">
        <v>3678</v>
      </c>
      <c r="G555" t="str">
        <f t="shared" si="16"/>
        <v xml:space="preserve">  HR_0805_5340</v>
      </c>
      <c r="H555">
        <f t="shared" si="17"/>
        <v>0</v>
      </c>
    </row>
    <row r="556" spans="1:8" hidden="1" x14ac:dyDescent="0.2">
      <c r="A556" t="s">
        <v>4648</v>
      </c>
      <c r="B556" t="s">
        <v>4646</v>
      </c>
      <c r="C556" t="s">
        <v>4649</v>
      </c>
      <c r="D556" s="295">
        <v>998867.26</v>
      </c>
      <c r="E556" s="288"/>
      <c r="F556" s="288" t="s">
        <v>3678</v>
      </c>
      <c r="G556" t="str">
        <f t="shared" si="16"/>
        <v xml:space="preserve">  HR_0805_5400</v>
      </c>
      <c r="H556">
        <f t="shared" si="17"/>
        <v>0</v>
      </c>
    </row>
    <row r="557" spans="1:8" hidden="1" x14ac:dyDescent="0.2">
      <c r="A557" t="s">
        <v>4650</v>
      </c>
      <c r="B557" t="s">
        <v>4401</v>
      </c>
      <c r="C557" t="s">
        <v>4651</v>
      </c>
      <c r="D557" s="295">
        <v>62510.080000000002</v>
      </c>
      <c r="E557" s="288"/>
      <c r="F557" s="288"/>
      <c r="G557">
        <f t="shared" si="16"/>
        <v>0</v>
      </c>
      <c r="H557">
        <f t="shared" si="17"/>
        <v>0</v>
      </c>
    </row>
    <row r="558" spans="1:8" hidden="1" x14ac:dyDescent="0.2">
      <c r="A558" t="s">
        <v>4652</v>
      </c>
      <c r="B558" t="s">
        <v>4401</v>
      </c>
      <c r="C558" t="s">
        <v>4653</v>
      </c>
      <c r="D558" s="295">
        <v>385454.3</v>
      </c>
      <c r="E558" s="288"/>
      <c r="F558" s="288"/>
      <c r="G558">
        <f t="shared" si="16"/>
        <v>0</v>
      </c>
      <c r="H558">
        <f t="shared" si="17"/>
        <v>0</v>
      </c>
    </row>
    <row r="559" spans="1:8" hidden="1" x14ac:dyDescent="0.2">
      <c r="A559" t="s">
        <v>4654</v>
      </c>
      <c r="B559" t="s">
        <v>4655</v>
      </c>
      <c r="C559" t="s">
        <v>4656</v>
      </c>
      <c r="D559" s="295">
        <v>759050.02</v>
      </c>
      <c r="E559" s="288"/>
      <c r="F559" s="288"/>
      <c r="G559">
        <f t="shared" si="16"/>
        <v>0</v>
      </c>
      <c r="H559">
        <f t="shared" si="17"/>
        <v>0</v>
      </c>
    </row>
    <row r="560" spans="1:8" hidden="1" x14ac:dyDescent="0.2">
      <c r="A560" t="s">
        <v>4657</v>
      </c>
      <c r="B560" t="s">
        <v>4658</v>
      </c>
      <c r="C560" t="s">
        <v>4659</v>
      </c>
      <c r="D560" s="295">
        <v>784289.1</v>
      </c>
      <c r="E560" s="288"/>
      <c r="F560" s="288"/>
      <c r="G560">
        <f t="shared" si="16"/>
        <v>0</v>
      </c>
      <c r="H560">
        <f t="shared" si="17"/>
        <v>0</v>
      </c>
    </row>
    <row r="561" spans="1:8" hidden="1" x14ac:dyDescent="0.2">
      <c r="A561" t="s">
        <v>4660</v>
      </c>
      <c r="B561" t="s">
        <v>4661</v>
      </c>
      <c r="C561" t="s">
        <v>4662</v>
      </c>
      <c r="D561" s="295">
        <v>768744.89</v>
      </c>
      <c r="E561" s="288"/>
      <c r="F561" s="288"/>
      <c r="G561">
        <f t="shared" si="16"/>
        <v>0</v>
      </c>
      <c r="H561">
        <f t="shared" si="17"/>
        <v>0</v>
      </c>
    </row>
    <row r="562" spans="1:8" hidden="1" x14ac:dyDescent="0.2">
      <c r="A562" t="s">
        <v>4663</v>
      </c>
      <c r="B562" t="s">
        <v>4664</v>
      </c>
      <c r="C562" t="s">
        <v>4665</v>
      </c>
      <c r="D562" s="295">
        <v>794827.67</v>
      </c>
      <c r="E562" s="288"/>
      <c r="F562" s="288"/>
      <c r="G562">
        <f t="shared" si="16"/>
        <v>0</v>
      </c>
      <c r="H562">
        <f t="shared" si="17"/>
        <v>0</v>
      </c>
    </row>
    <row r="563" spans="1:8" hidden="1" x14ac:dyDescent="0.2">
      <c r="A563" t="s">
        <v>4666</v>
      </c>
      <c r="B563" t="s">
        <v>4667</v>
      </c>
      <c r="C563" t="s">
        <v>4668</v>
      </c>
      <c r="D563" s="295">
        <v>139107</v>
      </c>
      <c r="E563" s="288"/>
      <c r="F563" s="288"/>
      <c r="G563">
        <f t="shared" si="16"/>
        <v>0</v>
      </c>
      <c r="H563">
        <f t="shared" si="17"/>
        <v>0</v>
      </c>
    </row>
    <row r="564" spans="1:8" hidden="1" x14ac:dyDescent="0.2">
      <c r="A564" t="s">
        <v>4669</v>
      </c>
      <c r="B564" t="s">
        <v>4670</v>
      </c>
      <c r="C564" t="s">
        <v>4671</v>
      </c>
      <c r="D564" s="295">
        <v>870500.71</v>
      </c>
      <c r="E564" s="288"/>
      <c r="F564" s="288"/>
      <c r="G564">
        <f t="shared" si="16"/>
        <v>0</v>
      </c>
      <c r="H564">
        <f t="shared" si="17"/>
        <v>0</v>
      </c>
    </row>
    <row r="565" spans="1:8" hidden="1" x14ac:dyDescent="0.2">
      <c r="A565" t="s">
        <v>4672</v>
      </c>
      <c r="B565" t="s">
        <v>4673</v>
      </c>
      <c r="C565" t="s">
        <v>4674</v>
      </c>
      <c r="D565" s="295">
        <v>582568.38</v>
      </c>
      <c r="E565" s="288"/>
      <c r="F565" s="288"/>
      <c r="G565">
        <f t="shared" si="16"/>
        <v>0</v>
      </c>
      <c r="H565">
        <f t="shared" si="17"/>
        <v>0</v>
      </c>
    </row>
    <row r="566" spans="1:8" hidden="1" x14ac:dyDescent="0.2">
      <c r="A566" t="s">
        <v>4675</v>
      </c>
      <c r="B566" t="s">
        <v>4673</v>
      </c>
      <c r="C566" t="s">
        <v>4676</v>
      </c>
      <c r="D566" s="295">
        <v>602250.4</v>
      </c>
      <c r="E566" s="288"/>
      <c r="F566" s="288"/>
      <c r="G566">
        <f t="shared" si="16"/>
        <v>0</v>
      </c>
      <c r="H566">
        <f t="shared" si="17"/>
        <v>0</v>
      </c>
    </row>
    <row r="567" spans="1:8" hidden="1" x14ac:dyDescent="0.2">
      <c r="A567" t="s">
        <v>4677</v>
      </c>
      <c r="B567" t="s">
        <v>4393</v>
      </c>
      <c r="C567" t="s">
        <v>4678</v>
      </c>
      <c r="D567" s="295">
        <v>63947.839999999997</v>
      </c>
      <c r="E567" s="288"/>
      <c r="F567" s="288"/>
      <c r="G567">
        <f t="shared" si="16"/>
        <v>0</v>
      </c>
      <c r="H567">
        <f t="shared" si="17"/>
        <v>0</v>
      </c>
    </row>
    <row r="568" spans="1:8" hidden="1" x14ac:dyDescent="0.2">
      <c r="B568" t="s">
        <v>3843</v>
      </c>
      <c r="C568" t="s">
        <v>4679</v>
      </c>
      <c r="D568" s="295">
        <v>507653.53</v>
      </c>
      <c r="E568" s="288"/>
      <c r="F568" s="288"/>
      <c r="G568">
        <f t="shared" si="16"/>
        <v>0</v>
      </c>
      <c r="H568">
        <f t="shared" si="17"/>
        <v>0</v>
      </c>
    </row>
    <row r="569" spans="1:8" hidden="1" x14ac:dyDescent="0.2">
      <c r="A569" t="s">
        <v>4680</v>
      </c>
      <c r="B569" t="s">
        <v>4393</v>
      </c>
      <c r="C569" t="s">
        <v>4681</v>
      </c>
      <c r="D569" s="295">
        <v>654727.18000000005</v>
      </c>
      <c r="E569" s="288"/>
      <c r="F569" s="288" t="s">
        <v>3678</v>
      </c>
      <c r="G569" t="str">
        <f t="shared" si="16"/>
        <v xml:space="preserve">  HR_0805_1420</v>
      </c>
      <c r="H569">
        <f t="shared" si="17"/>
        <v>0</v>
      </c>
    </row>
    <row r="570" spans="1:8" hidden="1" x14ac:dyDescent="0.2">
      <c r="A570" t="s">
        <v>4682</v>
      </c>
      <c r="B570" t="s">
        <v>3704</v>
      </c>
      <c r="C570" t="s">
        <v>4683</v>
      </c>
      <c r="D570" s="295">
        <v>1679520.16</v>
      </c>
      <c r="E570" s="288"/>
      <c r="F570" s="288"/>
      <c r="G570">
        <f t="shared" si="16"/>
        <v>0</v>
      </c>
      <c r="H570">
        <f t="shared" si="17"/>
        <v>0</v>
      </c>
    </row>
    <row r="571" spans="1:8" hidden="1" x14ac:dyDescent="0.2">
      <c r="A571" t="s">
        <v>4684</v>
      </c>
      <c r="B571" t="s">
        <v>4411</v>
      </c>
      <c r="C571" t="s">
        <v>4685</v>
      </c>
      <c r="D571" s="295">
        <v>320918.83</v>
      </c>
      <c r="E571" s="288"/>
      <c r="F571" s="288" t="s">
        <v>3678</v>
      </c>
      <c r="G571" t="str">
        <f t="shared" si="16"/>
        <v xml:space="preserve">  RD_0309_1185</v>
      </c>
      <c r="H571">
        <f t="shared" si="17"/>
        <v>0</v>
      </c>
    </row>
    <row r="572" spans="1:8" hidden="1" x14ac:dyDescent="0.2">
      <c r="A572" t="s">
        <v>4686</v>
      </c>
      <c r="B572" t="s">
        <v>4411</v>
      </c>
      <c r="C572" t="s">
        <v>4687</v>
      </c>
      <c r="D572" s="295">
        <v>503683</v>
      </c>
      <c r="E572" s="288"/>
      <c r="F572" s="288"/>
      <c r="G572">
        <f t="shared" si="16"/>
        <v>0</v>
      </c>
      <c r="H572">
        <f t="shared" si="17"/>
        <v>0</v>
      </c>
    </row>
    <row r="573" spans="1:8" hidden="1" x14ac:dyDescent="0.2">
      <c r="A573" t="s">
        <v>4688</v>
      </c>
      <c r="B573" t="s">
        <v>4414</v>
      </c>
      <c r="C573" t="s">
        <v>4689</v>
      </c>
      <c r="D573" s="295">
        <v>833591.74</v>
      </c>
      <c r="E573" s="288"/>
      <c r="F573" s="288"/>
      <c r="G573">
        <f t="shared" si="16"/>
        <v>0</v>
      </c>
      <c r="H573">
        <f t="shared" si="17"/>
        <v>0</v>
      </c>
    </row>
    <row r="574" spans="1:8" hidden="1" x14ac:dyDescent="0.2">
      <c r="A574" t="s">
        <v>4690</v>
      </c>
      <c r="B574" t="s">
        <v>4691</v>
      </c>
      <c r="C574" t="s">
        <v>4692</v>
      </c>
      <c r="D574" s="295">
        <v>456273.75</v>
      </c>
      <c r="E574" s="288"/>
      <c r="F574" s="288"/>
      <c r="G574">
        <f t="shared" si="16"/>
        <v>0</v>
      </c>
      <c r="H574">
        <f t="shared" si="17"/>
        <v>0</v>
      </c>
    </row>
    <row r="575" spans="1:8" hidden="1" x14ac:dyDescent="0.2">
      <c r="A575" t="s">
        <v>4693</v>
      </c>
      <c r="B575" t="s">
        <v>3687</v>
      </c>
      <c r="C575" t="s">
        <v>4694</v>
      </c>
      <c r="D575" s="295">
        <v>120147.09</v>
      </c>
      <c r="E575" s="288"/>
      <c r="F575" s="288"/>
      <c r="G575">
        <f t="shared" si="16"/>
        <v>0</v>
      </c>
      <c r="H575">
        <f t="shared" si="17"/>
        <v>0</v>
      </c>
    </row>
    <row r="576" spans="1:8" hidden="1" x14ac:dyDescent="0.2">
      <c r="C576" t="s">
        <v>4695</v>
      </c>
      <c r="D576" s="295">
        <v>122418.85</v>
      </c>
      <c r="E576" s="288"/>
      <c r="F576" s="288"/>
      <c r="G576">
        <f t="shared" si="16"/>
        <v>0</v>
      </c>
      <c r="H576">
        <f t="shared" si="17"/>
        <v>0</v>
      </c>
    </row>
    <row r="577" spans="1:8" hidden="1" x14ac:dyDescent="0.2">
      <c r="C577" t="s">
        <v>4696</v>
      </c>
      <c r="D577" s="295">
        <v>125737.4</v>
      </c>
      <c r="E577" s="288"/>
      <c r="F577" s="288"/>
      <c r="G577">
        <f t="shared" si="16"/>
        <v>0</v>
      </c>
      <c r="H577">
        <f t="shared" si="17"/>
        <v>0</v>
      </c>
    </row>
    <row r="578" spans="1:8" hidden="1" x14ac:dyDescent="0.2">
      <c r="A578" t="s">
        <v>4697</v>
      </c>
      <c r="B578" t="s">
        <v>3687</v>
      </c>
      <c r="C578" t="s">
        <v>4698</v>
      </c>
      <c r="D578" s="295">
        <v>518652.82</v>
      </c>
      <c r="E578" s="288"/>
      <c r="F578" s="288"/>
      <c r="G578">
        <f t="shared" si="16"/>
        <v>0</v>
      </c>
      <c r="H578">
        <f t="shared" si="17"/>
        <v>0</v>
      </c>
    </row>
    <row r="579" spans="1:8" hidden="1" x14ac:dyDescent="0.2">
      <c r="A579" t="s">
        <v>4699</v>
      </c>
      <c r="B579" t="s">
        <v>3687</v>
      </c>
      <c r="C579" t="s">
        <v>4700</v>
      </c>
      <c r="D579" s="295">
        <v>462718.01</v>
      </c>
      <c r="E579" s="288"/>
      <c r="F579" s="288"/>
      <c r="G579">
        <f t="shared" si="16"/>
        <v>0</v>
      </c>
      <c r="H579">
        <f t="shared" si="17"/>
        <v>0</v>
      </c>
    </row>
    <row r="580" spans="1:8" hidden="1" x14ac:dyDescent="0.2">
      <c r="A580" t="s">
        <v>4701</v>
      </c>
      <c r="B580" t="s">
        <v>3687</v>
      </c>
      <c r="C580" t="s">
        <v>4702</v>
      </c>
      <c r="D580" s="295">
        <v>318724.56</v>
      </c>
      <c r="E580" s="288"/>
      <c r="F580" s="288"/>
      <c r="G580">
        <f t="shared" si="16"/>
        <v>0</v>
      </c>
      <c r="H580">
        <f t="shared" si="17"/>
        <v>0</v>
      </c>
    </row>
    <row r="581" spans="1:8" hidden="1" x14ac:dyDescent="0.2">
      <c r="A581" t="s">
        <v>4703</v>
      </c>
      <c r="B581" t="s">
        <v>3687</v>
      </c>
      <c r="C581" t="s">
        <v>4704</v>
      </c>
      <c r="D581" s="295">
        <v>355819.86</v>
      </c>
      <c r="E581" s="288"/>
      <c r="F581" s="288"/>
      <c r="G581">
        <f t="shared" si="16"/>
        <v>0</v>
      </c>
      <c r="H581">
        <f t="shared" si="17"/>
        <v>0</v>
      </c>
    </row>
    <row r="582" spans="1:8" hidden="1" x14ac:dyDescent="0.2">
      <c r="A582" t="s">
        <v>4705</v>
      </c>
      <c r="B582" t="s">
        <v>3687</v>
      </c>
      <c r="C582" t="s">
        <v>4706</v>
      </c>
      <c r="D582" s="295">
        <v>422125.82</v>
      </c>
      <c r="E582" s="288"/>
      <c r="F582" s="288"/>
      <c r="G582">
        <f t="shared" ref="G582:G624" si="18">IF(F582="X",C582,0)</f>
        <v>0</v>
      </c>
      <c r="H582">
        <f t="shared" ref="H582:H625" si="19">IF(E582="X",C582,0)</f>
        <v>0</v>
      </c>
    </row>
    <row r="583" spans="1:8" hidden="1" x14ac:dyDescent="0.2">
      <c r="A583" t="s">
        <v>4707</v>
      </c>
      <c r="B583" t="s">
        <v>4537</v>
      </c>
      <c r="C583" t="s">
        <v>4708</v>
      </c>
      <c r="D583" s="295">
        <v>1992532.26</v>
      </c>
      <c r="E583" s="288"/>
      <c r="F583" s="288"/>
      <c r="G583">
        <f t="shared" si="18"/>
        <v>0</v>
      </c>
      <c r="H583">
        <f t="shared" si="19"/>
        <v>0</v>
      </c>
    </row>
    <row r="584" spans="1:8" hidden="1" x14ac:dyDescent="0.2">
      <c r="A584" t="s">
        <v>4709</v>
      </c>
      <c r="B584" t="s">
        <v>4537</v>
      </c>
      <c r="C584" t="s">
        <v>4710</v>
      </c>
      <c r="D584" s="295">
        <v>835792.64</v>
      </c>
      <c r="E584" s="288"/>
      <c r="F584" s="288"/>
      <c r="G584">
        <f t="shared" si="18"/>
        <v>0</v>
      </c>
      <c r="H584">
        <f t="shared" si="19"/>
        <v>0</v>
      </c>
    </row>
    <row r="585" spans="1:8" hidden="1" x14ac:dyDescent="0.2">
      <c r="B585" t="s">
        <v>4225</v>
      </c>
      <c r="C585" t="s">
        <v>4711</v>
      </c>
      <c r="D585" s="295">
        <v>974477.12</v>
      </c>
      <c r="E585" s="288"/>
      <c r="F585" s="288"/>
      <c r="G585">
        <f t="shared" si="18"/>
        <v>0</v>
      </c>
      <c r="H585">
        <f t="shared" si="19"/>
        <v>0</v>
      </c>
    </row>
    <row r="586" spans="1:8" hidden="1" x14ac:dyDescent="0.2">
      <c r="E586" s="288"/>
      <c r="F586" s="288"/>
      <c r="G586">
        <f t="shared" si="18"/>
        <v>0</v>
      </c>
      <c r="H586">
        <f t="shared" si="19"/>
        <v>0</v>
      </c>
    </row>
    <row r="587" spans="1:8" hidden="1" x14ac:dyDescent="0.2">
      <c r="E587" s="288"/>
      <c r="F587" s="288"/>
      <c r="G587">
        <f t="shared" si="18"/>
        <v>0</v>
      </c>
      <c r="H587">
        <f t="shared" si="19"/>
        <v>0</v>
      </c>
    </row>
    <row r="588" spans="1:8" hidden="1" x14ac:dyDescent="0.2">
      <c r="E588" s="288"/>
      <c r="F588" s="288"/>
      <c r="G588">
        <f t="shared" si="18"/>
        <v>0</v>
      </c>
      <c r="H588">
        <f t="shared" si="19"/>
        <v>0</v>
      </c>
    </row>
    <row r="589" spans="1:8" hidden="1" x14ac:dyDescent="0.2">
      <c r="E589" s="288"/>
      <c r="F589" s="288"/>
      <c r="G589">
        <f t="shared" si="18"/>
        <v>0</v>
      </c>
      <c r="H589">
        <f t="shared" si="19"/>
        <v>0</v>
      </c>
    </row>
    <row r="590" spans="1:8" hidden="1" x14ac:dyDescent="0.2">
      <c r="E590" s="288"/>
      <c r="F590" s="288"/>
      <c r="G590">
        <f t="shared" si="18"/>
        <v>0</v>
      </c>
      <c r="H590">
        <f t="shared" si="19"/>
        <v>0</v>
      </c>
    </row>
    <row r="591" spans="1:8" hidden="1" x14ac:dyDescent="0.2">
      <c r="E591" s="288"/>
      <c r="F591" s="288"/>
      <c r="G591">
        <f t="shared" si="18"/>
        <v>0</v>
      </c>
      <c r="H591">
        <f t="shared" si="19"/>
        <v>0</v>
      </c>
    </row>
    <row r="592" spans="1:8" hidden="1" x14ac:dyDescent="0.2">
      <c r="E592" s="288"/>
      <c r="F592" s="288"/>
      <c r="G592">
        <f t="shared" si="18"/>
        <v>0</v>
      </c>
      <c r="H592">
        <f t="shared" si="19"/>
        <v>0</v>
      </c>
    </row>
    <row r="593" spans="5:8" hidden="1" x14ac:dyDescent="0.2">
      <c r="E593" s="288"/>
      <c r="F593" s="288"/>
      <c r="G593">
        <f t="shared" si="18"/>
        <v>0</v>
      </c>
      <c r="H593">
        <f t="shared" si="19"/>
        <v>0</v>
      </c>
    </row>
    <row r="594" spans="5:8" hidden="1" x14ac:dyDescent="0.2">
      <c r="E594" s="288"/>
      <c r="F594" s="288" t="s">
        <v>3678</v>
      </c>
      <c r="G594">
        <f t="shared" si="18"/>
        <v>0</v>
      </c>
      <c r="H594">
        <f t="shared" si="19"/>
        <v>0</v>
      </c>
    </row>
    <row r="595" spans="5:8" hidden="1" x14ac:dyDescent="0.2">
      <c r="E595" s="288"/>
      <c r="F595" s="288"/>
      <c r="G595">
        <f t="shared" si="18"/>
        <v>0</v>
      </c>
      <c r="H595">
        <f t="shared" si="19"/>
        <v>0</v>
      </c>
    </row>
    <row r="596" spans="5:8" hidden="1" x14ac:dyDescent="0.2">
      <c r="E596" s="288"/>
      <c r="F596" s="288" t="s">
        <v>3678</v>
      </c>
      <c r="G596">
        <f t="shared" si="18"/>
        <v>0</v>
      </c>
      <c r="H596">
        <f t="shared" si="19"/>
        <v>0</v>
      </c>
    </row>
    <row r="597" spans="5:8" hidden="1" x14ac:dyDescent="0.2">
      <c r="E597" s="288"/>
      <c r="F597" s="288"/>
      <c r="G597">
        <f t="shared" si="18"/>
        <v>0</v>
      </c>
      <c r="H597">
        <f t="shared" si="19"/>
        <v>0</v>
      </c>
    </row>
    <row r="598" spans="5:8" hidden="1" x14ac:dyDescent="0.2">
      <c r="E598" s="288"/>
      <c r="F598" s="288"/>
      <c r="G598">
        <f t="shared" si="18"/>
        <v>0</v>
      </c>
      <c r="H598">
        <f t="shared" si="19"/>
        <v>0</v>
      </c>
    </row>
    <row r="599" spans="5:8" hidden="1" x14ac:dyDescent="0.2">
      <c r="E599" s="288"/>
      <c r="F599" s="288"/>
      <c r="G599">
        <f t="shared" si="18"/>
        <v>0</v>
      </c>
      <c r="H599">
        <f t="shared" si="19"/>
        <v>0</v>
      </c>
    </row>
    <row r="600" spans="5:8" hidden="1" x14ac:dyDescent="0.2">
      <c r="E600" s="288"/>
      <c r="F600" s="288"/>
      <c r="G600">
        <f t="shared" si="18"/>
        <v>0</v>
      </c>
      <c r="H600">
        <f t="shared" si="19"/>
        <v>0</v>
      </c>
    </row>
    <row r="601" spans="5:8" hidden="1" x14ac:dyDescent="0.2">
      <c r="E601" s="288"/>
      <c r="F601" s="288"/>
      <c r="G601">
        <f t="shared" si="18"/>
        <v>0</v>
      </c>
      <c r="H601">
        <f t="shared" si="19"/>
        <v>0</v>
      </c>
    </row>
    <row r="602" spans="5:8" hidden="1" x14ac:dyDescent="0.2">
      <c r="E602" s="288"/>
      <c r="F602" s="288"/>
      <c r="G602">
        <f t="shared" si="18"/>
        <v>0</v>
      </c>
      <c r="H602">
        <f t="shared" si="19"/>
        <v>0</v>
      </c>
    </row>
    <row r="603" spans="5:8" hidden="1" x14ac:dyDescent="0.2">
      <c r="E603" s="288"/>
      <c r="F603" s="288"/>
      <c r="G603">
        <f t="shared" si="18"/>
        <v>0</v>
      </c>
      <c r="H603">
        <f t="shared" si="19"/>
        <v>0</v>
      </c>
    </row>
    <row r="604" spans="5:8" hidden="1" x14ac:dyDescent="0.2">
      <c r="E604" s="288"/>
      <c r="F604" s="288"/>
      <c r="G604">
        <f t="shared" si="18"/>
        <v>0</v>
      </c>
      <c r="H604">
        <f t="shared" si="19"/>
        <v>0</v>
      </c>
    </row>
    <row r="605" spans="5:8" hidden="1" x14ac:dyDescent="0.2">
      <c r="E605" s="288"/>
      <c r="F605" s="288"/>
      <c r="G605">
        <f t="shared" si="18"/>
        <v>0</v>
      </c>
      <c r="H605">
        <f t="shared" si="19"/>
        <v>0</v>
      </c>
    </row>
    <row r="606" spans="5:8" hidden="1" x14ac:dyDescent="0.2">
      <c r="E606" s="288"/>
      <c r="F606" s="288"/>
      <c r="G606">
        <f t="shared" si="18"/>
        <v>0</v>
      </c>
      <c r="H606">
        <f t="shared" si="19"/>
        <v>0</v>
      </c>
    </row>
    <row r="607" spans="5:8" hidden="1" x14ac:dyDescent="0.2">
      <c r="E607" s="288"/>
      <c r="F607" s="288"/>
      <c r="G607">
        <f t="shared" si="18"/>
        <v>0</v>
      </c>
      <c r="H607">
        <f t="shared" si="19"/>
        <v>0</v>
      </c>
    </row>
    <row r="608" spans="5:8" hidden="1" x14ac:dyDescent="0.2">
      <c r="E608" s="288"/>
      <c r="F608" s="288"/>
      <c r="G608">
        <f t="shared" si="18"/>
        <v>0</v>
      </c>
      <c r="H608">
        <f t="shared" si="19"/>
        <v>0</v>
      </c>
    </row>
    <row r="609" spans="5:8" hidden="1" x14ac:dyDescent="0.2">
      <c r="E609" s="288"/>
      <c r="F609" s="288"/>
      <c r="G609">
        <f t="shared" si="18"/>
        <v>0</v>
      </c>
      <c r="H609">
        <f t="shared" si="19"/>
        <v>0</v>
      </c>
    </row>
    <row r="610" spans="5:8" hidden="1" x14ac:dyDescent="0.2">
      <c r="E610" s="288"/>
      <c r="F610" s="288"/>
      <c r="G610">
        <f t="shared" si="18"/>
        <v>0</v>
      </c>
      <c r="H610">
        <f t="shared" si="19"/>
        <v>0</v>
      </c>
    </row>
    <row r="611" spans="5:8" hidden="1" x14ac:dyDescent="0.2">
      <c r="E611" s="288"/>
      <c r="F611" s="288"/>
      <c r="G611">
        <f t="shared" si="18"/>
        <v>0</v>
      </c>
      <c r="H611">
        <f t="shared" si="19"/>
        <v>0</v>
      </c>
    </row>
    <row r="612" spans="5:8" hidden="1" x14ac:dyDescent="0.2">
      <c r="E612" s="288"/>
      <c r="F612" s="288"/>
      <c r="G612">
        <f t="shared" si="18"/>
        <v>0</v>
      </c>
      <c r="H612">
        <f t="shared" si="19"/>
        <v>0</v>
      </c>
    </row>
    <row r="613" spans="5:8" hidden="1" x14ac:dyDescent="0.2">
      <c r="E613" s="288"/>
      <c r="F613" s="288"/>
      <c r="G613">
        <f t="shared" si="18"/>
        <v>0</v>
      </c>
      <c r="H613">
        <f t="shared" si="19"/>
        <v>0</v>
      </c>
    </row>
    <row r="614" spans="5:8" hidden="1" x14ac:dyDescent="0.2">
      <c r="E614" s="288"/>
      <c r="F614" s="288"/>
      <c r="G614">
        <f t="shared" si="18"/>
        <v>0</v>
      </c>
      <c r="H614">
        <f t="shared" si="19"/>
        <v>0</v>
      </c>
    </row>
    <row r="615" spans="5:8" hidden="1" x14ac:dyDescent="0.2">
      <c r="E615" s="288"/>
      <c r="F615" s="288"/>
      <c r="G615">
        <f t="shared" si="18"/>
        <v>0</v>
      </c>
      <c r="H615">
        <f t="shared" si="19"/>
        <v>0</v>
      </c>
    </row>
    <row r="616" spans="5:8" hidden="1" x14ac:dyDescent="0.2">
      <c r="E616" s="288"/>
      <c r="F616" s="288"/>
      <c r="G616">
        <f t="shared" si="18"/>
        <v>0</v>
      </c>
      <c r="H616">
        <f t="shared" si="19"/>
        <v>0</v>
      </c>
    </row>
    <row r="617" spans="5:8" hidden="1" x14ac:dyDescent="0.2">
      <c r="E617" s="288"/>
      <c r="F617" s="288"/>
      <c r="G617">
        <f t="shared" si="18"/>
        <v>0</v>
      </c>
      <c r="H617">
        <f t="shared" si="19"/>
        <v>0</v>
      </c>
    </row>
    <row r="618" spans="5:8" hidden="1" x14ac:dyDescent="0.2">
      <c r="E618" s="288"/>
      <c r="F618" s="288"/>
      <c r="G618">
        <f t="shared" si="18"/>
        <v>0</v>
      </c>
      <c r="H618">
        <f t="shared" si="19"/>
        <v>0</v>
      </c>
    </row>
    <row r="619" spans="5:8" hidden="1" x14ac:dyDescent="0.2">
      <c r="E619" s="288"/>
      <c r="F619" s="288"/>
      <c r="G619">
        <f t="shared" si="18"/>
        <v>0</v>
      </c>
      <c r="H619">
        <f t="shared" si="19"/>
        <v>0</v>
      </c>
    </row>
    <row r="620" spans="5:8" hidden="1" x14ac:dyDescent="0.2">
      <c r="E620" s="288"/>
      <c r="F620" s="288"/>
      <c r="G620">
        <f t="shared" si="18"/>
        <v>0</v>
      </c>
      <c r="H620">
        <f t="shared" si="19"/>
        <v>0</v>
      </c>
    </row>
    <row r="621" spans="5:8" hidden="1" x14ac:dyDescent="0.2">
      <c r="E621" s="288"/>
      <c r="F621" s="288"/>
      <c r="G621">
        <f t="shared" si="18"/>
        <v>0</v>
      </c>
      <c r="H621">
        <f t="shared" si="19"/>
        <v>0</v>
      </c>
    </row>
    <row r="622" spans="5:8" hidden="1" x14ac:dyDescent="0.2">
      <c r="E622" s="288"/>
      <c r="F622" s="288"/>
      <c r="G622">
        <f t="shared" si="18"/>
        <v>0</v>
      </c>
      <c r="H622">
        <f t="shared" si="19"/>
        <v>0</v>
      </c>
    </row>
    <row r="623" spans="5:8" hidden="1" x14ac:dyDescent="0.2">
      <c r="E623" s="288"/>
      <c r="F623" s="288"/>
      <c r="G623">
        <f t="shared" si="18"/>
        <v>0</v>
      </c>
      <c r="H623">
        <f t="shared" si="19"/>
        <v>0</v>
      </c>
    </row>
    <row r="624" spans="5:8" hidden="1" x14ac:dyDescent="0.2">
      <c r="E624" s="288"/>
      <c r="F624" s="288"/>
      <c r="G624">
        <f t="shared" si="18"/>
        <v>0</v>
      </c>
      <c r="H624">
        <f t="shared" si="19"/>
        <v>0</v>
      </c>
    </row>
    <row r="625" spans="8:8" hidden="1" x14ac:dyDescent="0.2">
      <c r="H625">
        <f t="shared" si="19"/>
        <v>0</v>
      </c>
    </row>
  </sheetData>
  <autoFilter ref="E3:F625" xr:uid="{87984A46-FB7C-4E8C-B8DC-15DBC0347956}">
    <filterColumn colId="0">
      <customFilters>
        <customFilter operator="notEqual" val=" "/>
      </customFilters>
    </filterColumn>
  </autoFilter>
  <mergeCells count="2">
    <mergeCell ref="E3:E4"/>
    <mergeCell ref="F3:F4"/>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65A4-E098-4CC8-85FB-54BD65FEA2FB}">
  <sheetPr codeName="Sheet15"/>
  <dimension ref="A1:J582"/>
  <sheetViews>
    <sheetView workbookViewId="0"/>
  </sheetViews>
  <sheetFormatPr baseColWidth="10" defaultColWidth="8.83203125" defaultRowHeight="15" x14ac:dyDescent="0.2"/>
  <cols>
    <col min="1" max="1" width="17.33203125" customWidth="1"/>
    <col min="2" max="2" width="16.6640625" customWidth="1"/>
    <col min="4" max="4" width="21.1640625" bestFit="1" customWidth="1"/>
    <col min="5" max="5" width="28.5" customWidth="1"/>
    <col min="6" max="6" width="75.6640625" customWidth="1"/>
    <col min="7" max="7" width="22.33203125" customWidth="1"/>
    <col min="8" max="8" width="22.33203125" bestFit="1" customWidth="1"/>
    <col min="9" max="9" width="10.33203125" bestFit="1" customWidth="1"/>
    <col min="10" max="10" width="10.1640625" bestFit="1" customWidth="1"/>
  </cols>
  <sheetData>
    <row r="1" spans="1:10" s="3" customFormat="1" x14ac:dyDescent="0.2">
      <c r="A1" s="3" t="s">
        <v>2164</v>
      </c>
      <c r="B1" s="3" t="s">
        <v>3674</v>
      </c>
      <c r="C1" s="3" t="s">
        <v>4712</v>
      </c>
      <c r="D1" s="3" t="s">
        <v>4713</v>
      </c>
      <c r="E1" s="3" t="s">
        <v>1986</v>
      </c>
      <c r="F1" s="3" t="s">
        <v>1987</v>
      </c>
      <c r="G1" s="3" t="s">
        <v>2168</v>
      </c>
      <c r="H1" s="3" t="s">
        <v>4714</v>
      </c>
      <c r="I1" s="3" t="s">
        <v>1989</v>
      </c>
      <c r="J1" s="3" t="s">
        <v>1990</v>
      </c>
    </row>
    <row r="2" spans="1:10" x14ac:dyDescent="0.2">
      <c r="A2" t="s">
        <v>4415</v>
      </c>
      <c r="B2" t="s">
        <v>4413</v>
      </c>
      <c r="C2" t="s">
        <v>3202</v>
      </c>
      <c r="D2" t="s">
        <v>3273</v>
      </c>
      <c r="E2" t="s">
        <v>4414</v>
      </c>
      <c r="F2" t="s">
        <v>4715</v>
      </c>
      <c r="G2" s="293">
        <v>1623044</v>
      </c>
      <c r="H2" s="293">
        <v>1698562.61</v>
      </c>
      <c r="I2" s="263">
        <v>44973</v>
      </c>
      <c r="J2" s="263">
        <v>45117</v>
      </c>
    </row>
    <row r="3" spans="1:10" x14ac:dyDescent="0.2">
      <c r="A3" t="s">
        <v>4434</v>
      </c>
      <c r="B3" t="s">
        <v>4433</v>
      </c>
      <c r="C3" t="s">
        <v>3202</v>
      </c>
      <c r="D3" t="s">
        <v>3273</v>
      </c>
      <c r="E3" t="s">
        <v>4414</v>
      </c>
      <c r="F3" t="s">
        <v>4716</v>
      </c>
      <c r="G3" s="293">
        <v>1068015</v>
      </c>
      <c r="H3" s="293">
        <v>1143415.79</v>
      </c>
      <c r="I3" s="263">
        <v>45273</v>
      </c>
      <c r="J3" s="263">
        <v>45418</v>
      </c>
    </row>
    <row r="4" spans="1:10" x14ac:dyDescent="0.2">
      <c r="A4" t="s">
        <v>4689</v>
      </c>
      <c r="B4" t="s">
        <v>4688</v>
      </c>
      <c r="C4" t="s">
        <v>3202</v>
      </c>
      <c r="D4" t="s">
        <v>3273</v>
      </c>
      <c r="E4" t="s">
        <v>4414</v>
      </c>
      <c r="F4" t="s">
        <v>3276</v>
      </c>
      <c r="G4" s="293">
        <v>773330</v>
      </c>
      <c r="H4" s="293">
        <v>833591.74</v>
      </c>
      <c r="I4" s="263">
        <v>45037</v>
      </c>
      <c r="J4" s="263">
        <v>45124</v>
      </c>
    </row>
    <row r="5" spans="1:10" x14ac:dyDescent="0.2">
      <c r="A5" t="s">
        <v>4412</v>
      </c>
      <c r="B5" t="s">
        <v>4410</v>
      </c>
      <c r="C5" t="s">
        <v>2605</v>
      </c>
      <c r="D5" t="s">
        <v>4717</v>
      </c>
      <c r="E5" t="s">
        <v>4411</v>
      </c>
      <c r="F5" t="s">
        <v>4718</v>
      </c>
      <c r="G5" s="293">
        <v>300000</v>
      </c>
      <c r="H5" s="293">
        <v>308939.18</v>
      </c>
      <c r="I5" s="263">
        <v>44652</v>
      </c>
      <c r="J5" s="263">
        <v>44914</v>
      </c>
    </row>
    <row r="6" spans="1:10" x14ac:dyDescent="0.2">
      <c r="A6" t="s">
        <v>4685</v>
      </c>
      <c r="B6" t="s">
        <v>4684</v>
      </c>
      <c r="C6" t="s">
        <v>2605</v>
      </c>
      <c r="D6" t="s">
        <v>4717</v>
      </c>
      <c r="E6" t="s">
        <v>4411</v>
      </c>
      <c r="F6" t="s">
        <v>4719</v>
      </c>
      <c r="G6" s="293">
        <v>312094</v>
      </c>
      <c r="H6" s="293">
        <v>320918.83</v>
      </c>
      <c r="I6" s="263">
        <v>44652</v>
      </c>
      <c r="J6" s="263">
        <v>44893</v>
      </c>
    </row>
    <row r="7" spans="1:10" x14ac:dyDescent="0.2">
      <c r="A7" t="s">
        <v>4687</v>
      </c>
      <c r="B7" t="s">
        <v>4686</v>
      </c>
      <c r="C7" t="s">
        <v>2605</v>
      </c>
      <c r="D7" t="s">
        <v>4717</v>
      </c>
      <c r="E7" t="s">
        <v>4411</v>
      </c>
      <c r="F7" t="s">
        <v>4720</v>
      </c>
      <c r="G7" s="293">
        <v>487500</v>
      </c>
      <c r="H7" s="293">
        <v>503683</v>
      </c>
      <c r="I7" s="263">
        <v>44739</v>
      </c>
      <c r="J7" s="263">
        <v>44914</v>
      </c>
    </row>
    <row r="8" spans="1:10" x14ac:dyDescent="0.2">
      <c r="A8" t="s">
        <v>4692</v>
      </c>
      <c r="B8" t="s">
        <v>4690</v>
      </c>
      <c r="C8" t="s">
        <v>2605</v>
      </c>
      <c r="D8" t="s">
        <v>4721</v>
      </c>
      <c r="E8" t="s">
        <v>4691</v>
      </c>
      <c r="F8" t="s">
        <v>4722</v>
      </c>
      <c r="G8" s="293">
        <v>433000</v>
      </c>
      <c r="H8" s="293">
        <v>456273.75</v>
      </c>
      <c r="I8" s="263">
        <v>45000</v>
      </c>
      <c r="J8" s="263">
        <v>45289</v>
      </c>
    </row>
    <row r="9" spans="1:10" x14ac:dyDescent="0.2">
      <c r="A9" t="s">
        <v>3688</v>
      </c>
      <c r="B9" t="s">
        <v>3686</v>
      </c>
      <c r="C9" t="s">
        <v>3157</v>
      </c>
      <c r="D9" t="s">
        <v>3154</v>
      </c>
      <c r="E9" t="s">
        <v>3687</v>
      </c>
      <c r="F9" t="s">
        <v>4723</v>
      </c>
      <c r="G9" s="293">
        <v>400000</v>
      </c>
      <c r="H9" s="293">
        <v>423040.48</v>
      </c>
      <c r="I9" s="263">
        <v>45007</v>
      </c>
      <c r="J9" s="263">
        <v>45371</v>
      </c>
    </row>
    <row r="10" spans="1:10" x14ac:dyDescent="0.2">
      <c r="A10" t="s">
        <v>3748</v>
      </c>
      <c r="B10" t="s">
        <v>3744</v>
      </c>
      <c r="C10" t="s">
        <v>3157</v>
      </c>
      <c r="D10" t="s">
        <v>3154</v>
      </c>
      <c r="E10" t="s">
        <v>3687</v>
      </c>
      <c r="F10" t="s">
        <v>4724</v>
      </c>
      <c r="G10" s="293">
        <v>831000</v>
      </c>
      <c r="H10" s="293">
        <v>880750.13</v>
      </c>
      <c r="I10" s="263">
        <v>45047</v>
      </c>
      <c r="J10" s="263">
        <v>45397</v>
      </c>
    </row>
    <row r="11" spans="1:10" x14ac:dyDescent="0.2">
      <c r="A11" t="s">
        <v>3747</v>
      </c>
      <c r="B11" t="s">
        <v>3744</v>
      </c>
      <c r="C11" t="s">
        <v>3157</v>
      </c>
      <c r="D11" t="s">
        <v>3154</v>
      </c>
      <c r="E11" t="s">
        <v>3687</v>
      </c>
      <c r="F11" t="s">
        <v>3160</v>
      </c>
      <c r="G11" s="293">
        <v>600000</v>
      </c>
      <c r="H11" s="293">
        <v>624937.06000000006</v>
      </c>
      <c r="I11" s="263">
        <v>44782</v>
      </c>
      <c r="J11" s="263">
        <v>45044</v>
      </c>
    </row>
    <row r="12" spans="1:10" x14ac:dyDescent="0.2">
      <c r="A12" t="s">
        <v>3746</v>
      </c>
      <c r="B12" t="s">
        <v>3744</v>
      </c>
      <c r="C12" t="s">
        <v>3157</v>
      </c>
      <c r="D12" t="s">
        <v>3154</v>
      </c>
      <c r="E12" t="s">
        <v>3687</v>
      </c>
      <c r="F12" t="s">
        <v>3158</v>
      </c>
      <c r="G12" s="293">
        <v>300000</v>
      </c>
      <c r="H12" s="293">
        <v>306900</v>
      </c>
      <c r="I12" s="263">
        <v>44754</v>
      </c>
      <c r="J12" s="263">
        <v>44781</v>
      </c>
    </row>
    <row r="13" spans="1:10" x14ac:dyDescent="0.2">
      <c r="A13" t="s">
        <v>3749</v>
      </c>
      <c r="B13" t="s">
        <v>3744</v>
      </c>
      <c r="C13" t="s">
        <v>3157</v>
      </c>
      <c r="D13" t="s">
        <v>3154</v>
      </c>
      <c r="E13" t="s">
        <v>3687</v>
      </c>
      <c r="F13" t="s">
        <v>4725</v>
      </c>
      <c r="G13" s="293">
        <v>219000</v>
      </c>
      <c r="H13" s="293">
        <v>234461.18</v>
      </c>
      <c r="I13" s="263">
        <v>45398</v>
      </c>
      <c r="J13" s="263">
        <v>45425</v>
      </c>
    </row>
    <row r="14" spans="1:10" x14ac:dyDescent="0.2">
      <c r="A14" t="s">
        <v>3745</v>
      </c>
      <c r="B14" t="s">
        <v>3744</v>
      </c>
      <c r="C14" t="s">
        <v>3157</v>
      </c>
      <c r="D14" t="s">
        <v>3154</v>
      </c>
      <c r="E14" t="s">
        <v>3687</v>
      </c>
      <c r="F14" t="s">
        <v>4726</v>
      </c>
      <c r="G14" s="293">
        <v>200000</v>
      </c>
      <c r="H14" s="293">
        <v>204600</v>
      </c>
      <c r="I14" s="263">
        <v>44725</v>
      </c>
      <c r="J14" s="263">
        <v>44753</v>
      </c>
    </row>
    <row r="15" spans="1:10" x14ac:dyDescent="0.2">
      <c r="A15" t="s">
        <v>3750</v>
      </c>
      <c r="B15" t="s">
        <v>3744</v>
      </c>
      <c r="C15" t="s">
        <v>3157</v>
      </c>
      <c r="D15" t="s">
        <v>3154</v>
      </c>
      <c r="E15" t="s">
        <v>3687</v>
      </c>
      <c r="F15" t="s">
        <v>4727</v>
      </c>
      <c r="G15" s="293">
        <v>50000</v>
      </c>
      <c r="H15" s="293">
        <v>53529.95</v>
      </c>
      <c r="I15" s="263">
        <v>45398</v>
      </c>
      <c r="J15" s="263">
        <v>45425</v>
      </c>
    </row>
    <row r="16" spans="1:10" x14ac:dyDescent="0.2">
      <c r="A16" t="s">
        <v>4696</v>
      </c>
      <c r="B16" t="s">
        <v>4693</v>
      </c>
      <c r="C16" t="s">
        <v>3157</v>
      </c>
      <c r="D16" t="s">
        <v>3154</v>
      </c>
      <c r="E16" t="s">
        <v>3687</v>
      </c>
      <c r="F16" t="s">
        <v>4728</v>
      </c>
      <c r="G16" s="293">
        <v>114025.09</v>
      </c>
      <c r="H16" s="293">
        <v>125737.4</v>
      </c>
      <c r="I16" s="263">
        <v>45201</v>
      </c>
      <c r="J16" s="263">
        <v>45565</v>
      </c>
    </row>
    <row r="17" spans="1:10" x14ac:dyDescent="0.2">
      <c r="A17" t="s">
        <v>4695</v>
      </c>
      <c r="B17" t="s">
        <v>4693</v>
      </c>
      <c r="C17" t="s">
        <v>3157</v>
      </c>
      <c r="D17" t="s">
        <v>3154</v>
      </c>
      <c r="E17" t="s">
        <v>3687</v>
      </c>
      <c r="F17" t="s">
        <v>4729</v>
      </c>
      <c r="G17" s="293">
        <v>113568.99</v>
      </c>
      <c r="H17" s="293">
        <v>122418.85</v>
      </c>
      <c r="I17" s="263">
        <v>44837</v>
      </c>
      <c r="J17" s="263">
        <v>45198</v>
      </c>
    </row>
    <row r="18" spans="1:10" x14ac:dyDescent="0.2">
      <c r="A18" t="s">
        <v>4694</v>
      </c>
      <c r="B18" t="s">
        <v>4693</v>
      </c>
      <c r="C18" t="s">
        <v>3157</v>
      </c>
      <c r="D18" t="s">
        <v>3154</v>
      </c>
      <c r="E18" t="s">
        <v>3687</v>
      </c>
      <c r="F18" t="s">
        <v>4730</v>
      </c>
      <c r="G18" s="293">
        <v>114025.09</v>
      </c>
      <c r="H18" s="293">
        <v>120147.09</v>
      </c>
      <c r="I18" s="263">
        <v>44470</v>
      </c>
      <c r="J18" s="263">
        <v>44834</v>
      </c>
    </row>
    <row r="19" spans="1:10" x14ac:dyDescent="0.2">
      <c r="A19" t="s">
        <v>4698</v>
      </c>
      <c r="B19" t="s">
        <v>4697</v>
      </c>
      <c r="C19" t="s">
        <v>3157</v>
      </c>
      <c r="D19" t="s">
        <v>3154</v>
      </c>
      <c r="E19" t="s">
        <v>3687</v>
      </c>
      <c r="F19" t="s">
        <v>4731</v>
      </c>
      <c r="G19" s="293">
        <v>500000</v>
      </c>
      <c r="H19" s="293">
        <v>518652.82</v>
      </c>
      <c r="I19" s="263">
        <v>44694</v>
      </c>
      <c r="J19" s="263">
        <v>45058</v>
      </c>
    </row>
    <row r="20" spans="1:10" x14ac:dyDescent="0.2">
      <c r="A20" t="s">
        <v>4700</v>
      </c>
      <c r="B20" t="s">
        <v>4699</v>
      </c>
      <c r="C20" t="s">
        <v>3157</v>
      </c>
      <c r="D20" t="s">
        <v>3154</v>
      </c>
      <c r="E20" t="s">
        <v>3687</v>
      </c>
      <c r="F20" t="s">
        <v>4732</v>
      </c>
      <c r="G20" s="293">
        <v>440000</v>
      </c>
      <c r="H20" s="293">
        <v>462718.01</v>
      </c>
      <c r="I20" s="263">
        <v>44915</v>
      </c>
      <c r="J20" s="263">
        <v>45279</v>
      </c>
    </row>
    <row r="21" spans="1:10" x14ac:dyDescent="0.2">
      <c r="A21" t="s">
        <v>4702</v>
      </c>
      <c r="B21" t="s">
        <v>4701</v>
      </c>
      <c r="C21" t="s">
        <v>3157</v>
      </c>
      <c r="D21" t="s">
        <v>3154</v>
      </c>
      <c r="E21" t="s">
        <v>3687</v>
      </c>
      <c r="F21" t="s">
        <v>4733</v>
      </c>
      <c r="G21" s="293">
        <v>300000</v>
      </c>
      <c r="H21" s="293">
        <v>318724.56</v>
      </c>
      <c r="I21" t="s">
        <v>4734</v>
      </c>
      <c r="J21" s="263">
        <v>45442</v>
      </c>
    </row>
    <row r="22" spans="1:10" x14ac:dyDescent="0.2">
      <c r="A22" t="s">
        <v>4704</v>
      </c>
      <c r="B22" t="s">
        <v>4703</v>
      </c>
      <c r="C22" t="s">
        <v>3157</v>
      </c>
      <c r="D22" t="s">
        <v>3154</v>
      </c>
      <c r="E22" t="s">
        <v>3687</v>
      </c>
      <c r="F22" t="s">
        <v>4735</v>
      </c>
      <c r="G22" s="293">
        <v>340000</v>
      </c>
      <c r="H22" s="293">
        <v>355819.86</v>
      </c>
      <c r="I22" s="263">
        <v>45007</v>
      </c>
      <c r="J22" s="263">
        <v>45148</v>
      </c>
    </row>
    <row r="23" spans="1:10" x14ac:dyDescent="0.2">
      <c r="A23" t="s">
        <v>4706</v>
      </c>
      <c r="B23" t="s">
        <v>4705</v>
      </c>
      <c r="C23" t="s">
        <v>3157</v>
      </c>
      <c r="D23" t="s">
        <v>3154</v>
      </c>
      <c r="E23" t="s">
        <v>3687</v>
      </c>
      <c r="F23" t="s">
        <v>3165</v>
      </c>
      <c r="G23" s="293">
        <v>400000</v>
      </c>
      <c r="H23" s="293">
        <v>422125.82</v>
      </c>
      <c r="I23" s="263">
        <v>45019</v>
      </c>
      <c r="J23" s="263">
        <v>45310</v>
      </c>
    </row>
    <row r="24" spans="1:10" x14ac:dyDescent="0.2">
      <c r="A24" t="s">
        <v>3841</v>
      </c>
      <c r="B24" t="s">
        <v>3839</v>
      </c>
      <c r="C24" t="s">
        <v>3202</v>
      </c>
      <c r="D24" t="s">
        <v>3223</v>
      </c>
      <c r="E24" t="s">
        <v>3840</v>
      </c>
      <c r="F24" t="s">
        <v>3226</v>
      </c>
      <c r="G24" s="293">
        <v>3962206</v>
      </c>
      <c r="H24" s="293">
        <v>4511558.47</v>
      </c>
      <c r="I24" s="263">
        <v>45824</v>
      </c>
      <c r="J24" s="263">
        <v>46918</v>
      </c>
    </row>
    <row r="25" spans="1:10" x14ac:dyDescent="0.2">
      <c r="A25" t="s">
        <v>3851</v>
      </c>
      <c r="B25" t="s">
        <v>3850</v>
      </c>
      <c r="C25" t="s">
        <v>3202</v>
      </c>
      <c r="D25" t="s">
        <v>3223</v>
      </c>
      <c r="E25" t="s">
        <v>3840</v>
      </c>
      <c r="F25" t="s">
        <v>3272</v>
      </c>
      <c r="G25" s="293">
        <v>3962206</v>
      </c>
      <c r="H25" s="293">
        <v>4511558.47</v>
      </c>
      <c r="I25" s="263">
        <v>45824</v>
      </c>
      <c r="J25" s="263">
        <v>46918</v>
      </c>
    </row>
    <row r="26" spans="1:10" x14ac:dyDescent="0.2">
      <c r="A26" t="s">
        <v>4213</v>
      </c>
      <c r="B26" t="s">
        <v>4212</v>
      </c>
      <c r="C26" t="s">
        <v>3202</v>
      </c>
      <c r="D26" t="s">
        <v>3223</v>
      </c>
      <c r="E26" t="s">
        <v>3840</v>
      </c>
      <c r="F26" t="s">
        <v>4736</v>
      </c>
      <c r="G26" s="293">
        <v>250000</v>
      </c>
      <c r="H26" s="293">
        <v>264941.88</v>
      </c>
      <c r="I26" s="263">
        <v>45135</v>
      </c>
      <c r="J26" s="263">
        <v>45281</v>
      </c>
    </row>
    <row r="27" spans="1:10" x14ac:dyDescent="0.2">
      <c r="A27" t="s">
        <v>3788</v>
      </c>
      <c r="B27" t="s">
        <v>3786</v>
      </c>
      <c r="C27" t="s">
        <v>3202</v>
      </c>
      <c r="D27" t="s">
        <v>3250</v>
      </c>
      <c r="E27" t="s">
        <v>3787</v>
      </c>
      <c r="F27" t="s">
        <v>3314</v>
      </c>
      <c r="G27" s="293">
        <v>3306650</v>
      </c>
      <c r="H27" s="293">
        <v>3744656.71</v>
      </c>
      <c r="I27" s="263">
        <v>45737</v>
      </c>
      <c r="J27" s="263">
        <v>46833</v>
      </c>
    </row>
    <row r="28" spans="1:10" x14ac:dyDescent="0.2">
      <c r="A28" t="s">
        <v>3790</v>
      </c>
      <c r="B28" t="s">
        <v>3789</v>
      </c>
      <c r="C28" t="s">
        <v>3202</v>
      </c>
      <c r="D28" t="s">
        <v>3250</v>
      </c>
      <c r="E28" t="s">
        <v>3787</v>
      </c>
      <c r="F28" t="s">
        <v>3253</v>
      </c>
      <c r="G28" s="293">
        <v>3306650</v>
      </c>
      <c r="H28" s="293">
        <v>3744656.71</v>
      </c>
      <c r="I28" s="263">
        <v>45737</v>
      </c>
      <c r="J28" s="263">
        <v>46833</v>
      </c>
    </row>
    <row r="29" spans="1:10" x14ac:dyDescent="0.2">
      <c r="A29" t="s">
        <v>4469</v>
      </c>
      <c r="B29" t="s">
        <v>4468</v>
      </c>
      <c r="C29" t="s">
        <v>3202</v>
      </c>
      <c r="D29" t="s">
        <v>3250</v>
      </c>
      <c r="E29" t="s">
        <v>3787</v>
      </c>
      <c r="F29" t="s">
        <v>4737</v>
      </c>
      <c r="G29" s="293">
        <v>250000</v>
      </c>
      <c r="H29" s="293">
        <v>266205.55</v>
      </c>
      <c r="I29" s="263">
        <v>45166</v>
      </c>
      <c r="J29" s="263">
        <v>45315</v>
      </c>
    </row>
    <row r="30" spans="1:10" x14ac:dyDescent="0.2">
      <c r="A30" t="s">
        <v>4233</v>
      </c>
      <c r="B30" t="s">
        <v>4231</v>
      </c>
      <c r="C30" t="s">
        <v>3202</v>
      </c>
      <c r="D30" t="s">
        <v>3302</v>
      </c>
      <c r="E30" t="s">
        <v>4232</v>
      </c>
      <c r="F30" t="s">
        <v>3305</v>
      </c>
      <c r="G30" s="293">
        <v>1552500</v>
      </c>
      <c r="H30" s="293">
        <v>1739674.95</v>
      </c>
      <c r="I30" s="263">
        <v>45737</v>
      </c>
      <c r="J30" s="263">
        <v>46496</v>
      </c>
    </row>
    <row r="31" spans="1:10" x14ac:dyDescent="0.2">
      <c r="A31" t="s">
        <v>4038</v>
      </c>
      <c r="B31" t="s">
        <v>4036</v>
      </c>
      <c r="C31" t="s">
        <v>3202</v>
      </c>
      <c r="D31" t="s">
        <v>3213</v>
      </c>
      <c r="E31" t="s">
        <v>4037</v>
      </c>
      <c r="F31" t="s">
        <v>3216</v>
      </c>
      <c r="G31" s="293">
        <v>7680000</v>
      </c>
      <c r="H31" s="293">
        <v>8714138.3599999994</v>
      </c>
      <c r="I31" s="263">
        <v>45951</v>
      </c>
      <c r="J31" s="263">
        <v>46680</v>
      </c>
    </row>
    <row r="32" spans="1:10" x14ac:dyDescent="0.2">
      <c r="A32" t="s">
        <v>4039</v>
      </c>
      <c r="B32" t="s">
        <v>4036</v>
      </c>
      <c r="C32" t="s">
        <v>3202</v>
      </c>
      <c r="D32" t="s">
        <v>3213</v>
      </c>
      <c r="E32" t="s">
        <v>4037</v>
      </c>
      <c r="F32" t="s">
        <v>3218</v>
      </c>
      <c r="G32" s="293">
        <v>660000</v>
      </c>
      <c r="H32" s="293">
        <v>748871.27</v>
      </c>
      <c r="I32" s="263">
        <v>45951</v>
      </c>
      <c r="J32" s="263">
        <v>46680</v>
      </c>
    </row>
    <row r="33" spans="1:10" x14ac:dyDescent="0.2">
      <c r="A33" t="s">
        <v>4273</v>
      </c>
      <c r="B33" t="s">
        <v>4271</v>
      </c>
      <c r="C33" t="s">
        <v>3202</v>
      </c>
      <c r="D33" t="s">
        <v>3308</v>
      </c>
      <c r="E33" t="s">
        <v>4272</v>
      </c>
      <c r="F33" t="s">
        <v>3311</v>
      </c>
      <c r="G33" s="293">
        <v>867900</v>
      </c>
      <c r="H33" s="293">
        <v>973569.46</v>
      </c>
      <c r="I33" s="263">
        <v>45951</v>
      </c>
      <c r="J33" s="263">
        <v>46315</v>
      </c>
    </row>
    <row r="34" spans="1:10" x14ac:dyDescent="0.2">
      <c r="A34" t="s">
        <v>3957</v>
      </c>
      <c r="B34" t="s">
        <v>3955</v>
      </c>
      <c r="C34" t="s">
        <v>175</v>
      </c>
      <c r="D34" t="s">
        <v>4738</v>
      </c>
      <c r="E34" t="s">
        <v>3956</v>
      </c>
      <c r="F34" t="s">
        <v>4739</v>
      </c>
      <c r="G34" s="293">
        <v>7672201</v>
      </c>
      <c r="H34" s="293">
        <v>8969230.0500000007</v>
      </c>
      <c r="I34" s="263">
        <v>46246</v>
      </c>
      <c r="J34" s="263">
        <v>47340</v>
      </c>
    </row>
    <row r="35" spans="1:10" x14ac:dyDescent="0.2">
      <c r="A35" t="s">
        <v>4019</v>
      </c>
      <c r="B35" t="s">
        <v>4018</v>
      </c>
      <c r="C35" t="s">
        <v>175</v>
      </c>
      <c r="D35" t="s">
        <v>4738</v>
      </c>
      <c r="E35" t="s">
        <v>3956</v>
      </c>
      <c r="F35" t="s">
        <v>4740</v>
      </c>
      <c r="G35" s="293">
        <v>7672201</v>
      </c>
      <c r="H35" s="293">
        <v>8969230.0500000007</v>
      </c>
      <c r="I35" s="263">
        <v>46246</v>
      </c>
      <c r="J35" s="263">
        <v>47340</v>
      </c>
    </row>
    <row r="36" spans="1:10" x14ac:dyDescent="0.2">
      <c r="A36" t="s">
        <v>4211</v>
      </c>
      <c r="B36" t="s">
        <v>4210</v>
      </c>
      <c r="C36" t="s">
        <v>175</v>
      </c>
      <c r="D36" t="s">
        <v>4738</v>
      </c>
      <c r="E36" t="s">
        <v>3956</v>
      </c>
      <c r="F36" t="s">
        <v>4741</v>
      </c>
      <c r="G36" s="293">
        <v>250000</v>
      </c>
      <c r="H36" s="293">
        <v>273805.75</v>
      </c>
      <c r="I36" s="263">
        <v>45569</v>
      </c>
      <c r="J36" s="263">
        <v>45919</v>
      </c>
    </row>
    <row r="37" spans="1:10" x14ac:dyDescent="0.2">
      <c r="A37" t="s">
        <v>3866</v>
      </c>
      <c r="B37" t="s">
        <v>3864</v>
      </c>
      <c r="C37" t="s">
        <v>2220</v>
      </c>
      <c r="D37" t="s">
        <v>2217</v>
      </c>
      <c r="E37" t="s">
        <v>3865</v>
      </c>
      <c r="F37" t="s">
        <v>4742</v>
      </c>
      <c r="G37" s="293">
        <v>5859000</v>
      </c>
      <c r="H37" s="293">
        <v>6687017.3200000003</v>
      </c>
      <c r="I37" s="263">
        <v>46030</v>
      </c>
      <c r="J37" s="263">
        <v>46790</v>
      </c>
    </row>
    <row r="38" spans="1:10" x14ac:dyDescent="0.2">
      <c r="A38" t="s">
        <v>3868</v>
      </c>
      <c r="B38" t="s">
        <v>3867</v>
      </c>
      <c r="C38" t="s">
        <v>2220</v>
      </c>
      <c r="D38" t="s">
        <v>2217</v>
      </c>
      <c r="E38" t="s">
        <v>3865</v>
      </c>
      <c r="F38" t="s">
        <v>2224</v>
      </c>
      <c r="G38" s="293">
        <v>5990000</v>
      </c>
      <c r="H38" s="293">
        <v>6872561.9900000002</v>
      </c>
      <c r="I38" s="263">
        <v>46118</v>
      </c>
      <c r="J38" s="263">
        <v>46875</v>
      </c>
    </row>
    <row r="39" spans="1:10" x14ac:dyDescent="0.2">
      <c r="A39" t="s">
        <v>3870</v>
      </c>
      <c r="B39" t="s">
        <v>3869</v>
      </c>
      <c r="C39" t="s">
        <v>2220</v>
      </c>
      <c r="D39" t="s">
        <v>2217</v>
      </c>
      <c r="E39" t="s">
        <v>3865</v>
      </c>
      <c r="F39" t="s">
        <v>2227</v>
      </c>
      <c r="G39" s="293">
        <v>7801220</v>
      </c>
      <c r="H39" s="293">
        <v>8758372.3900000006</v>
      </c>
      <c r="I39" s="263">
        <v>45951</v>
      </c>
      <c r="J39" s="263">
        <v>46329</v>
      </c>
    </row>
    <row r="40" spans="1:10" x14ac:dyDescent="0.2">
      <c r="A40" t="s">
        <v>3978</v>
      </c>
      <c r="B40" t="s">
        <v>3977</v>
      </c>
      <c r="C40" t="s">
        <v>2220</v>
      </c>
      <c r="D40" t="s">
        <v>2217</v>
      </c>
      <c r="E40" t="s">
        <v>3865</v>
      </c>
      <c r="F40" t="s">
        <v>2230</v>
      </c>
      <c r="G40" s="293">
        <v>10300000</v>
      </c>
      <c r="H40" s="293">
        <v>11879550.949999999</v>
      </c>
      <c r="I40" s="263">
        <v>46203</v>
      </c>
      <c r="J40" s="263">
        <v>46961</v>
      </c>
    </row>
    <row r="41" spans="1:10" x14ac:dyDescent="0.2">
      <c r="A41" t="s">
        <v>3800</v>
      </c>
      <c r="B41" t="s">
        <v>3798</v>
      </c>
      <c r="C41" t="s">
        <v>2605</v>
      </c>
      <c r="D41" t="s">
        <v>2626</v>
      </c>
      <c r="E41" t="s">
        <v>3799</v>
      </c>
      <c r="F41" t="s">
        <v>2629</v>
      </c>
      <c r="G41" s="293">
        <v>3960560</v>
      </c>
      <c r="H41" s="293">
        <v>4463935.67</v>
      </c>
      <c r="I41" s="263">
        <v>45951</v>
      </c>
      <c r="J41" s="263">
        <v>46421</v>
      </c>
    </row>
    <row r="42" spans="1:10" x14ac:dyDescent="0.2">
      <c r="A42" t="s">
        <v>4432</v>
      </c>
      <c r="B42" t="s">
        <v>4430</v>
      </c>
      <c r="C42" t="s">
        <v>2605</v>
      </c>
      <c r="D42" t="s">
        <v>2648</v>
      </c>
      <c r="E42" t="s">
        <v>4431</v>
      </c>
      <c r="F42" t="s">
        <v>2651</v>
      </c>
      <c r="G42" s="293">
        <v>867720</v>
      </c>
      <c r="H42" s="293">
        <v>972204.77</v>
      </c>
      <c r="I42" s="263">
        <v>45951</v>
      </c>
      <c r="J42" s="263">
        <v>46241</v>
      </c>
    </row>
    <row r="43" spans="1:10" x14ac:dyDescent="0.2">
      <c r="A43" t="s">
        <v>3693</v>
      </c>
      <c r="B43" t="s">
        <v>3691</v>
      </c>
      <c r="C43" t="s">
        <v>2605</v>
      </c>
      <c r="D43" t="s">
        <v>2618</v>
      </c>
      <c r="E43" t="s">
        <v>3692</v>
      </c>
      <c r="F43" t="s">
        <v>2621</v>
      </c>
      <c r="G43" s="293">
        <v>3105120</v>
      </c>
      <c r="H43" s="293">
        <v>3480017.05</v>
      </c>
      <c r="I43" s="263">
        <v>45951</v>
      </c>
      <c r="J43" s="263">
        <v>46300</v>
      </c>
    </row>
    <row r="44" spans="1:10" x14ac:dyDescent="0.2">
      <c r="A44" t="s">
        <v>4391</v>
      </c>
      <c r="B44" t="s">
        <v>4389</v>
      </c>
      <c r="C44" t="s">
        <v>2605</v>
      </c>
      <c r="D44" t="s">
        <v>2639</v>
      </c>
      <c r="E44" t="s">
        <v>4390</v>
      </c>
      <c r="F44" t="s">
        <v>2642</v>
      </c>
      <c r="G44" s="293">
        <v>643710</v>
      </c>
      <c r="H44" s="293">
        <v>723768.56</v>
      </c>
      <c r="I44" s="263">
        <v>45951</v>
      </c>
      <c r="J44" s="263">
        <v>46360</v>
      </c>
    </row>
    <row r="45" spans="1:10" x14ac:dyDescent="0.2">
      <c r="A45" t="s">
        <v>4209</v>
      </c>
      <c r="B45" t="s">
        <v>4207</v>
      </c>
      <c r="C45" t="s">
        <v>2515</v>
      </c>
      <c r="D45" t="s">
        <v>2544</v>
      </c>
      <c r="E45" t="s">
        <v>4208</v>
      </c>
      <c r="F45" t="s">
        <v>2598</v>
      </c>
      <c r="G45" s="293">
        <v>1654808</v>
      </c>
      <c r="H45" s="293">
        <v>1885625.25</v>
      </c>
      <c r="I45" s="263">
        <v>46203</v>
      </c>
      <c r="J45" s="263">
        <v>46567</v>
      </c>
    </row>
    <row r="46" spans="1:10" x14ac:dyDescent="0.2">
      <c r="A46" t="s">
        <v>4608</v>
      </c>
      <c r="B46" t="s">
        <v>4607</v>
      </c>
      <c r="C46" t="s">
        <v>2515</v>
      </c>
      <c r="D46" t="s">
        <v>2544</v>
      </c>
      <c r="E46" t="s">
        <v>4208</v>
      </c>
      <c r="F46" t="s">
        <v>4743</v>
      </c>
      <c r="G46" s="293">
        <v>889344</v>
      </c>
      <c r="H46" s="293">
        <v>997710.9</v>
      </c>
      <c r="I46" s="263">
        <v>45951</v>
      </c>
      <c r="J46" s="263">
        <v>46316</v>
      </c>
    </row>
    <row r="47" spans="1:10" x14ac:dyDescent="0.2">
      <c r="A47" t="s">
        <v>4613</v>
      </c>
      <c r="B47" t="s">
        <v>4612</v>
      </c>
      <c r="C47" t="s">
        <v>2515</v>
      </c>
      <c r="D47" t="s">
        <v>2544</v>
      </c>
      <c r="E47" t="s">
        <v>4208</v>
      </c>
      <c r="F47" t="s">
        <v>4744</v>
      </c>
      <c r="G47" s="293">
        <v>1017140</v>
      </c>
      <c r="H47" s="293">
        <v>1139931.42</v>
      </c>
      <c r="I47" s="263">
        <v>45936</v>
      </c>
      <c r="J47" s="263">
        <v>46300</v>
      </c>
    </row>
    <row r="48" spans="1:10" x14ac:dyDescent="0.2">
      <c r="A48" t="s">
        <v>4328</v>
      </c>
      <c r="B48" t="s">
        <v>4326</v>
      </c>
      <c r="C48" t="s">
        <v>2515</v>
      </c>
      <c r="D48" t="s">
        <v>2523</v>
      </c>
      <c r="E48" t="s">
        <v>4327</v>
      </c>
      <c r="F48" t="s">
        <v>4745</v>
      </c>
      <c r="G48" s="293">
        <v>347300</v>
      </c>
      <c r="H48" s="293">
        <v>394091.4</v>
      </c>
      <c r="I48" s="263">
        <v>45951</v>
      </c>
      <c r="J48" s="263">
        <v>46681</v>
      </c>
    </row>
    <row r="49" spans="1:10" x14ac:dyDescent="0.2">
      <c r="A49" t="s">
        <v>4219</v>
      </c>
      <c r="B49" t="s">
        <v>4217</v>
      </c>
      <c r="C49" t="s">
        <v>3137</v>
      </c>
      <c r="D49" t="s">
        <v>3134</v>
      </c>
      <c r="E49" t="s">
        <v>4218</v>
      </c>
      <c r="F49" t="s">
        <v>3138</v>
      </c>
      <c r="G49" s="293">
        <v>500000</v>
      </c>
      <c r="H49" s="293">
        <v>560206.5</v>
      </c>
      <c r="I49" s="263">
        <v>45980</v>
      </c>
      <c r="J49" s="263">
        <v>46155</v>
      </c>
    </row>
    <row r="50" spans="1:10" x14ac:dyDescent="0.2">
      <c r="A50" t="s">
        <v>4275</v>
      </c>
      <c r="B50" t="s">
        <v>4274</v>
      </c>
      <c r="C50" t="s">
        <v>3137</v>
      </c>
      <c r="D50" t="s">
        <v>3134</v>
      </c>
      <c r="E50" t="s">
        <v>4218</v>
      </c>
      <c r="F50" t="s">
        <v>3141</v>
      </c>
      <c r="G50" s="293">
        <v>400000</v>
      </c>
      <c r="H50" s="293">
        <v>448165.2</v>
      </c>
      <c r="I50" s="263">
        <v>45951</v>
      </c>
      <c r="J50" s="263">
        <v>46184</v>
      </c>
    </row>
    <row r="51" spans="1:10" x14ac:dyDescent="0.2">
      <c r="A51" t="s">
        <v>3763</v>
      </c>
      <c r="B51" t="s">
        <v>3751</v>
      </c>
      <c r="C51" t="s">
        <v>2220</v>
      </c>
      <c r="D51" t="s">
        <v>2273</v>
      </c>
      <c r="E51" t="s">
        <v>3762</v>
      </c>
      <c r="F51" t="s">
        <v>4746</v>
      </c>
      <c r="G51" s="293">
        <v>135440</v>
      </c>
      <c r="H51" s="293">
        <v>151748.74</v>
      </c>
      <c r="I51" s="263">
        <v>45951</v>
      </c>
      <c r="J51" s="263">
        <v>46213</v>
      </c>
    </row>
    <row r="52" spans="1:10" x14ac:dyDescent="0.2">
      <c r="A52" t="s">
        <v>3764</v>
      </c>
      <c r="B52" t="s">
        <v>3751</v>
      </c>
      <c r="C52" t="s">
        <v>2220</v>
      </c>
      <c r="D52" t="s">
        <v>2273</v>
      </c>
      <c r="E52" t="s">
        <v>3762</v>
      </c>
      <c r="F52" t="s">
        <v>4747</v>
      </c>
      <c r="G52" s="293">
        <v>34860</v>
      </c>
      <c r="H52" s="293">
        <v>39057.599999999999</v>
      </c>
      <c r="I52" s="263">
        <v>45951</v>
      </c>
      <c r="J52" s="263">
        <v>46213</v>
      </c>
    </row>
    <row r="53" spans="1:10" x14ac:dyDescent="0.2">
      <c r="A53" t="s">
        <v>3771</v>
      </c>
      <c r="B53" t="s">
        <v>3765</v>
      </c>
      <c r="C53" t="s">
        <v>2220</v>
      </c>
      <c r="D53" t="s">
        <v>2273</v>
      </c>
      <c r="E53" t="s">
        <v>3762</v>
      </c>
      <c r="F53" t="s">
        <v>2275</v>
      </c>
      <c r="G53" s="293">
        <v>257758</v>
      </c>
      <c r="H53" s="293">
        <v>288795.40999999997</v>
      </c>
      <c r="I53" s="263">
        <v>45951</v>
      </c>
      <c r="J53" s="263">
        <v>46071</v>
      </c>
    </row>
    <row r="54" spans="1:10" x14ac:dyDescent="0.2">
      <c r="A54" t="s">
        <v>4017</v>
      </c>
      <c r="B54" t="s">
        <v>4009</v>
      </c>
      <c r="C54" t="s">
        <v>2220</v>
      </c>
      <c r="D54" t="s">
        <v>2273</v>
      </c>
      <c r="E54" t="s">
        <v>3762</v>
      </c>
      <c r="F54" t="s">
        <v>4748</v>
      </c>
      <c r="G54" s="293">
        <v>232098</v>
      </c>
      <c r="H54" s="293">
        <v>260045.62</v>
      </c>
      <c r="I54" s="263">
        <v>45951</v>
      </c>
      <c r="J54" s="263">
        <v>46213</v>
      </c>
    </row>
    <row r="55" spans="1:10" x14ac:dyDescent="0.2">
      <c r="A55" t="s">
        <v>4016</v>
      </c>
      <c r="B55" t="s">
        <v>4009</v>
      </c>
      <c r="C55" t="s">
        <v>2220</v>
      </c>
      <c r="D55" t="s">
        <v>2273</v>
      </c>
      <c r="E55" t="s">
        <v>3762</v>
      </c>
      <c r="F55" t="s">
        <v>4749</v>
      </c>
      <c r="G55" s="293">
        <v>115160</v>
      </c>
      <c r="H55" s="293">
        <v>129026.76</v>
      </c>
      <c r="I55" s="263">
        <v>45951</v>
      </c>
      <c r="J55" s="263">
        <v>46213</v>
      </c>
    </row>
    <row r="56" spans="1:10" x14ac:dyDescent="0.2">
      <c r="A56" t="s">
        <v>4061</v>
      </c>
      <c r="B56" t="s">
        <v>4052</v>
      </c>
      <c r="C56" t="s">
        <v>2220</v>
      </c>
      <c r="D56" t="s">
        <v>2273</v>
      </c>
      <c r="E56" t="s">
        <v>3762</v>
      </c>
      <c r="F56" t="s">
        <v>4750</v>
      </c>
      <c r="G56" s="293">
        <v>75000</v>
      </c>
      <c r="H56" s="293">
        <v>84030.98</v>
      </c>
      <c r="I56" s="263">
        <v>45951</v>
      </c>
      <c r="J56" s="263">
        <v>46213</v>
      </c>
    </row>
    <row r="57" spans="1:10" x14ac:dyDescent="0.2">
      <c r="A57" t="s">
        <v>4319</v>
      </c>
      <c r="B57" t="s">
        <v>4300</v>
      </c>
      <c r="C57" t="s">
        <v>2220</v>
      </c>
      <c r="D57" t="s">
        <v>2273</v>
      </c>
      <c r="E57" t="s">
        <v>3762</v>
      </c>
      <c r="F57" t="s">
        <v>4751</v>
      </c>
      <c r="G57" s="293">
        <v>50000</v>
      </c>
      <c r="H57" s="293">
        <v>56020.65</v>
      </c>
      <c r="I57" s="263">
        <v>45951</v>
      </c>
      <c r="J57" s="263">
        <v>46213</v>
      </c>
    </row>
    <row r="58" spans="1:10" x14ac:dyDescent="0.2">
      <c r="A58" t="s">
        <v>4317</v>
      </c>
      <c r="B58" t="s">
        <v>4300</v>
      </c>
      <c r="C58" t="s">
        <v>2220</v>
      </c>
      <c r="D58" t="s">
        <v>2273</v>
      </c>
      <c r="E58" t="s">
        <v>3762</v>
      </c>
      <c r="F58" t="s">
        <v>4752</v>
      </c>
      <c r="G58" s="293">
        <v>27000</v>
      </c>
      <c r="H58" s="293">
        <v>30550.34</v>
      </c>
      <c r="I58" s="263">
        <v>46216</v>
      </c>
      <c r="J58" s="263">
        <v>46360</v>
      </c>
    </row>
    <row r="59" spans="1:10" x14ac:dyDescent="0.2">
      <c r="A59" t="s">
        <v>4318</v>
      </c>
      <c r="B59" t="s">
        <v>4300</v>
      </c>
      <c r="C59" t="s">
        <v>2220</v>
      </c>
      <c r="D59" t="s">
        <v>2273</v>
      </c>
      <c r="E59" t="s">
        <v>3762</v>
      </c>
      <c r="F59" t="s">
        <v>4753</v>
      </c>
      <c r="G59" s="293">
        <v>12000</v>
      </c>
      <c r="H59" s="293">
        <v>13577.93</v>
      </c>
      <c r="I59" s="263">
        <v>46216</v>
      </c>
      <c r="J59" s="263">
        <v>46360</v>
      </c>
    </row>
    <row r="60" spans="1:10" x14ac:dyDescent="0.2">
      <c r="A60" t="s">
        <v>4360</v>
      </c>
      <c r="B60" t="s">
        <v>4356</v>
      </c>
      <c r="C60" t="s">
        <v>2220</v>
      </c>
      <c r="D60" t="s">
        <v>2273</v>
      </c>
      <c r="E60" t="s">
        <v>3762</v>
      </c>
      <c r="F60" t="s">
        <v>4754</v>
      </c>
      <c r="G60" s="293">
        <v>82444</v>
      </c>
      <c r="H60" s="293">
        <v>92371.33</v>
      </c>
      <c r="I60" s="263">
        <v>45951</v>
      </c>
      <c r="J60" s="263">
        <v>46213</v>
      </c>
    </row>
    <row r="61" spans="1:10" x14ac:dyDescent="0.2">
      <c r="A61" t="s">
        <v>4483</v>
      </c>
      <c r="B61" t="s">
        <v>4476</v>
      </c>
      <c r="C61" t="s">
        <v>2220</v>
      </c>
      <c r="D61" t="s">
        <v>2273</v>
      </c>
      <c r="E61" t="s">
        <v>3762</v>
      </c>
      <c r="F61" t="s">
        <v>4755</v>
      </c>
      <c r="G61" s="293">
        <v>72047</v>
      </c>
      <c r="H61" s="293">
        <v>80722.399999999994</v>
      </c>
      <c r="I61" s="263">
        <v>45951</v>
      </c>
      <c r="J61" s="263">
        <v>46071</v>
      </c>
    </row>
    <row r="62" spans="1:10" x14ac:dyDescent="0.2">
      <c r="A62" t="s">
        <v>4484</v>
      </c>
      <c r="B62" t="s">
        <v>4476</v>
      </c>
      <c r="C62" t="s">
        <v>2220</v>
      </c>
      <c r="D62" t="s">
        <v>2273</v>
      </c>
      <c r="E62" t="s">
        <v>3762</v>
      </c>
      <c r="F62" t="s">
        <v>4756</v>
      </c>
      <c r="G62" s="293">
        <v>72047</v>
      </c>
      <c r="H62" s="293">
        <v>80722.399999999994</v>
      </c>
      <c r="I62" s="263">
        <v>45951</v>
      </c>
      <c r="J62" s="263">
        <v>46213</v>
      </c>
    </row>
    <row r="63" spans="1:10" x14ac:dyDescent="0.2">
      <c r="A63" t="s">
        <v>4496</v>
      </c>
      <c r="B63" t="s">
        <v>4493</v>
      </c>
      <c r="C63" t="s">
        <v>2220</v>
      </c>
      <c r="D63" t="s">
        <v>2273</v>
      </c>
      <c r="E63" t="s">
        <v>3762</v>
      </c>
      <c r="F63" t="s">
        <v>4757</v>
      </c>
      <c r="G63" s="293">
        <v>58068</v>
      </c>
      <c r="H63" s="293">
        <v>65060.14</v>
      </c>
      <c r="I63" s="263">
        <v>45951</v>
      </c>
      <c r="J63" s="263">
        <v>46213</v>
      </c>
    </row>
    <row r="64" spans="1:10" x14ac:dyDescent="0.2">
      <c r="A64" t="s">
        <v>4378</v>
      </c>
      <c r="B64" t="s">
        <v>4376</v>
      </c>
      <c r="C64" t="s">
        <v>2605</v>
      </c>
      <c r="D64" t="s">
        <v>2635</v>
      </c>
      <c r="E64" t="s">
        <v>4377</v>
      </c>
      <c r="F64" t="s">
        <v>4758</v>
      </c>
      <c r="G64" s="293">
        <v>890358</v>
      </c>
      <c r="H64" s="293">
        <v>997568.68</v>
      </c>
      <c r="I64" s="263">
        <v>45951</v>
      </c>
      <c r="J64" s="263">
        <v>46163</v>
      </c>
    </row>
    <row r="65" spans="1:10" x14ac:dyDescent="0.2">
      <c r="A65" t="s">
        <v>4582</v>
      </c>
      <c r="B65" t="s">
        <v>4580</v>
      </c>
      <c r="C65" t="s">
        <v>2515</v>
      </c>
      <c r="D65" t="s">
        <v>2562</v>
      </c>
      <c r="E65" t="s">
        <v>4581</v>
      </c>
      <c r="F65" t="s">
        <v>4759</v>
      </c>
      <c r="G65" s="293">
        <v>283000</v>
      </c>
      <c r="H65" s="293">
        <v>321106.92</v>
      </c>
      <c r="I65" s="263">
        <v>45951</v>
      </c>
      <c r="J65" s="263">
        <v>46680</v>
      </c>
    </row>
    <row r="66" spans="1:10" x14ac:dyDescent="0.2">
      <c r="A66" t="s">
        <v>4264</v>
      </c>
      <c r="B66" t="s">
        <v>4262</v>
      </c>
      <c r="C66" t="s">
        <v>3001</v>
      </c>
      <c r="D66" t="s">
        <v>3006</v>
      </c>
      <c r="E66" t="s">
        <v>4263</v>
      </c>
      <c r="F66" t="s">
        <v>3009</v>
      </c>
      <c r="G66" s="293">
        <v>270893</v>
      </c>
      <c r="H66" s="293">
        <v>302261.01</v>
      </c>
      <c r="I66" s="263">
        <v>45853</v>
      </c>
      <c r="J66" s="263">
        <v>46288</v>
      </c>
    </row>
    <row r="67" spans="1:10" x14ac:dyDescent="0.2">
      <c r="A67" t="s">
        <v>4267</v>
      </c>
      <c r="B67" t="s">
        <v>4265</v>
      </c>
      <c r="C67" t="s">
        <v>3001</v>
      </c>
      <c r="D67" t="s">
        <v>3010</v>
      </c>
      <c r="E67" t="s">
        <v>4266</v>
      </c>
      <c r="F67" t="s">
        <v>3013</v>
      </c>
      <c r="G67" s="293">
        <v>270893</v>
      </c>
      <c r="H67" s="293">
        <v>306886.15000000002</v>
      </c>
      <c r="I67" s="263">
        <v>46076</v>
      </c>
      <c r="J67" s="263">
        <v>46510</v>
      </c>
    </row>
    <row r="68" spans="1:10" x14ac:dyDescent="0.2">
      <c r="A68" t="s">
        <v>4270</v>
      </c>
      <c r="B68" t="s">
        <v>4268</v>
      </c>
      <c r="C68" t="s">
        <v>3001</v>
      </c>
      <c r="D68" t="s">
        <v>2998</v>
      </c>
      <c r="E68" t="s">
        <v>4269</v>
      </c>
      <c r="F68" t="s">
        <v>3002</v>
      </c>
      <c r="G68" s="293">
        <v>392949.6</v>
      </c>
      <c r="H68" s="293">
        <v>438451.13</v>
      </c>
      <c r="I68" s="263">
        <v>45853</v>
      </c>
      <c r="J68" s="263">
        <v>46288</v>
      </c>
    </row>
    <row r="69" spans="1:10" x14ac:dyDescent="0.2">
      <c r="A69" t="s">
        <v>4281</v>
      </c>
      <c r="B69" t="s">
        <v>4280</v>
      </c>
      <c r="C69" t="s">
        <v>3001</v>
      </c>
      <c r="D69" t="s">
        <v>2998</v>
      </c>
      <c r="E69" t="s">
        <v>4269</v>
      </c>
      <c r="F69" t="s">
        <v>3005</v>
      </c>
      <c r="G69" s="293">
        <v>674000</v>
      </c>
      <c r="H69" s="293">
        <v>755158.36</v>
      </c>
      <c r="I69" s="263">
        <v>45967</v>
      </c>
      <c r="J69" s="263">
        <v>46115</v>
      </c>
    </row>
    <row r="70" spans="1:10" x14ac:dyDescent="0.2">
      <c r="A70" t="s">
        <v>4288</v>
      </c>
      <c r="B70" t="s">
        <v>4286</v>
      </c>
      <c r="C70" t="s">
        <v>3001</v>
      </c>
      <c r="D70" t="s">
        <v>3014</v>
      </c>
      <c r="E70" t="s">
        <v>4287</v>
      </c>
      <c r="F70" t="s">
        <v>3017</v>
      </c>
      <c r="G70" s="293">
        <v>1193893</v>
      </c>
      <c r="H70" s="293">
        <v>1352523.77</v>
      </c>
      <c r="I70" s="263">
        <v>46076</v>
      </c>
      <c r="J70" s="263">
        <v>46510</v>
      </c>
    </row>
    <row r="71" spans="1:10" x14ac:dyDescent="0.2">
      <c r="A71" t="s">
        <v>4290</v>
      </c>
      <c r="B71" t="s">
        <v>4289</v>
      </c>
      <c r="C71" t="s">
        <v>3001</v>
      </c>
      <c r="D71" t="s">
        <v>3014</v>
      </c>
      <c r="E71" t="s">
        <v>4287</v>
      </c>
      <c r="F71" t="s">
        <v>3020</v>
      </c>
      <c r="G71" s="293">
        <v>636186.67000000004</v>
      </c>
      <c r="H71" s="293">
        <v>713611.54</v>
      </c>
      <c r="I71" s="263">
        <v>46160</v>
      </c>
      <c r="J71" s="263">
        <v>46302</v>
      </c>
    </row>
    <row r="72" spans="1:10" x14ac:dyDescent="0.2">
      <c r="A72" t="s">
        <v>4333</v>
      </c>
      <c r="B72" t="s">
        <v>4331</v>
      </c>
      <c r="C72" t="s">
        <v>3001</v>
      </c>
      <c r="D72" t="s">
        <v>3021</v>
      </c>
      <c r="E72" t="s">
        <v>4332</v>
      </c>
      <c r="F72" t="s">
        <v>3024</v>
      </c>
      <c r="G72" s="293">
        <v>357072.2</v>
      </c>
      <c r="H72" s="293">
        <v>400068.33</v>
      </c>
      <c r="I72" s="263">
        <v>46076</v>
      </c>
      <c r="J72" s="263">
        <v>46288</v>
      </c>
    </row>
    <row r="73" spans="1:10" x14ac:dyDescent="0.2">
      <c r="A73" t="s">
        <v>4436</v>
      </c>
      <c r="B73" t="s">
        <v>4435</v>
      </c>
      <c r="C73" t="s">
        <v>3001</v>
      </c>
      <c r="D73" t="s">
        <v>3021</v>
      </c>
      <c r="E73" t="s">
        <v>4332</v>
      </c>
      <c r="F73" t="s">
        <v>3027</v>
      </c>
      <c r="G73" s="293">
        <v>686000</v>
      </c>
      <c r="H73" s="293">
        <v>769487.23</v>
      </c>
      <c r="I73" s="263">
        <v>46160</v>
      </c>
      <c r="J73" s="263">
        <v>46302</v>
      </c>
    </row>
    <row r="74" spans="1:10" x14ac:dyDescent="0.2">
      <c r="A74" t="s">
        <v>3753</v>
      </c>
      <c r="B74" t="s">
        <v>3751</v>
      </c>
      <c r="C74" t="s">
        <v>2220</v>
      </c>
      <c r="D74" t="s">
        <v>2240</v>
      </c>
      <c r="E74" t="s">
        <v>3752</v>
      </c>
      <c r="F74" t="s">
        <v>2265</v>
      </c>
      <c r="G74" s="293">
        <v>746220</v>
      </c>
      <c r="H74" s="293">
        <v>837074.55</v>
      </c>
      <c r="I74" s="263">
        <v>45951</v>
      </c>
      <c r="J74" s="263">
        <v>46315</v>
      </c>
    </row>
    <row r="75" spans="1:10" x14ac:dyDescent="0.2">
      <c r="A75" t="s">
        <v>3766</v>
      </c>
      <c r="B75" t="s">
        <v>3765</v>
      </c>
      <c r="C75" t="s">
        <v>2220</v>
      </c>
      <c r="D75" t="s">
        <v>2240</v>
      </c>
      <c r="E75" t="s">
        <v>3752</v>
      </c>
      <c r="F75" t="s">
        <v>4760</v>
      </c>
      <c r="G75" s="293">
        <v>37000</v>
      </c>
      <c r="H75" s="293">
        <v>42171.77</v>
      </c>
      <c r="I75" s="263">
        <v>46118</v>
      </c>
      <c r="J75" s="263">
        <v>46696</v>
      </c>
    </row>
    <row r="76" spans="1:10" x14ac:dyDescent="0.2">
      <c r="A76" t="s">
        <v>4010</v>
      </c>
      <c r="B76" t="s">
        <v>4009</v>
      </c>
      <c r="C76" t="s">
        <v>2220</v>
      </c>
      <c r="D76" t="s">
        <v>2240</v>
      </c>
      <c r="E76" t="s">
        <v>3752</v>
      </c>
      <c r="F76" t="s">
        <v>2243</v>
      </c>
      <c r="G76" s="293">
        <v>1154257</v>
      </c>
      <c r="H76" s="293">
        <v>1293244.55</v>
      </c>
      <c r="I76" s="263">
        <v>45951</v>
      </c>
      <c r="J76" s="263">
        <v>46213</v>
      </c>
    </row>
    <row r="77" spans="1:10" x14ac:dyDescent="0.2">
      <c r="A77" t="s">
        <v>4301</v>
      </c>
      <c r="B77" t="s">
        <v>4300</v>
      </c>
      <c r="C77" t="s">
        <v>2220</v>
      </c>
      <c r="D77" t="s">
        <v>2240</v>
      </c>
      <c r="E77" t="s">
        <v>3752</v>
      </c>
      <c r="F77" t="s">
        <v>4761</v>
      </c>
      <c r="G77" s="293">
        <v>141000</v>
      </c>
      <c r="H77" s="293">
        <v>159540.67000000001</v>
      </c>
      <c r="I77" s="263">
        <v>46216</v>
      </c>
      <c r="J77" s="263">
        <v>46360</v>
      </c>
    </row>
    <row r="78" spans="1:10" x14ac:dyDescent="0.2">
      <c r="A78" t="s">
        <v>4477</v>
      </c>
      <c r="B78" t="s">
        <v>4476</v>
      </c>
      <c r="C78" t="s">
        <v>2220</v>
      </c>
      <c r="D78" t="s">
        <v>2240</v>
      </c>
      <c r="E78" t="s">
        <v>3752</v>
      </c>
      <c r="F78" t="s">
        <v>4762</v>
      </c>
      <c r="G78" s="293">
        <v>40826.769999999997</v>
      </c>
      <c r="H78" s="293">
        <v>45797.55</v>
      </c>
      <c r="I78" s="263">
        <v>45951</v>
      </c>
      <c r="J78" s="263">
        <v>46315</v>
      </c>
    </row>
    <row r="79" spans="1:10" x14ac:dyDescent="0.2">
      <c r="A79" t="s">
        <v>4494</v>
      </c>
      <c r="B79" t="s">
        <v>4493</v>
      </c>
      <c r="C79" t="s">
        <v>2220</v>
      </c>
      <c r="D79" t="s">
        <v>2240</v>
      </c>
      <c r="E79" t="s">
        <v>3752</v>
      </c>
      <c r="F79" t="s">
        <v>4763</v>
      </c>
      <c r="G79" s="293">
        <v>125000</v>
      </c>
      <c r="H79" s="293">
        <v>141364.28</v>
      </c>
      <c r="I79" s="263">
        <v>45951</v>
      </c>
      <c r="J79" s="263">
        <v>46534</v>
      </c>
    </row>
    <row r="80" spans="1:10" x14ac:dyDescent="0.2">
      <c r="A80" t="s">
        <v>4216</v>
      </c>
      <c r="B80" t="s">
        <v>4214</v>
      </c>
      <c r="C80" t="s">
        <v>3046</v>
      </c>
      <c r="D80" t="s">
        <v>3050</v>
      </c>
      <c r="E80" t="s">
        <v>4215</v>
      </c>
      <c r="F80" t="s">
        <v>3053</v>
      </c>
      <c r="G80" s="293">
        <v>890121</v>
      </c>
      <c r="H80" s="293">
        <v>1002655.44</v>
      </c>
      <c r="I80" s="263">
        <v>46163</v>
      </c>
      <c r="J80" s="263">
        <v>46336</v>
      </c>
    </row>
    <row r="81" spans="1:10" x14ac:dyDescent="0.2">
      <c r="A81" t="s">
        <v>4285</v>
      </c>
      <c r="B81" t="s">
        <v>4284</v>
      </c>
      <c r="C81" t="s">
        <v>3046</v>
      </c>
      <c r="D81" t="s">
        <v>3050</v>
      </c>
      <c r="E81" t="s">
        <v>4215</v>
      </c>
      <c r="F81" t="s">
        <v>3056</v>
      </c>
      <c r="G81" s="293">
        <v>350000</v>
      </c>
      <c r="H81" s="293">
        <v>396128.16</v>
      </c>
      <c r="I81" s="263">
        <v>46199</v>
      </c>
      <c r="J81" s="263">
        <v>46374</v>
      </c>
    </row>
    <row r="82" spans="1:10" x14ac:dyDescent="0.2">
      <c r="A82" t="s">
        <v>4330</v>
      </c>
      <c r="B82" t="s">
        <v>4329</v>
      </c>
      <c r="C82" t="s">
        <v>3046</v>
      </c>
      <c r="D82" t="s">
        <v>3050</v>
      </c>
      <c r="E82" t="s">
        <v>4215</v>
      </c>
      <c r="F82" t="s">
        <v>3061</v>
      </c>
      <c r="G82" s="293">
        <v>398000</v>
      </c>
      <c r="H82" s="293">
        <v>446116.68</v>
      </c>
      <c r="I82" s="263">
        <v>46072</v>
      </c>
      <c r="J82" s="263">
        <v>46300</v>
      </c>
    </row>
    <row r="83" spans="1:10" x14ac:dyDescent="0.2">
      <c r="A83" t="s">
        <v>4475</v>
      </c>
      <c r="B83" t="s">
        <v>4474</v>
      </c>
      <c r="C83" t="s">
        <v>3046</v>
      </c>
      <c r="D83" t="s">
        <v>3050</v>
      </c>
      <c r="E83" t="s">
        <v>4215</v>
      </c>
      <c r="F83" t="s">
        <v>3065</v>
      </c>
      <c r="G83" s="293">
        <v>500164</v>
      </c>
      <c r="H83" s="293">
        <v>573279.47</v>
      </c>
      <c r="I83" s="263">
        <v>46303</v>
      </c>
      <c r="J83" s="263">
        <v>46539</v>
      </c>
    </row>
    <row r="84" spans="1:10" x14ac:dyDescent="0.2">
      <c r="A84" t="s">
        <v>4498</v>
      </c>
      <c r="B84" t="s">
        <v>4497</v>
      </c>
      <c r="C84" t="s">
        <v>3046</v>
      </c>
      <c r="D84" t="s">
        <v>3050</v>
      </c>
      <c r="E84" t="s">
        <v>4215</v>
      </c>
      <c r="F84" t="s">
        <v>3068</v>
      </c>
      <c r="G84" s="293">
        <v>458000</v>
      </c>
      <c r="H84" s="293">
        <v>513370.45</v>
      </c>
      <c r="I84" s="263">
        <v>46072</v>
      </c>
      <c r="J84" s="263">
        <v>46300</v>
      </c>
    </row>
    <row r="85" spans="1:10" x14ac:dyDescent="0.2">
      <c r="A85" t="s">
        <v>3928</v>
      </c>
      <c r="B85" t="s">
        <v>3926</v>
      </c>
      <c r="C85" t="s">
        <v>3046</v>
      </c>
      <c r="D85" t="s">
        <v>3043</v>
      </c>
      <c r="E85" t="s">
        <v>3927</v>
      </c>
      <c r="F85" t="s">
        <v>3047</v>
      </c>
      <c r="G85" s="293">
        <v>1831233</v>
      </c>
      <c r="H85" s="293">
        <v>2006162.05</v>
      </c>
      <c r="I85" s="263">
        <v>45569</v>
      </c>
      <c r="J85" s="263">
        <v>45933</v>
      </c>
    </row>
    <row r="86" spans="1:10" x14ac:dyDescent="0.2">
      <c r="A86" t="s">
        <v>3930</v>
      </c>
      <c r="B86" t="s">
        <v>3929</v>
      </c>
      <c r="C86" t="s">
        <v>3046</v>
      </c>
      <c r="D86" t="s">
        <v>3043</v>
      </c>
      <c r="E86" t="s">
        <v>3927</v>
      </c>
      <c r="F86" t="s">
        <v>3049</v>
      </c>
      <c r="G86" s="293">
        <v>16481096</v>
      </c>
      <c r="H86" s="293">
        <v>18683148.289999999</v>
      </c>
      <c r="I86" s="263">
        <v>45936</v>
      </c>
      <c r="J86" s="263">
        <v>46665</v>
      </c>
    </row>
    <row r="87" spans="1:10" x14ac:dyDescent="0.2">
      <c r="A87" t="s">
        <v>4526</v>
      </c>
      <c r="B87" t="s">
        <v>4525</v>
      </c>
      <c r="C87" t="s">
        <v>3046</v>
      </c>
      <c r="D87" t="s">
        <v>3043</v>
      </c>
      <c r="E87" t="s">
        <v>3927</v>
      </c>
      <c r="F87" t="s">
        <v>3071</v>
      </c>
      <c r="G87" s="293">
        <v>750000</v>
      </c>
      <c r="H87" s="293">
        <v>860944.46</v>
      </c>
      <c r="I87" s="263">
        <v>46499</v>
      </c>
      <c r="J87" s="263">
        <v>46673</v>
      </c>
    </row>
    <row r="88" spans="1:10" x14ac:dyDescent="0.2">
      <c r="A88" t="s">
        <v>4585</v>
      </c>
      <c r="B88" t="s">
        <v>4583</v>
      </c>
      <c r="C88" t="s">
        <v>2515</v>
      </c>
      <c r="D88" t="s">
        <v>2566</v>
      </c>
      <c r="E88" t="s">
        <v>4584</v>
      </c>
      <c r="F88" t="s">
        <v>4764</v>
      </c>
      <c r="G88" s="293">
        <v>298638</v>
      </c>
      <c r="H88" s="293">
        <v>338573.64</v>
      </c>
      <c r="I88" s="263">
        <v>46108</v>
      </c>
      <c r="J88" s="263">
        <v>46503</v>
      </c>
    </row>
    <row r="89" spans="1:10" x14ac:dyDescent="0.2">
      <c r="A89" t="s">
        <v>4322</v>
      </c>
      <c r="B89" t="s">
        <v>4320</v>
      </c>
      <c r="C89" t="s">
        <v>2515</v>
      </c>
      <c r="D89" t="s">
        <v>2512</v>
      </c>
      <c r="E89" t="s">
        <v>4321</v>
      </c>
      <c r="F89" t="s">
        <v>4765</v>
      </c>
      <c r="G89" s="293">
        <v>262840</v>
      </c>
      <c r="H89" s="293">
        <v>298232.31</v>
      </c>
      <c r="I89" s="263">
        <v>45951</v>
      </c>
      <c r="J89" s="263">
        <v>46680</v>
      </c>
    </row>
    <row r="90" spans="1:10" x14ac:dyDescent="0.2">
      <c r="A90" t="s">
        <v>4544</v>
      </c>
      <c r="B90" t="s">
        <v>4542</v>
      </c>
      <c r="C90" t="s">
        <v>3046</v>
      </c>
      <c r="D90" t="s">
        <v>3072</v>
      </c>
      <c r="E90" t="s">
        <v>4543</v>
      </c>
      <c r="F90" t="s">
        <v>3075</v>
      </c>
      <c r="G90" s="293">
        <v>610000</v>
      </c>
      <c r="H90" s="293">
        <v>686155.72</v>
      </c>
      <c r="I90" s="263">
        <v>45996</v>
      </c>
      <c r="J90" s="263">
        <v>46360</v>
      </c>
    </row>
    <row r="91" spans="1:10" x14ac:dyDescent="0.2">
      <c r="A91" t="s">
        <v>3960</v>
      </c>
      <c r="B91" t="s">
        <v>3958</v>
      </c>
      <c r="C91" t="s">
        <v>3202</v>
      </c>
      <c r="D91" t="s">
        <v>3204</v>
      </c>
      <c r="E91" t="s">
        <v>3959</v>
      </c>
      <c r="F91" t="s">
        <v>3206</v>
      </c>
      <c r="G91" s="293">
        <v>15306239</v>
      </c>
      <c r="H91" s="293">
        <v>17278509.32</v>
      </c>
      <c r="I91" s="263">
        <v>45687</v>
      </c>
      <c r="J91" s="263">
        <v>46783</v>
      </c>
    </row>
    <row r="92" spans="1:10" x14ac:dyDescent="0.2">
      <c r="A92" t="s">
        <v>3962</v>
      </c>
      <c r="B92" t="s">
        <v>3961</v>
      </c>
      <c r="C92" t="s">
        <v>3202</v>
      </c>
      <c r="D92" t="s">
        <v>3204</v>
      </c>
      <c r="E92" t="s">
        <v>3959</v>
      </c>
      <c r="F92" t="s">
        <v>3208</v>
      </c>
      <c r="G92" s="293">
        <v>15306239</v>
      </c>
      <c r="H92" s="293">
        <v>17278509.32</v>
      </c>
      <c r="I92" s="263">
        <v>45687</v>
      </c>
      <c r="J92" s="263">
        <v>46783</v>
      </c>
    </row>
    <row r="93" spans="1:10" x14ac:dyDescent="0.2">
      <c r="A93" t="s">
        <v>3713</v>
      </c>
      <c r="B93" t="s">
        <v>3711</v>
      </c>
      <c r="C93" t="s">
        <v>3202</v>
      </c>
      <c r="D93" t="s">
        <v>3227</v>
      </c>
      <c r="E93" t="s">
        <v>3712</v>
      </c>
      <c r="F93" t="s">
        <v>3230</v>
      </c>
      <c r="G93" s="293">
        <v>2407960</v>
      </c>
      <c r="H93" s="293">
        <v>2741819.16</v>
      </c>
      <c r="I93" s="263">
        <v>45824</v>
      </c>
      <c r="J93" s="263">
        <v>46918</v>
      </c>
    </row>
    <row r="94" spans="1:10" x14ac:dyDescent="0.2">
      <c r="A94" t="s">
        <v>3714</v>
      </c>
      <c r="B94" t="s">
        <v>3711</v>
      </c>
      <c r="C94" t="s">
        <v>3202</v>
      </c>
      <c r="D94" t="s">
        <v>3227</v>
      </c>
      <c r="E94" t="s">
        <v>3712</v>
      </c>
      <c r="F94" t="s">
        <v>3232</v>
      </c>
      <c r="G94" s="293">
        <v>2407960</v>
      </c>
      <c r="H94" s="293">
        <v>2741819.16</v>
      </c>
      <c r="I94" s="263">
        <v>45824</v>
      </c>
      <c r="J94" s="263">
        <v>46918</v>
      </c>
    </row>
    <row r="95" spans="1:10" x14ac:dyDescent="0.2">
      <c r="A95" t="s">
        <v>4035</v>
      </c>
      <c r="B95" t="s">
        <v>4033</v>
      </c>
      <c r="C95" t="s">
        <v>3202</v>
      </c>
      <c r="D95" t="s">
        <v>3209</v>
      </c>
      <c r="E95" t="s">
        <v>4034</v>
      </c>
      <c r="F95" t="s">
        <v>3212</v>
      </c>
      <c r="G95" s="293">
        <v>9880000</v>
      </c>
      <c r="H95" s="293">
        <v>11061043.34</v>
      </c>
      <c r="I95" s="263">
        <v>45737</v>
      </c>
      <c r="J95" s="263">
        <v>46468</v>
      </c>
    </row>
    <row r="96" spans="1:10" x14ac:dyDescent="0.2">
      <c r="A96" t="s">
        <v>3854</v>
      </c>
      <c r="B96" t="s">
        <v>3852</v>
      </c>
      <c r="C96" t="s">
        <v>175</v>
      </c>
      <c r="D96" t="s">
        <v>4766</v>
      </c>
      <c r="E96" t="s">
        <v>3853</v>
      </c>
      <c r="F96" t="s">
        <v>4767</v>
      </c>
      <c r="G96" s="293">
        <v>4144864</v>
      </c>
      <c r="H96" s="293">
        <v>4693902.5199999996</v>
      </c>
      <c r="I96" s="263">
        <v>45737</v>
      </c>
      <c r="J96" s="263">
        <v>46833</v>
      </c>
    </row>
    <row r="97" spans="1:10" x14ac:dyDescent="0.2">
      <c r="A97" t="s">
        <v>3857</v>
      </c>
      <c r="B97" t="s">
        <v>3855</v>
      </c>
      <c r="C97" t="s">
        <v>175</v>
      </c>
      <c r="D97" t="s">
        <v>4768</v>
      </c>
      <c r="E97" t="s">
        <v>3856</v>
      </c>
      <c r="F97" t="s">
        <v>4769</v>
      </c>
      <c r="G97" s="293">
        <v>4144864</v>
      </c>
      <c r="H97" s="293">
        <v>4693902.5199999996</v>
      </c>
      <c r="I97" s="263">
        <v>45737</v>
      </c>
      <c r="J97" s="263">
        <v>46833</v>
      </c>
    </row>
    <row r="98" spans="1:10" x14ac:dyDescent="0.2">
      <c r="A98" t="s">
        <v>4336</v>
      </c>
      <c r="B98" t="s">
        <v>4334</v>
      </c>
      <c r="C98" t="s">
        <v>175</v>
      </c>
      <c r="D98" t="s">
        <v>4770</v>
      </c>
      <c r="E98" t="s">
        <v>4335</v>
      </c>
      <c r="F98" t="s">
        <v>4771</v>
      </c>
      <c r="G98" s="293">
        <v>1235000</v>
      </c>
      <c r="H98" s="293">
        <v>1383896.02</v>
      </c>
      <c r="I98" s="263">
        <v>45737</v>
      </c>
      <c r="J98" s="263">
        <v>46496</v>
      </c>
    </row>
    <row r="99" spans="1:10" x14ac:dyDescent="0.2">
      <c r="A99" t="s">
        <v>3755</v>
      </c>
      <c r="B99" t="s">
        <v>3751</v>
      </c>
      <c r="C99" t="s">
        <v>2220</v>
      </c>
      <c r="D99" t="s">
        <v>2235</v>
      </c>
      <c r="E99" t="s">
        <v>3754</v>
      </c>
      <c r="F99" t="s">
        <v>2269</v>
      </c>
      <c r="G99" s="293">
        <v>1650000</v>
      </c>
      <c r="H99" s="293">
        <v>1857610.76</v>
      </c>
      <c r="I99" s="263">
        <v>45951</v>
      </c>
      <c r="J99" s="263">
        <v>46392</v>
      </c>
    </row>
    <row r="100" spans="1:10" x14ac:dyDescent="0.2">
      <c r="A100" t="s">
        <v>3767</v>
      </c>
      <c r="B100" t="s">
        <v>3765</v>
      </c>
      <c r="C100" t="s">
        <v>2220</v>
      </c>
      <c r="D100" t="s">
        <v>2235</v>
      </c>
      <c r="E100" t="s">
        <v>3754</v>
      </c>
      <c r="F100" t="s">
        <v>2277</v>
      </c>
      <c r="G100" s="293">
        <v>2290077</v>
      </c>
      <c r="H100" s="293">
        <v>2565832.04</v>
      </c>
      <c r="I100" s="263">
        <v>45951</v>
      </c>
      <c r="J100" s="263">
        <v>46042</v>
      </c>
    </row>
    <row r="101" spans="1:10" x14ac:dyDescent="0.2">
      <c r="A101" t="s">
        <v>4005</v>
      </c>
      <c r="B101" t="s">
        <v>4004</v>
      </c>
      <c r="C101" t="s">
        <v>2220</v>
      </c>
      <c r="D101" t="s">
        <v>2235</v>
      </c>
      <c r="E101" t="s">
        <v>3754</v>
      </c>
      <c r="F101" t="s">
        <v>2237</v>
      </c>
      <c r="G101" s="293">
        <v>8975521</v>
      </c>
      <c r="H101" s="293">
        <v>10056290.41</v>
      </c>
      <c r="I101" s="263">
        <v>45951</v>
      </c>
      <c r="J101" s="263">
        <v>46213</v>
      </c>
    </row>
    <row r="102" spans="1:10" x14ac:dyDescent="0.2">
      <c r="A102" t="s">
        <v>4006</v>
      </c>
      <c r="B102" t="s">
        <v>4004</v>
      </c>
      <c r="C102" t="s">
        <v>2220</v>
      </c>
      <c r="D102" t="s">
        <v>2235</v>
      </c>
      <c r="E102" t="s">
        <v>3754</v>
      </c>
      <c r="F102" t="s">
        <v>2239</v>
      </c>
      <c r="G102" s="293">
        <v>688525</v>
      </c>
      <c r="H102" s="293">
        <v>771432.36</v>
      </c>
      <c r="I102" s="263">
        <v>45951</v>
      </c>
      <c r="J102" s="263">
        <v>46213</v>
      </c>
    </row>
    <row r="103" spans="1:10" x14ac:dyDescent="0.2">
      <c r="A103" t="s">
        <v>4007</v>
      </c>
      <c r="B103" t="s">
        <v>4004</v>
      </c>
      <c r="C103" t="s">
        <v>2220</v>
      </c>
      <c r="D103" t="s">
        <v>2235</v>
      </c>
      <c r="E103" t="s">
        <v>3754</v>
      </c>
      <c r="F103" t="s">
        <v>4772</v>
      </c>
      <c r="G103" s="293">
        <v>45959</v>
      </c>
      <c r="H103" s="293">
        <v>51493.06</v>
      </c>
      <c r="I103" s="263">
        <v>45951</v>
      </c>
      <c r="J103" s="263">
        <v>46213</v>
      </c>
    </row>
    <row r="104" spans="1:10" x14ac:dyDescent="0.2">
      <c r="A104" t="s">
        <v>4011</v>
      </c>
      <c r="B104" t="s">
        <v>4009</v>
      </c>
      <c r="C104" t="s">
        <v>2220</v>
      </c>
      <c r="D104" t="s">
        <v>2235</v>
      </c>
      <c r="E104" t="s">
        <v>3754</v>
      </c>
      <c r="F104" t="s">
        <v>2248</v>
      </c>
      <c r="G104" s="293">
        <v>3048588</v>
      </c>
      <c r="H104" s="293">
        <v>3432175.67</v>
      </c>
      <c r="I104" s="263">
        <v>45951</v>
      </c>
      <c r="J104" s="263">
        <v>46392</v>
      </c>
    </row>
    <row r="105" spans="1:10" x14ac:dyDescent="0.2">
      <c r="A105" t="s">
        <v>4053</v>
      </c>
      <c r="B105" t="s">
        <v>4052</v>
      </c>
      <c r="C105" t="s">
        <v>2220</v>
      </c>
      <c r="D105" t="s">
        <v>2235</v>
      </c>
      <c r="E105" t="s">
        <v>3754</v>
      </c>
      <c r="F105" t="s">
        <v>2257</v>
      </c>
      <c r="G105" s="293">
        <v>4770190</v>
      </c>
      <c r="H105" s="293">
        <v>5346119.49</v>
      </c>
      <c r="I105" s="263">
        <v>45951</v>
      </c>
      <c r="J105" s="263">
        <v>46300</v>
      </c>
    </row>
    <row r="106" spans="1:10" x14ac:dyDescent="0.2">
      <c r="A106" t="s">
        <v>4304</v>
      </c>
      <c r="B106" t="s">
        <v>4300</v>
      </c>
      <c r="C106" t="s">
        <v>2220</v>
      </c>
      <c r="D106" t="s">
        <v>2235</v>
      </c>
      <c r="E106" t="s">
        <v>3754</v>
      </c>
      <c r="F106" t="s">
        <v>2295</v>
      </c>
      <c r="G106" s="293">
        <v>330000</v>
      </c>
      <c r="H106" s="293">
        <v>378240.39</v>
      </c>
      <c r="I106" s="263">
        <v>46409</v>
      </c>
      <c r="J106" s="263">
        <v>46581</v>
      </c>
    </row>
    <row r="107" spans="1:10" x14ac:dyDescent="0.2">
      <c r="A107" t="s">
        <v>4302</v>
      </c>
      <c r="B107" t="s">
        <v>4300</v>
      </c>
      <c r="C107" t="s">
        <v>2220</v>
      </c>
      <c r="D107" t="s">
        <v>2235</v>
      </c>
      <c r="E107" t="s">
        <v>3754</v>
      </c>
      <c r="F107" t="s">
        <v>4773</v>
      </c>
      <c r="G107" s="293">
        <v>120000</v>
      </c>
      <c r="H107" s="293">
        <v>137541.96</v>
      </c>
      <c r="I107" s="263">
        <v>46409</v>
      </c>
      <c r="J107" s="263">
        <v>46581</v>
      </c>
    </row>
    <row r="108" spans="1:10" x14ac:dyDescent="0.2">
      <c r="A108" t="s">
        <v>4303</v>
      </c>
      <c r="B108" t="s">
        <v>4300</v>
      </c>
      <c r="C108" t="s">
        <v>2220</v>
      </c>
      <c r="D108" t="s">
        <v>2235</v>
      </c>
      <c r="E108" t="s">
        <v>3754</v>
      </c>
      <c r="F108" t="s">
        <v>4774</v>
      </c>
      <c r="G108" s="293">
        <v>60000</v>
      </c>
      <c r="H108" s="293">
        <v>68770.98</v>
      </c>
      <c r="I108" s="263">
        <v>46409</v>
      </c>
      <c r="J108" s="263">
        <v>46493</v>
      </c>
    </row>
    <row r="109" spans="1:10" x14ac:dyDescent="0.2">
      <c r="A109" t="s">
        <v>4478</v>
      </c>
      <c r="B109" t="s">
        <v>4476</v>
      </c>
      <c r="C109" t="s">
        <v>2220</v>
      </c>
      <c r="D109" t="s">
        <v>2235</v>
      </c>
      <c r="E109" t="s">
        <v>3754</v>
      </c>
      <c r="F109" t="s">
        <v>4775</v>
      </c>
      <c r="G109" s="293">
        <v>76049.87</v>
      </c>
      <c r="H109" s="293">
        <v>85207.26</v>
      </c>
      <c r="I109" s="263">
        <v>45951</v>
      </c>
      <c r="J109" s="263">
        <v>46071</v>
      </c>
    </row>
    <row r="110" spans="1:10" x14ac:dyDescent="0.2">
      <c r="A110" t="s">
        <v>4495</v>
      </c>
      <c r="B110" t="s">
        <v>4493</v>
      </c>
      <c r="C110" t="s">
        <v>2220</v>
      </c>
      <c r="D110" t="s">
        <v>2235</v>
      </c>
      <c r="E110" t="s">
        <v>3754</v>
      </c>
      <c r="F110" t="s">
        <v>2301</v>
      </c>
      <c r="G110" s="293">
        <v>300000</v>
      </c>
      <c r="H110" s="293">
        <v>328566.90000000002</v>
      </c>
      <c r="I110" s="263">
        <v>45698</v>
      </c>
      <c r="J110" s="263">
        <v>45782</v>
      </c>
    </row>
    <row r="111" spans="1:10" x14ac:dyDescent="0.2">
      <c r="A111" t="s">
        <v>4169</v>
      </c>
      <c r="B111" t="s">
        <v>4167</v>
      </c>
      <c r="C111" t="s">
        <v>2605</v>
      </c>
      <c r="D111" t="s">
        <v>2602</v>
      </c>
      <c r="E111" t="s">
        <v>4168</v>
      </c>
      <c r="F111" t="s">
        <v>4776</v>
      </c>
      <c r="G111" s="293">
        <v>22965500</v>
      </c>
      <c r="H111" s="293">
        <v>26417734.41</v>
      </c>
      <c r="I111" s="263">
        <v>46097</v>
      </c>
      <c r="J111" s="263">
        <v>47004</v>
      </c>
    </row>
    <row r="112" spans="1:10" x14ac:dyDescent="0.2">
      <c r="A112" t="s">
        <v>4541</v>
      </c>
      <c r="B112" t="s">
        <v>4539</v>
      </c>
      <c r="C112" t="s">
        <v>2605</v>
      </c>
      <c r="D112" t="s">
        <v>2657</v>
      </c>
      <c r="E112" t="s">
        <v>4540</v>
      </c>
      <c r="F112" t="s">
        <v>2660</v>
      </c>
      <c r="G112" s="293">
        <v>1244400</v>
      </c>
      <c r="H112" s="293">
        <v>1413482.85</v>
      </c>
      <c r="I112" s="263">
        <v>46153</v>
      </c>
      <c r="J112" s="263">
        <v>46517</v>
      </c>
    </row>
    <row r="113" spans="1:10" x14ac:dyDescent="0.2">
      <c r="A113" t="s">
        <v>4003</v>
      </c>
      <c r="B113" t="s">
        <v>4001</v>
      </c>
      <c r="C113" t="s">
        <v>2605</v>
      </c>
      <c r="D113" t="s">
        <v>2608</v>
      </c>
      <c r="E113" t="s">
        <v>4002</v>
      </c>
      <c r="F113" t="s">
        <v>2611</v>
      </c>
      <c r="G113" s="293">
        <v>7751396</v>
      </c>
      <c r="H113" s="293">
        <v>8836611.3800000008</v>
      </c>
      <c r="I113" s="263">
        <v>46093</v>
      </c>
      <c r="J113" s="263">
        <v>46720</v>
      </c>
    </row>
    <row r="114" spans="1:10" x14ac:dyDescent="0.2">
      <c r="A114" t="s">
        <v>4532</v>
      </c>
      <c r="B114" t="s">
        <v>4530</v>
      </c>
      <c r="C114" t="s">
        <v>2605</v>
      </c>
      <c r="D114" t="s">
        <v>2653</v>
      </c>
      <c r="E114" t="s">
        <v>4531</v>
      </c>
      <c r="F114" t="s">
        <v>2656</v>
      </c>
      <c r="G114" s="293">
        <v>1886310</v>
      </c>
      <c r="H114" s="293">
        <v>2132703.37</v>
      </c>
      <c r="I114" s="263">
        <v>46072</v>
      </c>
      <c r="J114" s="263">
        <v>46450</v>
      </c>
    </row>
    <row r="115" spans="1:10" x14ac:dyDescent="0.2">
      <c r="A115" t="s">
        <v>4418</v>
      </c>
      <c r="B115" t="s">
        <v>4416</v>
      </c>
      <c r="C115" t="s">
        <v>2605</v>
      </c>
      <c r="D115" t="s">
        <v>2644</v>
      </c>
      <c r="E115" t="s">
        <v>4417</v>
      </c>
      <c r="F115" t="s">
        <v>2647</v>
      </c>
      <c r="G115" s="293">
        <v>808376</v>
      </c>
      <c r="H115" s="293">
        <v>911964.53</v>
      </c>
      <c r="I115" s="263">
        <v>46045</v>
      </c>
      <c r="J115" s="263">
        <v>46409</v>
      </c>
    </row>
    <row r="116" spans="1:10" x14ac:dyDescent="0.2">
      <c r="A116" t="s">
        <v>3782</v>
      </c>
      <c r="B116" t="s">
        <v>3780</v>
      </c>
      <c r="C116" t="s">
        <v>2605</v>
      </c>
      <c r="D116" t="s">
        <v>2622</v>
      </c>
      <c r="E116" t="s">
        <v>3781</v>
      </c>
      <c r="F116" t="s">
        <v>2625</v>
      </c>
      <c r="G116" s="293">
        <v>2080000</v>
      </c>
      <c r="H116" s="293">
        <v>2330459.04</v>
      </c>
      <c r="I116" s="263">
        <v>45951</v>
      </c>
      <c r="J116" s="263">
        <v>46269</v>
      </c>
    </row>
    <row r="117" spans="1:10" x14ac:dyDescent="0.2">
      <c r="A117" t="s">
        <v>4601</v>
      </c>
      <c r="B117" t="s">
        <v>4599</v>
      </c>
      <c r="C117" t="s">
        <v>2515</v>
      </c>
      <c r="D117" t="s">
        <v>2536</v>
      </c>
      <c r="E117" t="s">
        <v>4600</v>
      </c>
      <c r="F117" t="s">
        <v>4777</v>
      </c>
      <c r="G117" s="293">
        <v>924412</v>
      </c>
      <c r="H117" s="293">
        <v>1045068.81</v>
      </c>
      <c r="I117" s="263">
        <v>45951</v>
      </c>
      <c r="J117" s="263">
        <v>46520</v>
      </c>
    </row>
    <row r="118" spans="1:10" x14ac:dyDescent="0.2">
      <c r="A118" t="s">
        <v>4603</v>
      </c>
      <c r="B118" t="s">
        <v>4602</v>
      </c>
      <c r="C118" t="s">
        <v>2515</v>
      </c>
      <c r="D118" t="s">
        <v>2536</v>
      </c>
      <c r="E118" t="s">
        <v>4600</v>
      </c>
      <c r="F118" t="s">
        <v>4778</v>
      </c>
      <c r="G118" s="293">
        <v>829890</v>
      </c>
      <c r="H118" s="293">
        <v>930931.63</v>
      </c>
      <c r="I118" s="263">
        <v>45951</v>
      </c>
      <c r="J118" s="263">
        <v>46315</v>
      </c>
    </row>
    <row r="119" spans="1:10" x14ac:dyDescent="0.2">
      <c r="A119" t="s">
        <v>4618</v>
      </c>
      <c r="B119" t="s">
        <v>4617</v>
      </c>
      <c r="C119" t="s">
        <v>2515</v>
      </c>
      <c r="D119" t="s">
        <v>2536</v>
      </c>
      <c r="E119" t="s">
        <v>4600</v>
      </c>
      <c r="F119" t="s">
        <v>4779</v>
      </c>
      <c r="G119" s="293">
        <v>1419227</v>
      </c>
      <c r="H119" s="293">
        <v>1592022.2</v>
      </c>
      <c r="I119" s="263">
        <v>45951</v>
      </c>
      <c r="J119" s="263">
        <v>46315</v>
      </c>
    </row>
    <row r="120" spans="1:10" x14ac:dyDescent="0.2">
      <c r="A120" t="s">
        <v>4611</v>
      </c>
      <c r="B120" t="s">
        <v>4609</v>
      </c>
      <c r="C120" t="s">
        <v>2515</v>
      </c>
      <c r="D120" t="s">
        <v>2548</v>
      </c>
      <c r="E120" t="s">
        <v>4610</v>
      </c>
      <c r="F120" t="s">
        <v>4780</v>
      </c>
      <c r="G120" s="293">
        <v>1000000</v>
      </c>
      <c r="H120" s="293">
        <v>1134653.43</v>
      </c>
      <c r="I120" s="263">
        <v>45951</v>
      </c>
      <c r="J120" s="263">
        <v>46680</v>
      </c>
    </row>
    <row r="121" spans="1:10" x14ac:dyDescent="0.2">
      <c r="A121" t="s">
        <v>4598</v>
      </c>
      <c r="B121" t="s">
        <v>4596</v>
      </c>
      <c r="C121" t="s">
        <v>2515</v>
      </c>
      <c r="D121" t="s">
        <v>2586</v>
      </c>
      <c r="E121" t="s">
        <v>4597</v>
      </c>
      <c r="F121" t="s">
        <v>4781</v>
      </c>
      <c r="G121" s="293">
        <v>497900</v>
      </c>
      <c r="H121" s="293">
        <v>564943.93999999994</v>
      </c>
      <c r="I121" s="263">
        <v>45951</v>
      </c>
      <c r="J121" s="263">
        <v>46680</v>
      </c>
    </row>
    <row r="122" spans="1:10" x14ac:dyDescent="0.2">
      <c r="A122" t="s">
        <v>3757</v>
      </c>
      <c r="B122" t="s">
        <v>3751</v>
      </c>
      <c r="C122" t="s">
        <v>2220</v>
      </c>
      <c r="D122" t="s">
        <v>2249</v>
      </c>
      <c r="E122" t="s">
        <v>3756</v>
      </c>
      <c r="F122" t="s">
        <v>4782</v>
      </c>
      <c r="G122" s="293">
        <v>30000</v>
      </c>
      <c r="H122" s="293">
        <v>33612.39</v>
      </c>
      <c r="I122" s="263">
        <v>45951</v>
      </c>
      <c r="J122" s="263">
        <v>46127</v>
      </c>
    </row>
    <row r="123" spans="1:10" x14ac:dyDescent="0.2">
      <c r="A123" t="s">
        <v>4054</v>
      </c>
      <c r="B123" t="s">
        <v>4052</v>
      </c>
      <c r="C123" t="s">
        <v>2220</v>
      </c>
      <c r="D123" t="s">
        <v>2249</v>
      </c>
      <c r="E123" t="s">
        <v>3756</v>
      </c>
      <c r="F123" t="s">
        <v>2252</v>
      </c>
      <c r="G123" s="293">
        <v>360000</v>
      </c>
      <c r="H123" s="293">
        <v>403348.68</v>
      </c>
      <c r="I123" s="263">
        <v>45951</v>
      </c>
      <c r="J123" s="263">
        <v>46127</v>
      </c>
    </row>
    <row r="124" spans="1:10" x14ac:dyDescent="0.2">
      <c r="A124" t="s">
        <v>4055</v>
      </c>
      <c r="B124" t="s">
        <v>4052</v>
      </c>
      <c r="C124" t="s">
        <v>2220</v>
      </c>
      <c r="D124" t="s">
        <v>2249</v>
      </c>
      <c r="E124" t="s">
        <v>3756</v>
      </c>
      <c r="F124" t="s">
        <v>4783</v>
      </c>
      <c r="G124" s="293">
        <v>204708</v>
      </c>
      <c r="H124" s="293">
        <v>229357.5</v>
      </c>
      <c r="I124" s="263">
        <v>45951</v>
      </c>
      <c r="J124" s="263">
        <v>46071</v>
      </c>
    </row>
    <row r="125" spans="1:10" x14ac:dyDescent="0.2">
      <c r="A125" t="s">
        <v>4056</v>
      </c>
      <c r="B125" t="s">
        <v>4052</v>
      </c>
      <c r="C125" t="s">
        <v>2220</v>
      </c>
      <c r="D125" t="s">
        <v>2249</v>
      </c>
      <c r="E125" t="s">
        <v>3756</v>
      </c>
      <c r="F125" t="s">
        <v>4784</v>
      </c>
      <c r="G125" s="293">
        <v>170000</v>
      </c>
      <c r="H125" s="293">
        <v>184141.38</v>
      </c>
      <c r="I125" s="263">
        <v>45440</v>
      </c>
      <c r="J125" s="263">
        <v>45702</v>
      </c>
    </row>
    <row r="126" spans="1:10" x14ac:dyDescent="0.2">
      <c r="A126" t="s">
        <v>4255</v>
      </c>
      <c r="B126" t="s">
        <v>4254</v>
      </c>
      <c r="C126" t="s">
        <v>2220</v>
      </c>
      <c r="D126" t="s">
        <v>2249</v>
      </c>
      <c r="E126" t="s">
        <v>3756</v>
      </c>
      <c r="F126" t="s">
        <v>2286</v>
      </c>
      <c r="G126" s="293">
        <v>290416</v>
      </c>
      <c r="H126" s="293">
        <v>321270.84999999998</v>
      </c>
      <c r="I126" s="263">
        <v>45737</v>
      </c>
      <c r="J126" s="263">
        <v>46087</v>
      </c>
    </row>
    <row r="127" spans="1:10" x14ac:dyDescent="0.2">
      <c r="A127" t="s">
        <v>4306</v>
      </c>
      <c r="B127" t="s">
        <v>4300</v>
      </c>
      <c r="C127" t="s">
        <v>2220</v>
      </c>
      <c r="D127" t="s">
        <v>2249</v>
      </c>
      <c r="E127" t="s">
        <v>3756</v>
      </c>
      <c r="F127" t="s">
        <v>4785</v>
      </c>
      <c r="G127" s="293">
        <v>4000</v>
      </c>
      <c r="H127" s="293">
        <v>4481.6499999999996</v>
      </c>
      <c r="I127" s="263">
        <v>46072</v>
      </c>
      <c r="J127" s="263">
        <v>46248</v>
      </c>
    </row>
    <row r="128" spans="1:10" x14ac:dyDescent="0.2">
      <c r="A128" t="s">
        <v>4305</v>
      </c>
      <c r="B128" t="s">
        <v>4300</v>
      </c>
      <c r="C128" t="s">
        <v>2220</v>
      </c>
      <c r="D128" t="s">
        <v>2249</v>
      </c>
      <c r="E128" t="s">
        <v>3756</v>
      </c>
      <c r="F128" t="s">
        <v>4786</v>
      </c>
      <c r="G128" s="293">
        <v>3000</v>
      </c>
      <c r="H128" s="293">
        <v>3363.17</v>
      </c>
      <c r="I128" s="263">
        <v>46128</v>
      </c>
      <c r="J128" s="263">
        <v>46300</v>
      </c>
    </row>
    <row r="129" spans="1:10" x14ac:dyDescent="0.2">
      <c r="A129" t="s">
        <v>4307</v>
      </c>
      <c r="B129" t="s">
        <v>4300</v>
      </c>
      <c r="C129" t="s">
        <v>2220</v>
      </c>
      <c r="D129" t="s">
        <v>2249</v>
      </c>
      <c r="E129" t="s">
        <v>3756</v>
      </c>
      <c r="F129" t="s">
        <v>4787</v>
      </c>
      <c r="G129" s="293">
        <v>3000</v>
      </c>
      <c r="H129" s="293">
        <v>3361.24</v>
      </c>
      <c r="I129" s="263">
        <v>45951</v>
      </c>
      <c r="J129" s="263">
        <v>45979</v>
      </c>
    </row>
    <row r="130" spans="1:10" x14ac:dyDescent="0.2">
      <c r="A130" t="s">
        <v>4357</v>
      </c>
      <c r="B130" t="s">
        <v>4356</v>
      </c>
      <c r="C130" t="s">
        <v>2220</v>
      </c>
      <c r="D130" t="s">
        <v>2249</v>
      </c>
      <c r="E130" t="s">
        <v>3756</v>
      </c>
      <c r="F130" t="s">
        <v>4788</v>
      </c>
      <c r="G130" s="293">
        <v>14900</v>
      </c>
      <c r="H130" s="293">
        <v>16139.45</v>
      </c>
      <c r="I130" s="263">
        <v>45440</v>
      </c>
      <c r="J130" s="263">
        <v>45702</v>
      </c>
    </row>
    <row r="131" spans="1:10" x14ac:dyDescent="0.2">
      <c r="A131" t="s">
        <v>4479</v>
      </c>
      <c r="B131" t="s">
        <v>4476</v>
      </c>
      <c r="C131" t="s">
        <v>2220</v>
      </c>
      <c r="D131" t="s">
        <v>2249</v>
      </c>
      <c r="E131" t="s">
        <v>3756</v>
      </c>
      <c r="F131" t="s">
        <v>4789</v>
      </c>
      <c r="G131" s="293">
        <v>36024</v>
      </c>
      <c r="H131" s="293">
        <v>39020.639999999999</v>
      </c>
      <c r="I131" s="263">
        <v>45440</v>
      </c>
      <c r="J131" s="263">
        <v>45702</v>
      </c>
    </row>
    <row r="132" spans="1:10" x14ac:dyDescent="0.2">
      <c r="A132" t="s">
        <v>3785</v>
      </c>
      <c r="B132" t="s">
        <v>3783</v>
      </c>
      <c r="C132" t="s">
        <v>3174</v>
      </c>
      <c r="D132" t="s">
        <v>3171</v>
      </c>
      <c r="E132" t="s">
        <v>3784</v>
      </c>
      <c r="F132" t="s">
        <v>3175</v>
      </c>
      <c r="G132" s="293">
        <v>2020410</v>
      </c>
      <c r="H132" s="293">
        <v>2270201.88</v>
      </c>
      <c r="I132" s="263">
        <v>46146</v>
      </c>
      <c r="J132" s="263">
        <v>46317</v>
      </c>
    </row>
    <row r="133" spans="1:10" x14ac:dyDescent="0.2">
      <c r="A133" t="s">
        <v>4279</v>
      </c>
      <c r="B133" t="s">
        <v>4278</v>
      </c>
      <c r="C133" t="s">
        <v>3174</v>
      </c>
      <c r="D133" t="s">
        <v>3171</v>
      </c>
      <c r="E133" t="s">
        <v>3784</v>
      </c>
      <c r="F133" t="s">
        <v>3178</v>
      </c>
      <c r="G133" s="293">
        <v>320610</v>
      </c>
      <c r="H133" s="293">
        <v>363346.67</v>
      </c>
      <c r="I133" s="263">
        <v>46118</v>
      </c>
      <c r="J133" s="263">
        <v>46482</v>
      </c>
    </row>
    <row r="134" spans="1:10" x14ac:dyDescent="0.2">
      <c r="A134" t="s">
        <v>4555</v>
      </c>
      <c r="B134" t="s">
        <v>4554</v>
      </c>
      <c r="C134" t="s">
        <v>3174</v>
      </c>
      <c r="D134" t="s">
        <v>3171</v>
      </c>
      <c r="E134" t="s">
        <v>3784</v>
      </c>
      <c r="F134" t="s">
        <v>3181</v>
      </c>
      <c r="G134" s="293">
        <v>1675350</v>
      </c>
      <c r="H134" s="293">
        <v>1898670.8</v>
      </c>
      <c r="I134" s="263">
        <v>46118</v>
      </c>
      <c r="J134" s="263">
        <v>46482</v>
      </c>
    </row>
    <row r="135" spans="1:10" x14ac:dyDescent="0.2">
      <c r="A135" t="s">
        <v>4238</v>
      </c>
      <c r="B135" t="s">
        <v>4236</v>
      </c>
      <c r="C135" t="s">
        <v>2729</v>
      </c>
      <c r="D135" t="s">
        <v>2726</v>
      </c>
      <c r="E135" t="s">
        <v>4237</v>
      </c>
      <c r="F135" t="s">
        <v>2730</v>
      </c>
      <c r="G135" s="293">
        <v>500000</v>
      </c>
      <c r="H135" s="293">
        <v>560206.5</v>
      </c>
      <c r="I135" s="263">
        <v>45980</v>
      </c>
      <c r="J135" s="263">
        <v>46099</v>
      </c>
    </row>
    <row r="136" spans="1:10" x14ac:dyDescent="0.2">
      <c r="A136" t="s">
        <v>3759</v>
      </c>
      <c r="B136" t="s">
        <v>3751</v>
      </c>
      <c r="C136" t="s">
        <v>2220</v>
      </c>
      <c r="D136" t="s">
        <v>2253</v>
      </c>
      <c r="E136" t="s">
        <v>3758</v>
      </c>
      <c r="F136" t="s">
        <v>4790</v>
      </c>
      <c r="G136" s="293">
        <v>13144</v>
      </c>
      <c r="H136" s="293">
        <v>14726.71</v>
      </c>
      <c r="I136" s="263">
        <v>45951</v>
      </c>
      <c r="J136" s="263">
        <v>46213</v>
      </c>
    </row>
    <row r="137" spans="1:10" x14ac:dyDescent="0.2">
      <c r="A137" t="s">
        <v>3769</v>
      </c>
      <c r="B137" t="s">
        <v>3765</v>
      </c>
      <c r="C137" t="s">
        <v>2220</v>
      </c>
      <c r="D137" t="s">
        <v>2253</v>
      </c>
      <c r="E137" t="s">
        <v>3758</v>
      </c>
      <c r="F137" t="s">
        <v>4791</v>
      </c>
      <c r="G137" s="293">
        <v>165336</v>
      </c>
      <c r="H137" s="293">
        <v>185244.6</v>
      </c>
      <c r="I137" s="263">
        <v>45951</v>
      </c>
      <c r="J137" s="263">
        <v>46071</v>
      </c>
    </row>
    <row r="138" spans="1:10" x14ac:dyDescent="0.2">
      <c r="A138" t="s">
        <v>3768</v>
      </c>
      <c r="B138" t="s">
        <v>3765</v>
      </c>
      <c r="C138" t="s">
        <v>2220</v>
      </c>
      <c r="D138" t="s">
        <v>2253</v>
      </c>
      <c r="E138" t="s">
        <v>3758</v>
      </c>
      <c r="F138" t="s">
        <v>4792</v>
      </c>
      <c r="G138" s="293">
        <v>96633.41</v>
      </c>
      <c r="H138" s="293">
        <v>106900.09</v>
      </c>
      <c r="I138" s="263">
        <v>45737</v>
      </c>
      <c r="J138" s="263">
        <v>46087</v>
      </c>
    </row>
    <row r="139" spans="1:10" x14ac:dyDescent="0.2">
      <c r="A139" t="s">
        <v>4013</v>
      </c>
      <c r="B139" t="s">
        <v>4009</v>
      </c>
      <c r="C139" t="s">
        <v>2220</v>
      </c>
      <c r="D139" t="s">
        <v>2253</v>
      </c>
      <c r="E139" t="s">
        <v>3758</v>
      </c>
      <c r="F139" t="s">
        <v>4793</v>
      </c>
      <c r="G139" s="293">
        <v>104329</v>
      </c>
      <c r="H139" s="293">
        <v>116891.57</v>
      </c>
      <c r="I139" s="263">
        <v>45951</v>
      </c>
      <c r="J139" s="263">
        <v>46213</v>
      </c>
    </row>
    <row r="140" spans="1:10" x14ac:dyDescent="0.2">
      <c r="A140" t="s">
        <v>4012</v>
      </c>
      <c r="B140" t="s">
        <v>4009</v>
      </c>
      <c r="C140" t="s">
        <v>2220</v>
      </c>
      <c r="D140" t="s">
        <v>2253</v>
      </c>
      <c r="E140" t="s">
        <v>3758</v>
      </c>
      <c r="F140" t="s">
        <v>4794</v>
      </c>
      <c r="G140" s="293">
        <v>62756</v>
      </c>
      <c r="H140" s="293">
        <v>70312.639999999999</v>
      </c>
      <c r="I140" s="263">
        <v>45951</v>
      </c>
      <c r="J140" s="263">
        <v>46213</v>
      </c>
    </row>
    <row r="141" spans="1:10" x14ac:dyDescent="0.2">
      <c r="A141" t="s">
        <v>4059</v>
      </c>
      <c r="B141" t="s">
        <v>4052</v>
      </c>
      <c r="C141" t="s">
        <v>2220</v>
      </c>
      <c r="D141" t="s">
        <v>2253</v>
      </c>
      <c r="E141" t="s">
        <v>3758</v>
      </c>
      <c r="F141" t="s">
        <v>2255</v>
      </c>
      <c r="G141" s="293">
        <v>1023827</v>
      </c>
      <c r="H141" s="293">
        <v>1147109.08</v>
      </c>
      <c r="I141" s="263">
        <v>45951</v>
      </c>
      <c r="J141" s="263">
        <v>46213</v>
      </c>
    </row>
    <row r="142" spans="1:10" x14ac:dyDescent="0.2">
      <c r="A142" t="s">
        <v>4060</v>
      </c>
      <c r="B142" t="s">
        <v>4052</v>
      </c>
      <c r="C142" t="s">
        <v>2220</v>
      </c>
      <c r="D142" t="s">
        <v>2253</v>
      </c>
      <c r="E142" t="s">
        <v>3758</v>
      </c>
      <c r="F142" t="s">
        <v>4795</v>
      </c>
      <c r="G142" s="293">
        <v>150000</v>
      </c>
      <c r="H142" s="293">
        <v>168061.95</v>
      </c>
      <c r="I142" s="263">
        <v>45951</v>
      </c>
      <c r="J142" s="263">
        <v>46071</v>
      </c>
    </row>
    <row r="143" spans="1:10" x14ac:dyDescent="0.2">
      <c r="A143" t="s">
        <v>4057</v>
      </c>
      <c r="B143" t="s">
        <v>4052</v>
      </c>
      <c r="C143" t="s">
        <v>2220</v>
      </c>
      <c r="D143" t="s">
        <v>2253</v>
      </c>
      <c r="E143" t="s">
        <v>3758</v>
      </c>
      <c r="F143" t="s">
        <v>2252</v>
      </c>
      <c r="G143" s="293">
        <v>120000</v>
      </c>
      <c r="H143" s="293">
        <v>134449.56</v>
      </c>
      <c r="I143" s="263">
        <v>45951</v>
      </c>
      <c r="J143" s="263">
        <v>46127</v>
      </c>
    </row>
    <row r="144" spans="1:10" x14ac:dyDescent="0.2">
      <c r="A144" t="s">
        <v>4058</v>
      </c>
      <c r="B144" t="s">
        <v>4052</v>
      </c>
      <c r="C144" t="s">
        <v>2220</v>
      </c>
      <c r="D144" t="s">
        <v>2253</v>
      </c>
      <c r="E144" t="s">
        <v>3758</v>
      </c>
      <c r="F144" t="s">
        <v>4783</v>
      </c>
      <c r="G144" s="293">
        <v>51580</v>
      </c>
      <c r="H144" s="293">
        <v>57790.9</v>
      </c>
      <c r="I144" s="263">
        <v>45951</v>
      </c>
      <c r="J144" s="263">
        <v>46071</v>
      </c>
    </row>
    <row r="145" spans="1:10" x14ac:dyDescent="0.2">
      <c r="A145" t="s">
        <v>4312</v>
      </c>
      <c r="B145" t="s">
        <v>4300</v>
      </c>
      <c r="C145" t="s">
        <v>2220</v>
      </c>
      <c r="D145" t="s">
        <v>2253</v>
      </c>
      <c r="E145" t="s">
        <v>3758</v>
      </c>
      <c r="F145" t="s">
        <v>4796</v>
      </c>
      <c r="G145" s="293">
        <v>6000</v>
      </c>
      <c r="H145" s="293">
        <v>6730.21</v>
      </c>
      <c r="I145" s="263">
        <v>46216</v>
      </c>
      <c r="J145" s="263">
        <v>46300</v>
      </c>
    </row>
    <row r="146" spans="1:10" x14ac:dyDescent="0.2">
      <c r="A146" t="s">
        <v>4311</v>
      </c>
      <c r="B146" t="s">
        <v>4300</v>
      </c>
      <c r="C146" t="s">
        <v>2220</v>
      </c>
      <c r="D146" t="s">
        <v>2253</v>
      </c>
      <c r="E146" t="s">
        <v>3758</v>
      </c>
      <c r="F146" t="s">
        <v>4797</v>
      </c>
      <c r="G146" s="293">
        <v>6000</v>
      </c>
      <c r="H146" s="293">
        <v>6722.48</v>
      </c>
      <c r="I146" s="263">
        <v>45951</v>
      </c>
      <c r="J146" s="263">
        <v>46213</v>
      </c>
    </row>
    <row r="147" spans="1:10" x14ac:dyDescent="0.2">
      <c r="A147" t="s">
        <v>4308</v>
      </c>
      <c r="B147" t="s">
        <v>4300</v>
      </c>
      <c r="C147" t="s">
        <v>2220</v>
      </c>
      <c r="D147" t="s">
        <v>2253</v>
      </c>
      <c r="E147" t="s">
        <v>3758</v>
      </c>
      <c r="F147" t="s">
        <v>4786</v>
      </c>
      <c r="G147" s="293">
        <v>4000</v>
      </c>
      <c r="H147" s="293">
        <v>4484.2299999999996</v>
      </c>
      <c r="I147" s="263">
        <v>46128</v>
      </c>
      <c r="J147" s="263">
        <v>46300</v>
      </c>
    </row>
    <row r="148" spans="1:10" x14ac:dyDescent="0.2">
      <c r="A148" t="s">
        <v>4309</v>
      </c>
      <c r="B148" t="s">
        <v>4300</v>
      </c>
      <c r="C148" t="s">
        <v>2220</v>
      </c>
      <c r="D148" t="s">
        <v>2253</v>
      </c>
      <c r="E148" t="s">
        <v>3758</v>
      </c>
      <c r="F148" t="s">
        <v>4785</v>
      </c>
      <c r="G148" s="293">
        <v>3000</v>
      </c>
      <c r="H148" s="293">
        <v>3361.24</v>
      </c>
      <c r="I148" s="263">
        <v>46072</v>
      </c>
      <c r="J148" s="263">
        <v>46248</v>
      </c>
    </row>
    <row r="149" spans="1:10" x14ac:dyDescent="0.2">
      <c r="A149" t="s">
        <v>4310</v>
      </c>
      <c r="B149" t="s">
        <v>4300</v>
      </c>
      <c r="C149" t="s">
        <v>2220</v>
      </c>
      <c r="D149" t="s">
        <v>2253</v>
      </c>
      <c r="E149" t="s">
        <v>3758</v>
      </c>
      <c r="F149" t="s">
        <v>4787</v>
      </c>
      <c r="G149" s="293">
        <v>3000</v>
      </c>
      <c r="H149" s="293">
        <v>3361.24</v>
      </c>
      <c r="I149" s="263">
        <v>46072</v>
      </c>
      <c r="J149" s="263">
        <v>46231</v>
      </c>
    </row>
    <row r="150" spans="1:10" x14ac:dyDescent="0.2">
      <c r="A150" t="s">
        <v>4359</v>
      </c>
      <c r="B150" t="s">
        <v>4356</v>
      </c>
      <c r="C150" t="s">
        <v>2220</v>
      </c>
      <c r="D150" t="s">
        <v>2253</v>
      </c>
      <c r="E150" t="s">
        <v>3758</v>
      </c>
      <c r="F150" t="s">
        <v>2298</v>
      </c>
      <c r="G150" s="293">
        <v>410425</v>
      </c>
      <c r="H150" s="293">
        <v>459845.51</v>
      </c>
      <c r="I150" s="263">
        <v>45951</v>
      </c>
      <c r="J150" s="263">
        <v>46213</v>
      </c>
    </row>
    <row r="151" spans="1:10" x14ac:dyDescent="0.2">
      <c r="A151" t="s">
        <v>4358</v>
      </c>
      <c r="B151" t="s">
        <v>4356</v>
      </c>
      <c r="C151" t="s">
        <v>2220</v>
      </c>
      <c r="D151" t="s">
        <v>2253</v>
      </c>
      <c r="E151" t="s">
        <v>3758</v>
      </c>
      <c r="F151" t="s">
        <v>4798</v>
      </c>
      <c r="G151" s="293">
        <v>9000</v>
      </c>
      <c r="H151" s="293">
        <v>13045.88</v>
      </c>
      <c r="I151" s="263">
        <v>45951</v>
      </c>
      <c r="J151" s="263">
        <v>46213</v>
      </c>
    </row>
    <row r="152" spans="1:10" x14ac:dyDescent="0.2">
      <c r="A152" t="s">
        <v>4480</v>
      </c>
      <c r="B152" t="s">
        <v>4476</v>
      </c>
      <c r="C152" t="s">
        <v>2220</v>
      </c>
      <c r="D152" t="s">
        <v>2253</v>
      </c>
      <c r="E152" t="s">
        <v>3758</v>
      </c>
      <c r="F152" t="s">
        <v>4799</v>
      </c>
      <c r="G152" s="293">
        <v>144094</v>
      </c>
      <c r="H152" s="293">
        <v>161444.79</v>
      </c>
      <c r="I152" s="263">
        <v>45951</v>
      </c>
      <c r="J152" s="263">
        <v>46213</v>
      </c>
    </row>
    <row r="153" spans="1:10" x14ac:dyDescent="0.2">
      <c r="A153" t="s">
        <v>4481</v>
      </c>
      <c r="B153" t="s">
        <v>4476</v>
      </c>
      <c r="C153" t="s">
        <v>2220</v>
      </c>
      <c r="D153" t="s">
        <v>2253</v>
      </c>
      <c r="E153" t="s">
        <v>3758</v>
      </c>
      <c r="F153" t="s">
        <v>4800</v>
      </c>
      <c r="G153" s="293">
        <v>72074</v>
      </c>
      <c r="H153" s="293">
        <v>80752.649999999994</v>
      </c>
      <c r="I153" s="263">
        <v>45951</v>
      </c>
      <c r="J153" s="263">
        <v>46071</v>
      </c>
    </row>
    <row r="154" spans="1:10" x14ac:dyDescent="0.2">
      <c r="A154" t="s">
        <v>4558</v>
      </c>
      <c r="B154" t="s">
        <v>4556</v>
      </c>
      <c r="C154" t="s">
        <v>3174</v>
      </c>
      <c r="D154" t="s">
        <v>3182</v>
      </c>
      <c r="E154" t="s">
        <v>4557</v>
      </c>
      <c r="F154" t="s">
        <v>3185</v>
      </c>
      <c r="G154" s="293">
        <v>259150</v>
      </c>
      <c r="H154" s="293">
        <v>293694.18</v>
      </c>
      <c r="I154" s="263">
        <v>46118</v>
      </c>
      <c r="J154" s="263">
        <v>46482</v>
      </c>
    </row>
    <row r="155" spans="1:10" x14ac:dyDescent="0.2">
      <c r="A155" t="s">
        <v>3808</v>
      </c>
      <c r="B155" t="s">
        <v>3806</v>
      </c>
      <c r="C155" t="s">
        <v>3031</v>
      </c>
      <c r="D155" t="s">
        <v>3028</v>
      </c>
      <c r="E155" t="s">
        <v>3807</v>
      </c>
      <c r="F155" t="s">
        <v>3032</v>
      </c>
      <c r="G155" s="293">
        <v>2995807</v>
      </c>
      <c r="H155" s="293">
        <v>3474713.91</v>
      </c>
      <c r="I155" s="263">
        <v>45951</v>
      </c>
      <c r="J155" s="263">
        <v>47380</v>
      </c>
    </row>
    <row r="156" spans="1:10" x14ac:dyDescent="0.2">
      <c r="A156" t="s">
        <v>4228</v>
      </c>
      <c r="B156" t="s">
        <v>4227</v>
      </c>
      <c r="C156" t="s">
        <v>3031</v>
      </c>
      <c r="D156" t="s">
        <v>3028</v>
      </c>
      <c r="E156" t="s">
        <v>3807</v>
      </c>
      <c r="F156" t="s">
        <v>3035</v>
      </c>
      <c r="G156" s="293">
        <v>1528473</v>
      </c>
      <c r="H156" s="293">
        <v>1734171.07</v>
      </c>
      <c r="I156" s="263">
        <v>45951</v>
      </c>
      <c r="J156" s="263">
        <v>46679</v>
      </c>
    </row>
    <row r="157" spans="1:10" x14ac:dyDescent="0.2">
      <c r="A157" t="s">
        <v>3811</v>
      </c>
      <c r="B157" t="s">
        <v>3809</v>
      </c>
      <c r="C157" t="s">
        <v>4801</v>
      </c>
      <c r="D157" t="s">
        <v>2486</v>
      </c>
      <c r="E157" t="s">
        <v>3810</v>
      </c>
      <c r="F157" t="s">
        <v>2490</v>
      </c>
      <c r="G157" s="293">
        <v>2000000</v>
      </c>
      <c r="H157" s="293">
        <v>2264534.4</v>
      </c>
      <c r="I157" s="263">
        <v>46104</v>
      </c>
      <c r="J157" s="263">
        <v>46468</v>
      </c>
    </row>
    <row r="158" spans="1:10" x14ac:dyDescent="0.2">
      <c r="A158" t="s">
        <v>4277</v>
      </c>
      <c r="B158" t="s">
        <v>4276</v>
      </c>
      <c r="C158" t="s">
        <v>4801</v>
      </c>
      <c r="D158" t="s">
        <v>2486</v>
      </c>
      <c r="E158" t="s">
        <v>3810</v>
      </c>
      <c r="F158" t="s">
        <v>2495</v>
      </c>
      <c r="G158" s="293">
        <v>330000</v>
      </c>
      <c r="H158" s="293">
        <v>361423.59</v>
      </c>
      <c r="I158" s="263">
        <v>45569</v>
      </c>
      <c r="J158" s="263">
        <v>45755</v>
      </c>
    </row>
    <row r="159" spans="1:10" x14ac:dyDescent="0.2">
      <c r="A159" t="s">
        <v>4338</v>
      </c>
      <c r="B159" t="s">
        <v>4337</v>
      </c>
      <c r="C159" t="s">
        <v>4801</v>
      </c>
      <c r="D159" t="s">
        <v>2486</v>
      </c>
      <c r="E159" t="s">
        <v>3810</v>
      </c>
      <c r="F159" t="s">
        <v>2501</v>
      </c>
      <c r="G159" s="293">
        <v>1719000</v>
      </c>
      <c r="H159" s="293">
        <v>1902607.08</v>
      </c>
      <c r="I159" s="263">
        <v>45737</v>
      </c>
      <c r="J159" s="263">
        <v>46101</v>
      </c>
    </row>
    <row r="160" spans="1:10" x14ac:dyDescent="0.2">
      <c r="A160" t="s">
        <v>4367</v>
      </c>
      <c r="B160" t="s">
        <v>4366</v>
      </c>
      <c r="C160" t="s">
        <v>4801</v>
      </c>
      <c r="D160" t="s">
        <v>2486</v>
      </c>
      <c r="E160" t="s">
        <v>3810</v>
      </c>
      <c r="F160" t="s">
        <v>2504</v>
      </c>
      <c r="G160" s="293">
        <v>546000</v>
      </c>
      <c r="H160" s="293">
        <v>598156.80000000005</v>
      </c>
      <c r="I160" s="263">
        <v>45569</v>
      </c>
      <c r="J160" s="263">
        <v>45933</v>
      </c>
    </row>
    <row r="161" spans="1:10" x14ac:dyDescent="0.2">
      <c r="A161" t="s">
        <v>4488</v>
      </c>
      <c r="B161" t="s">
        <v>4487</v>
      </c>
      <c r="C161" t="s">
        <v>4801</v>
      </c>
      <c r="D161" t="s">
        <v>2486</v>
      </c>
      <c r="E161" t="s">
        <v>3810</v>
      </c>
      <c r="F161" t="s">
        <v>2507</v>
      </c>
      <c r="G161" s="293">
        <v>309338</v>
      </c>
      <c r="H161" s="293">
        <v>342378.52</v>
      </c>
      <c r="I161" s="263">
        <v>45737</v>
      </c>
      <c r="J161" s="263">
        <v>46101</v>
      </c>
    </row>
    <row r="162" spans="1:10" x14ac:dyDescent="0.2">
      <c r="A162" t="s">
        <v>4574</v>
      </c>
      <c r="B162" t="s">
        <v>4573</v>
      </c>
      <c r="C162" t="s">
        <v>4801</v>
      </c>
      <c r="D162" t="s">
        <v>2486</v>
      </c>
      <c r="E162" t="s">
        <v>3810</v>
      </c>
      <c r="F162" t="s">
        <v>2510</v>
      </c>
      <c r="G162" s="293">
        <v>500000</v>
      </c>
      <c r="H162" s="293">
        <v>547762.64</v>
      </c>
      <c r="I162" s="263">
        <v>45569</v>
      </c>
      <c r="J162" s="263">
        <v>45933</v>
      </c>
    </row>
    <row r="163" spans="1:10" x14ac:dyDescent="0.2">
      <c r="A163" t="s">
        <v>4348</v>
      </c>
      <c r="B163" t="s">
        <v>4345</v>
      </c>
      <c r="C163" t="s">
        <v>2515</v>
      </c>
      <c r="D163" t="s">
        <v>2528</v>
      </c>
      <c r="E163" t="s">
        <v>4347</v>
      </c>
      <c r="F163" t="s">
        <v>2601</v>
      </c>
      <c r="G163" s="293">
        <v>598956</v>
      </c>
      <c r="H163" s="293">
        <v>691060.61</v>
      </c>
      <c r="I163" s="263">
        <v>46533</v>
      </c>
      <c r="J163" s="263">
        <v>46714</v>
      </c>
    </row>
    <row r="164" spans="1:10" x14ac:dyDescent="0.2">
      <c r="A164" t="s">
        <v>4579</v>
      </c>
      <c r="B164" t="s">
        <v>4578</v>
      </c>
      <c r="C164" t="s">
        <v>2515</v>
      </c>
      <c r="D164" t="s">
        <v>2528</v>
      </c>
      <c r="E164" t="s">
        <v>4347</v>
      </c>
      <c r="F164" t="s">
        <v>4802</v>
      </c>
      <c r="G164" s="293">
        <v>255518.36</v>
      </c>
      <c r="H164" s="293">
        <v>286628.5</v>
      </c>
      <c r="I164" s="263">
        <v>45951</v>
      </c>
      <c r="J164" s="263">
        <v>46315</v>
      </c>
    </row>
    <row r="165" spans="1:10" x14ac:dyDescent="0.2">
      <c r="A165" t="s">
        <v>4592</v>
      </c>
      <c r="B165" t="s">
        <v>4591</v>
      </c>
      <c r="C165" t="s">
        <v>2515</v>
      </c>
      <c r="D165" t="s">
        <v>2528</v>
      </c>
      <c r="E165" t="s">
        <v>4347</v>
      </c>
      <c r="F165" t="s">
        <v>4803</v>
      </c>
      <c r="G165" s="293">
        <v>615570</v>
      </c>
      <c r="H165" s="293">
        <v>690517.52</v>
      </c>
      <c r="I165" s="263">
        <v>45951</v>
      </c>
      <c r="J165" s="263">
        <v>46315</v>
      </c>
    </row>
    <row r="166" spans="1:10" x14ac:dyDescent="0.2">
      <c r="A166" t="s">
        <v>4623</v>
      </c>
      <c r="B166" t="s">
        <v>4622</v>
      </c>
      <c r="C166" t="s">
        <v>2515</v>
      </c>
      <c r="D166" t="s">
        <v>2528</v>
      </c>
      <c r="E166" t="s">
        <v>4347</v>
      </c>
      <c r="F166" t="s">
        <v>4804</v>
      </c>
      <c r="G166" s="293">
        <v>1471000</v>
      </c>
      <c r="H166" s="293">
        <v>1702942.62</v>
      </c>
      <c r="I166" s="263">
        <v>46461</v>
      </c>
      <c r="J166" s="263">
        <v>46825</v>
      </c>
    </row>
    <row r="167" spans="1:10" x14ac:dyDescent="0.2">
      <c r="A167" t="s">
        <v>4325</v>
      </c>
      <c r="B167" t="s">
        <v>4323</v>
      </c>
      <c r="C167" t="s">
        <v>2515</v>
      </c>
      <c r="D167" t="s">
        <v>2519</v>
      </c>
      <c r="E167" t="s">
        <v>4324</v>
      </c>
      <c r="F167" t="s">
        <v>4805</v>
      </c>
      <c r="G167" s="293">
        <v>343563</v>
      </c>
      <c r="H167" s="293">
        <v>389824.94</v>
      </c>
      <c r="I167" s="263">
        <v>45951</v>
      </c>
      <c r="J167" s="263">
        <v>46680</v>
      </c>
    </row>
    <row r="168" spans="1:10" x14ac:dyDescent="0.2">
      <c r="A168" t="s">
        <v>4341</v>
      </c>
      <c r="B168" t="s">
        <v>4339</v>
      </c>
      <c r="C168" t="s">
        <v>2176</v>
      </c>
      <c r="D168" t="s">
        <v>2173</v>
      </c>
      <c r="E168" t="s">
        <v>4340</v>
      </c>
      <c r="F168" t="s">
        <v>2177</v>
      </c>
      <c r="G168" s="293">
        <v>441487</v>
      </c>
      <c r="H168" s="293">
        <v>523737.09</v>
      </c>
      <c r="I168" s="263">
        <v>46665</v>
      </c>
      <c r="J168" s="263">
        <v>47394</v>
      </c>
    </row>
    <row r="169" spans="1:10" x14ac:dyDescent="0.2">
      <c r="A169" t="s">
        <v>4577</v>
      </c>
      <c r="B169" t="s">
        <v>4575</v>
      </c>
      <c r="C169" t="s">
        <v>3046</v>
      </c>
      <c r="D169" t="s">
        <v>4806</v>
      </c>
      <c r="E169" t="s">
        <v>4576</v>
      </c>
      <c r="F169" t="s">
        <v>4807</v>
      </c>
      <c r="G169" s="293">
        <v>250000</v>
      </c>
      <c r="H169" s="293">
        <v>291488.63</v>
      </c>
      <c r="I169" s="263">
        <v>46590</v>
      </c>
      <c r="J169" s="263">
        <v>46882</v>
      </c>
    </row>
    <row r="170" spans="1:10" x14ac:dyDescent="0.2">
      <c r="A170" t="s">
        <v>4223</v>
      </c>
      <c r="B170" t="s">
        <v>4220</v>
      </c>
      <c r="C170" t="s">
        <v>3157</v>
      </c>
      <c r="D170" t="s">
        <v>3166</v>
      </c>
      <c r="E170" t="s">
        <v>4222</v>
      </c>
      <c r="F170" t="s">
        <v>4808</v>
      </c>
      <c r="G170" s="293">
        <v>300000</v>
      </c>
      <c r="H170" s="293">
        <v>308594.09000000003</v>
      </c>
      <c r="I170" t="s">
        <v>4809</v>
      </c>
      <c r="J170" s="263">
        <v>44925</v>
      </c>
    </row>
    <row r="171" spans="1:10" x14ac:dyDescent="0.2">
      <c r="A171" t="s">
        <v>3797</v>
      </c>
      <c r="B171" t="s">
        <v>3795</v>
      </c>
      <c r="C171" t="s">
        <v>3202</v>
      </c>
      <c r="D171" t="s">
        <v>3254</v>
      </c>
      <c r="E171" t="s">
        <v>3796</v>
      </c>
      <c r="F171" t="s">
        <v>3257</v>
      </c>
      <c r="G171" s="293">
        <v>6569583</v>
      </c>
      <c r="H171" s="293">
        <v>7693616.3099999996</v>
      </c>
      <c r="I171" s="263">
        <v>46462</v>
      </c>
      <c r="J171" s="263">
        <v>47191</v>
      </c>
    </row>
    <row r="172" spans="1:10" x14ac:dyDescent="0.2">
      <c r="A172" t="s">
        <v>4230</v>
      </c>
      <c r="B172" t="s">
        <v>4229</v>
      </c>
      <c r="C172" t="s">
        <v>3202</v>
      </c>
      <c r="D172" t="s">
        <v>3254</v>
      </c>
      <c r="E172" t="s">
        <v>3796</v>
      </c>
      <c r="F172" t="s">
        <v>3301</v>
      </c>
      <c r="G172" s="293">
        <v>2650000</v>
      </c>
      <c r="H172" s="293">
        <v>3096066.76</v>
      </c>
      <c r="I172" s="263">
        <v>46604</v>
      </c>
      <c r="J172" s="263">
        <v>46968</v>
      </c>
    </row>
    <row r="173" spans="1:10" x14ac:dyDescent="0.2">
      <c r="A173" t="s">
        <v>4561</v>
      </c>
      <c r="B173" t="s">
        <v>4559</v>
      </c>
      <c r="C173" t="s">
        <v>3174</v>
      </c>
      <c r="D173" t="s">
        <v>3186</v>
      </c>
      <c r="E173" t="s">
        <v>4560</v>
      </c>
      <c r="F173" t="s">
        <v>3189</v>
      </c>
      <c r="G173" s="293">
        <v>531600</v>
      </c>
      <c r="H173" s="293">
        <v>607776.56000000006</v>
      </c>
      <c r="I173" s="263">
        <v>46255</v>
      </c>
      <c r="J173" s="263">
        <v>46619</v>
      </c>
    </row>
    <row r="174" spans="1:10" x14ac:dyDescent="0.2">
      <c r="A174" t="s">
        <v>4563</v>
      </c>
      <c r="B174" t="s">
        <v>4562</v>
      </c>
      <c r="C174" t="s">
        <v>3174</v>
      </c>
      <c r="D174" t="s">
        <v>3186</v>
      </c>
      <c r="E174" t="s">
        <v>4560</v>
      </c>
      <c r="F174" t="s">
        <v>3192</v>
      </c>
      <c r="G174" s="293">
        <v>277875</v>
      </c>
      <c r="H174" s="293">
        <v>317693.59000000003</v>
      </c>
      <c r="I174" s="263">
        <v>46255</v>
      </c>
      <c r="J174" s="263">
        <v>46619</v>
      </c>
    </row>
    <row r="175" spans="1:10" x14ac:dyDescent="0.2">
      <c r="A175" t="s">
        <v>4565</v>
      </c>
      <c r="B175" t="s">
        <v>4564</v>
      </c>
      <c r="C175" t="s">
        <v>3174</v>
      </c>
      <c r="D175" t="s">
        <v>3186</v>
      </c>
      <c r="E175" t="s">
        <v>4560</v>
      </c>
      <c r="F175" t="s">
        <v>3195</v>
      </c>
      <c r="G175" s="293">
        <v>387800</v>
      </c>
      <c r="H175" s="293">
        <v>443370.48</v>
      </c>
      <c r="I175" s="263">
        <v>46255</v>
      </c>
      <c r="J175" s="263">
        <v>46619</v>
      </c>
    </row>
    <row r="176" spans="1:10" x14ac:dyDescent="0.2">
      <c r="A176" t="s">
        <v>4567</v>
      </c>
      <c r="B176" t="s">
        <v>4566</v>
      </c>
      <c r="C176" t="s">
        <v>3174</v>
      </c>
      <c r="D176" t="s">
        <v>3186</v>
      </c>
      <c r="E176" t="s">
        <v>4560</v>
      </c>
      <c r="F176" t="s">
        <v>3198</v>
      </c>
      <c r="G176" s="293">
        <v>257400</v>
      </c>
      <c r="H176" s="293">
        <v>295027.5</v>
      </c>
      <c r="I176" s="263">
        <v>46406</v>
      </c>
      <c r="J176" s="263">
        <v>46576</v>
      </c>
    </row>
    <row r="177" spans="1:10" x14ac:dyDescent="0.2">
      <c r="A177" t="s">
        <v>4590</v>
      </c>
      <c r="B177" t="s">
        <v>4588</v>
      </c>
      <c r="C177" t="s">
        <v>2515</v>
      </c>
      <c r="D177" t="s">
        <v>2575</v>
      </c>
      <c r="E177" t="s">
        <v>4589</v>
      </c>
      <c r="F177" t="s">
        <v>4810</v>
      </c>
      <c r="G177" s="293">
        <v>874726</v>
      </c>
      <c r="H177" s="293">
        <v>990724.11</v>
      </c>
      <c r="I177" s="263">
        <v>45951</v>
      </c>
      <c r="J177" s="263">
        <v>46608</v>
      </c>
    </row>
    <row r="178" spans="1:10" x14ac:dyDescent="0.2">
      <c r="A178" t="s">
        <v>4595</v>
      </c>
      <c r="B178" t="s">
        <v>4593</v>
      </c>
      <c r="C178" t="s">
        <v>2515</v>
      </c>
      <c r="D178" t="s">
        <v>2582</v>
      </c>
      <c r="E178" t="s">
        <v>4594</v>
      </c>
      <c r="F178" t="s">
        <v>4811</v>
      </c>
      <c r="G178" s="293">
        <v>974565</v>
      </c>
      <c r="H178" s="293">
        <v>1103802.8400000001</v>
      </c>
      <c r="I178" s="263">
        <v>45951</v>
      </c>
      <c r="J178" s="263">
        <v>46608</v>
      </c>
    </row>
    <row r="179" spans="1:10" x14ac:dyDescent="0.2">
      <c r="A179" t="s">
        <v>4621</v>
      </c>
      <c r="B179" t="s">
        <v>4619</v>
      </c>
      <c r="C179" t="s">
        <v>2515</v>
      </c>
      <c r="D179" t="s">
        <v>2532</v>
      </c>
      <c r="E179" t="s">
        <v>4620</v>
      </c>
      <c r="F179" t="s">
        <v>4812</v>
      </c>
      <c r="G179" s="293">
        <v>1499550</v>
      </c>
      <c r="H179" s="293">
        <v>1698406.53</v>
      </c>
      <c r="I179" s="263">
        <v>45951</v>
      </c>
      <c r="J179" s="263">
        <v>46608</v>
      </c>
    </row>
    <row r="180" spans="1:10" x14ac:dyDescent="0.2">
      <c r="A180" t="s">
        <v>4616</v>
      </c>
      <c r="B180" t="s">
        <v>4614</v>
      </c>
      <c r="C180" t="s">
        <v>2515</v>
      </c>
      <c r="D180" t="s">
        <v>2540</v>
      </c>
      <c r="E180" t="s">
        <v>4615</v>
      </c>
      <c r="F180" t="s">
        <v>4813</v>
      </c>
      <c r="G180" s="293">
        <v>810630</v>
      </c>
      <c r="H180" s="293">
        <v>918128.29</v>
      </c>
      <c r="I180" s="263">
        <v>45951</v>
      </c>
      <c r="J180" s="263">
        <v>46608</v>
      </c>
    </row>
    <row r="181" spans="1:10" x14ac:dyDescent="0.2">
      <c r="A181" t="s">
        <v>3761</v>
      </c>
      <c r="B181" t="s">
        <v>3751</v>
      </c>
      <c r="C181" t="s">
        <v>2220</v>
      </c>
      <c r="D181" t="s">
        <v>2244</v>
      </c>
      <c r="E181" t="s">
        <v>3760</v>
      </c>
      <c r="F181" t="s">
        <v>2267</v>
      </c>
      <c r="G181" s="293">
        <v>393120</v>
      </c>
      <c r="H181" s="293">
        <v>440456.76</v>
      </c>
      <c r="I181" s="263">
        <v>46157</v>
      </c>
      <c r="J181" s="263">
        <v>46244</v>
      </c>
    </row>
    <row r="182" spans="1:10" x14ac:dyDescent="0.2">
      <c r="A182" t="s">
        <v>3770</v>
      </c>
      <c r="B182" t="s">
        <v>3765</v>
      </c>
      <c r="C182" t="s">
        <v>2220</v>
      </c>
      <c r="D182" t="s">
        <v>2244</v>
      </c>
      <c r="E182" t="s">
        <v>3760</v>
      </c>
      <c r="F182" t="s">
        <v>2272</v>
      </c>
      <c r="G182" s="293">
        <v>346979</v>
      </c>
      <c r="H182" s="293">
        <v>390095.89</v>
      </c>
      <c r="I182" s="263">
        <v>46085</v>
      </c>
      <c r="J182" s="263">
        <v>46332</v>
      </c>
    </row>
    <row r="183" spans="1:10" x14ac:dyDescent="0.2">
      <c r="A183" t="s">
        <v>4015</v>
      </c>
      <c r="B183" t="s">
        <v>4009</v>
      </c>
      <c r="C183" t="s">
        <v>2220</v>
      </c>
      <c r="D183" t="s">
        <v>2244</v>
      </c>
      <c r="E183" t="s">
        <v>3760</v>
      </c>
      <c r="F183" t="s">
        <v>2246</v>
      </c>
      <c r="G183" s="293">
        <v>1494602</v>
      </c>
      <c r="H183" s="293">
        <v>1674571.51</v>
      </c>
      <c r="I183" s="263">
        <v>45995</v>
      </c>
      <c r="J183" s="263">
        <v>46169</v>
      </c>
    </row>
    <row r="184" spans="1:10" x14ac:dyDescent="0.2">
      <c r="A184" t="s">
        <v>4315</v>
      </c>
      <c r="B184" t="s">
        <v>4300</v>
      </c>
      <c r="C184" t="s">
        <v>2220</v>
      </c>
      <c r="D184" t="s">
        <v>2244</v>
      </c>
      <c r="E184" t="s">
        <v>3760</v>
      </c>
      <c r="F184" t="s">
        <v>4814</v>
      </c>
      <c r="G184" s="293">
        <v>132000</v>
      </c>
      <c r="H184" s="293">
        <v>147894.51999999999</v>
      </c>
      <c r="I184" s="263">
        <v>46170</v>
      </c>
      <c r="J184" s="263">
        <v>46226</v>
      </c>
    </row>
    <row r="185" spans="1:10" x14ac:dyDescent="0.2">
      <c r="A185" t="s">
        <v>4316</v>
      </c>
      <c r="B185" t="s">
        <v>4300</v>
      </c>
      <c r="C185" t="s">
        <v>2220</v>
      </c>
      <c r="D185" t="s">
        <v>2244</v>
      </c>
      <c r="E185" t="s">
        <v>3760</v>
      </c>
      <c r="F185" t="s">
        <v>4815</v>
      </c>
      <c r="G185" s="293">
        <v>15000</v>
      </c>
      <c r="H185" s="293">
        <v>16960.82</v>
      </c>
      <c r="I185" s="263">
        <v>46245</v>
      </c>
      <c r="J185" s="263">
        <v>46330</v>
      </c>
    </row>
    <row r="186" spans="1:10" x14ac:dyDescent="0.2">
      <c r="A186" t="s">
        <v>4482</v>
      </c>
      <c r="B186" t="s">
        <v>4476</v>
      </c>
      <c r="C186" t="s">
        <v>2220</v>
      </c>
      <c r="D186" t="s">
        <v>2244</v>
      </c>
      <c r="E186" t="s">
        <v>3760</v>
      </c>
      <c r="F186" t="s">
        <v>4816</v>
      </c>
      <c r="G186" s="293">
        <v>72047</v>
      </c>
      <c r="H186" s="293">
        <v>80999.83</v>
      </c>
      <c r="I186" s="263">
        <v>46085</v>
      </c>
      <c r="J186" s="263">
        <v>46332</v>
      </c>
    </row>
    <row r="187" spans="1:10" x14ac:dyDescent="0.2">
      <c r="A187" t="s">
        <v>4258</v>
      </c>
      <c r="B187" t="s">
        <v>4256</v>
      </c>
      <c r="C187" t="s">
        <v>4801</v>
      </c>
      <c r="D187" t="s">
        <v>2742</v>
      </c>
      <c r="E187" t="s">
        <v>4257</v>
      </c>
      <c r="F187" t="s">
        <v>4817</v>
      </c>
      <c r="G187" s="293">
        <v>698243</v>
      </c>
      <c r="H187" s="293">
        <v>795060.09</v>
      </c>
      <c r="I187" s="263">
        <v>46191</v>
      </c>
      <c r="J187" s="263">
        <v>46555</v>
      </c>
    </row>
    <row r="188" spans="1:10" x14ac:dyDescent="0.2">
      <c r="A188" t="s">
        <v>3885</v>
      </c>
      <c r="B188" t="s">
        <v>3873</v>
      </c>
      <c r="C188" t="s">
        <v>3202</v>
      </c>
      <c r="D188" t="s">
        <v>3282</v>
      </c>
      <c r="E188" t="s">
        <v>3874</v>
      </c>
      <c r="F188" t="s">
        <v>3288</v>
      </c>
      <c r="G188" s="293">
        <v>800214</v>
      </c>
      <c r="H188" s="293">
        <v>911177.07</v>
      </c>
      <c r="I188" s="263">
        <v>46246</v>
      </c>
      <c r="J188" s="263">
        <v>46423</v>
      </c>
    </row>
    <row r="189" spans="1:10" x14ac:dyDescent="0.2">
      <c r="A189" t="s">
        <v>3884</v>
      </c>
      <c r="B189" t="s">
        <v>3873</v>
      </c>
      <c r="C189" t="s">
        <v>3202</v>
      </c>
      <c r="D189" t="s">
        <v>3282</v>
      </c>
      <c r="E189" t="s">
        <v>3874</v>
      </c>
      <c r="F189" t="s">
        <v>3285</v>
      </c>
      <c r="G189" s="293">
        <v>683109</v>
      </c>
      <c r="H189" s="293">
        <v>765364.2</v>
      </c>
      <c r="I189" s="263">
        <v>46104</v>
      </c>
      <c r="J189" s="263">
        <v>46217</v>
      </c>
    </row>
    <row r="190" spans="1:10" x14ac:dyDescent="0.2">
      <c r="A190" t="s">
        <v>3886</v>
      </c>
      <c r="B190" t="s">
        <v>3873</v>
      </c>
      <c r="C190" t="s">
        <v>3202</v>
      </c>
      <c r="D190" t="s">
        <v>3282</v>
      </c>
      <c r="E190" t="s">
        <v>3874</v>
      </c>
      <c r="F190" t="s">
        <v>3291</v>
      </c>
      <c r="G190" s="293">
        <v>495248</v>
      </c>
      <c r="H190" s="293">
        <v>562327.11</v>
      </c>
      <c r="I190" s="263">
        <v>46260</v>
      </c>
      <c r="J190" s="263">
        <v>46346</v>
      </c>
    </row>
    <row r="191" spans="1:10" x14ac:dyDescent="0.2">
      <c r="A191" t="s">
        <v>3905</v>
      </c>
      <c r="B191" t="s">
        <v>3873</v>
      </c>
      <c r="C191" t="s">
        <v>3202</v>
      </c>
      <c r="D191" t="s">
        <v>3282</v>
      </c>
      <c r="E191" t="s">
        <v>3874</v>
      </c>
      <c r="F191" t="s">
        <v>3295</v>
      </c>
      <c r="G191" s="293">
        <v>338039</v>
      </c>
      <c r="H191" s="293">
        <v>387454.56</v>
      </c>
      <c r="I191" s="263">
        <v>46511</v>
      </c>
      <c r="J191" s="263">
        <v>46624</v>
      </c>
    </row>
    <row r="192" spans="1:10" x14ac:dyDescent="0.2">
      <c r="A192" t="s">
        <v>3906</v>
      </c>
      <c r="B192" t="s">
        <v>3873</v>
      </c>
      <c r="C192" t="s">
        <v>3202</v>
      </c>
      <c r="D192" t="s">
        <v>3282</v>
      </c>
      <c r="E192" t="s">
        <v>3874</v>
      </c>
      <c r="F192" t="s">
        <v>3298</v>
      </c>
      <c r="G192" s="293">
        <v>280325</v>
      </c>
      <c r="H192" s="293">
        <v>328385.76</v>
      </c>
      <c r="I192" s="263">
        <v>46654</v>
      </c>
      <c r="J192" s="263">
        <v>46833</v>
      </c>
    </row>
    <row r="193" spans="1:10" x14ac:dyDescent="0.2">
      <c r="A193" t="s">
        <v>3907</v>
      </c>
      <c r="B193" t="s">
        <v>3873</v>
      </c>
      <c r="C193" t="s">
        <v>3202</v>
      </c>
      <c r="D193" t="s">
        <v>3282</v>
      </c>
      <c r="E193" t="s">
        <v>3874</v>
      </c>
      <c r="F193" t="s">
        <v>4818</v>
      </c>
      <c r="G193" s="293">
        <v>209210</v>
      </c>
      <c r="H193" s="293">
        <v>245308.14</v>
      </c>
      <c r="I193" s="263">
        <v>46668</v>
      </c>
      <c r="J193" s="263">
        <v>46759</v>
      </c>
    </row>
    <row r="194" spans="1:10" x14ac:dyDescent="0.2">
      <c r="A194" t="s">
        <v>3894</v>
      </c>
      <c r="B194" t="s">
        <v>3873</v>
      </c>
      <c r="C194" t="s">
        <v>3202</v>
      </c>
      <c r="D194" t="s">
        <v>3282</v>
      </c>
      <c r="E194" t="s">
        <v>3874</v>
      </c>
      <c r="F194" t="s">
        <v>4819</v>
      </c>
      <c r="G194" s="293">
        <v>199067</v>
      </c>
      <c r="H194" s="293">
        <v>228167.21</v>
      </c>
      <c r="I194" s="263">
        <v>46426</v>
      </c>
      <c r="J194" s="263">
        <v>46596</v>
      </c>
    </row>
    <row r="195" spans="1:10" x14ac:dyDescent="0.2">
      <c r="A195" t="s">
        <v>3876</v>
      </c>
      <c r="B195" t="s">
        <v>3873</v>
      </c>
      <c r="C195" t="s">
        <v>3202</v>
      </c>
      <c r="D195" t="s">
        <v>3282</v>
      </c>
      <c r="E195" t="s">
        <v>3874</v>
      </c>
      <c r="F195" t="s">
        <v>4820</v>
      </c>
      <c r="G195" s="293">
        <v>175280</v>
      </c>
      <c r="H195" s="293">
        <v>196385.99</v>
      </c>
      <c r="I195" s="263">
        <v>45953</v>
      </c>
      <c r="J195" s="263">
        <v>46129</v>
      </c>
    </row>
    <row r="196" spans="1:10" x14ac:dyDescent="0.2">
      <c r="A196" t="s">
        <v>3891</v>
      </c>
      <c r="B196" t="s">
        <v>3873</v>
      </c>
      <c r="C196" t="s">
        <v>3202</v>
      </c>
      <c r="D196" t="s">
        <v>3282</v>
      </c>
      <c r="E196" t="s">
        <v>3874</v>
      </c>
      <c r="F196" t="s">
        <v>4821</v>
      </c>
      <c r="G196" s="293">
        <v>169871</v>
      </c>
      <c r="H196" s="293">
        <v>194703.25</v>
      </c>
      <c r="I196" s="263">
        <v>46365</v>
      </c>
      <c r="J196" s="263">
        <v>46539</v>
      </c>
    </row>
    <row r="197" spans="1:10" x14ac:dyDescent="0.2">
      <c r="A197" t="s">
        <v>3893</v>
      </c>
      <c r="B197" t="s">
        <v>3873</v>
      </c>
      <c r="C197" t="s">
        <v>3202</v>
      </c>
      <c r="D197" t="s">
        <v>3282</v>
      </c>
      <c r="E197" t="s">
        <v>3874</v>
      </c>
      <c r="F197" t="s">
        <v>4822</v>
      </c>
      <c r="G197" s="293">
        <v>169936</v>
      </c>
      <c r="H197" s="293">
        <v>193956.64</v>
      </c>
      <c r="I197" s="263">
        <v>46275</v>
      </c>
      <c r="J197" s="263">
        <v>46394</v>
      </c>
    </row>
    <row r="198" spans="1:10" x14ac:dyDescent="0.2">
      <c r="A198" t="s">
        <v>3879</v>
      </c>
      <c r="B198" t="s">
        <v>3873</v>
      </c>
      <c r="C198" t="s">
        <v>3202</v>
      </c>
      <c r="D198" t="s">
        <v>3282</v>
      </c>
      <c r="E198" t="s">
        <v>3874</v>
      </c>
      <c r="F198" t="s">
        <v>4823</v>
      </c>
      <c r="G198" s="293">
        <v>164012</v>
      </c>
      <c r="H198" s="293">
        <v>183761.18</v>
      </c>
      <c r="I198" s="263">
        <v>46014</v>
      </c>
      <c r="J198" s="263">
        <v>46188</v>
      </c>
    </row>
    <row r="199" spans="1:10" x14ac:dyDescent="0.2">
      <c r="A199" t="s">
        <v>3875</v>
      </c>
      <c r="B199" t="s">
        <v>3873</v>
      </c>
      <c r="C199" t="s">
        <v>3202</v>
      </c>
      <c r="D199" t="s">
        <v>3282</v>
      </c>
      <c r="E199" t="s">
        <v>3874</v>
      </c>
      <c r="F199" t="s">
        <v>4824</v>
      </c>
      <c r="G199" s="293">
        <v>149629</v>
      </c>
      <c r="H199" s="293">
        <v>167646.28</v>
      </c>
      <c r="I199" s="263">
        <v>45951</v>
      </c>
      <c r="J199" s="263">
        <v>46071</v>
      </c>
    </row>
    <row r="200" spans="1:10" x14ac:dyDescent="0.2">
      <c r="A200" t="s">
        <v>3890</v>
      </c>
      <c r="B200" t="s">
        <v>3873</v>
      </c>
      <c r="C200" t="s">
        <v>3202</v>
      </c>
      <c r="D200" t="s">
        <v>3282</v>
      </c>
      <c r="E200" t="s">
        <v>3874</v>
      </c>
      <c r="F200" t="s">
        <v>4825</v>
      </c>
      <c r="G200" s="293">
        <v>145012</v>
      </c>
      <c r="H200" s="293">
        <v>163641.13</v>
      </c>
      <c r="I200" s="263">
        <v>46218</v>
      </c>
      <c r="J200" s="263">
        <v>46331</v>
      </c>
    </row>
    <row r="201" spans="1:10" x14ac:dyDescent="0.2">
      <c r="A201" t="s">
        <v>3878</v>
      </c>
      <c r="B201" t="s">
        <v>3873</v>
      </c>
      <c r="C201" t="s">
        <v>3202</v>
      </c>
      <c r="D201" t="s">
        <v>3282</v>
      </c>
      <c r="E201" t="s">
        <v>3874</v>
      </c>
      <c r="F201" t="s">
        <v>4826</v>
      </c>
      <c r="G201" s="293">
        <v>140010</v>
      </c>
      <c r="H201" s="293">
        <v>156869.01999999999</v>
      </c>
      <c r="I201" s="263">
        <v>45951</v>
      </c>
      <c r="J201" s="263">
        <v>46071</v>
      </c>
    </row>
    <row r="202" spans="1:10" x14ac:dyDescent="0.2">
      <c r="A202" t="s">
        <v>3882</v>
      </c>
      <c r="B202" t="s">
        <v>3873</v>
      </c>
      <c r="C202" t="s">
        <v>3202</v>
      </c>
      <c r="D202" t="s">
        <v>3282</v>
      </c>
      <c r="E202" t="s">
        <v>3874</v>
      </c>
      <c r="F202" t="s">
        <v>4827</v>
      </c>
      <c r="G202" s="293">
        <v>137244</v>
      </c>
      <c r="H202" s="293">
        <v>153769.96</v>
      </c>
      <c r="I202" s="263">
        <v>46076</v>
      </c>
      <c r="J202" s="263">
        <v>46245</v>
      </c>
    </row>
    <row r="203" spans="1:10" x14ac:dyDescent="0.2">
      <c r="A203" t="s">
        <v>3902</v>
      </c>
      <c r="B203" t="s">
        <v>3873</v>
      </c>
      <c r="C203" t="s">
        <v>3202</v>
      </c>
      <c r="D203" t="s">
        <v>3282</v>
      </c>
      <c r="E203" t="s">
        <v>3874</v>
      </c>
      <c r="F203" t="s">
        <v>4828</v>
      </c>
      <c r="G203" s="293">
        <v>125200</v>
      </c>
      <c r="H203" s="293">
        <v>143502.10999999999</v>
      </c>
      <c r="I203" s="263">
        <v>46455</v>
      </c>
      <c r="J203" s="263">
        <v>46567</v>
      </c>
    </row>
    <row r="204" spans="1:10" x14ac:dyDescent="0.2">
      <c r="A204" t="s">
        <v>3895</v>
      </c>
      <c r="B204" t="s">
        <v>3873</v>
      </c>
      <c r="C204" t="s">
        <v>3202</v>
      </c>
      <c r="D204" t="s">
        <v>3282</v>
      </c>
      <c r="E204" t="s">
        <v>3874</v>
      </c>
      <c r="F204" t="s">
        <v>4829</v>
      </c>
      <c r="G204" s="293">
        <v>123202</v>
      </c>
      <c r="H204" s="293">
        <v>141212.04</v>
      </c>
      <c r="I204" s="263">
        <v>46441</v>
      </c>
      <c r="J204" s="263">
        <v>46524</v>
      </c>
    </row>
    <row r="205" spans="1:10" x14ac:dyDescent="0.2">
      <c r="A205" t="s">
        <v>3881</v>
      </c>
      <c r="B205" t="s">
        <v>3873</v>
      </c>
      <c r="C205" t="s">
        <v>3202</v>
      </c>
      <c r="D205" t="s">
        <v>3282</v>
      </c>
      <c r="E205" t="s">
        <v>3874</v>
      </c>
      <c r="F205" t="s">
        <v>4830</v>
      </c>
      <c r="G205" s="293">
        <v>117159</v>
      </c>
      <c r="H205" s="293">
        <v>131266.47</v>
      </c>
      <c r="I205" s="263">
        <v>45951</v>
      </c>
      <c r="J205" s="263">
        <v>46071</v>
      </c>
    </row>
    <row r="206" spans="1:10" x14ac:dyDescent="0.2">
      <c r="A206" t="s">
        <v>3877</v>
      </c>
      <c r="B206" t="s">
        <v>3873</v>
      </c>
      <c r="C206" t="s">
        <v>3202</v>
      </c>
      <c r="D206" t="s">
        <v>3282</v>
      </c>
      <c r="E206" t="s">
        <v>3874</v>
      </c>
      <c r="F206" t="s">
        <v>4831</v>
      </c>
      <c r="G206" s="293">
        <v>108479</v>
      </c>
      <c r="H206" s="293">
        <v>121541.28</v>
      </c>
      <c r="I206" s="263">
        <v>45967</v>
      </c>
      <c r="J206" s="263">
        <v>46058</v>
      </c>
    </row>
    <row r="207" spans="1:10" x14ac:dyDescent="0.2">
      <c r="A207" t="s">
        <v>3903</v>
      </c>
      <c r="B207" t="s">
        <v>3873</v>
      </c>
      <c r="C207" t="s">
        <v>3202</v>
      </c>
      <c r="D207" t="s">
        <v>3282</v>
      </c>
      <c r="E207" t="s">
        <v>3874</v>
      </c>
      <c r="F207" t="s">
        <v>4832</v>
      </c>
      <c r="G207" s="293">
        <v>103824</v>
      </c>
      <c r="H207" s="293">
        <v>120711.93</v>
      </c>
      <c r="I207" s="263">
        <v>46597</v>
      </c>
      <c r="J207" s="263">
        <v>46776</v>
      </c>
    </row>
    <row r="208" spans="1:10" x14ac:dyDescent="0.2">
      <c r="A208" t="s">
        <v>3892</v>
      </c>
      <c r="B208" t="s">
        <v>3873</v>
      </c>
      <c r="C208" t="s">
        <v>3202</v>
      </c>
      <c r="D208" t="s">
        <v>3282</v>
      </c>
      <c r="E208" t="s">
        <v>3874</v>
      </c>
      <c r="F208" t="s">
        <v>4833</v>
      </c>
      <c r="G208" s="293">
        <v>105132</v>
      </c>
      <c r="H208" s="293">
        <v>120500.51</v>
      </c>
      <c r="I208" s="263">
        <v>46379</v>
      </c>
      <c r="J208" s="263">
        <v>46468</v>
      </c>
    </row>
    <row r="209" spans="1:10" x14ac:dyDescent="0.2">
      <c r="A209" t="s">
        <v>3880</v>
      </c>
      <c r="B209" t="s">
        <v>3873</v>
      </c>
      <c r="C209" t="s">
        <v>3202</v>
      </c>
      <c r="D209" t="s">
        <v>3282</v>
      </c>
      <c r="E209" t="s">
        <v>3874</v>
      </c>
      <c r="F209" t="s">
        <v>4834</v>
      </c>
      <c r="G209" s="293">
        <v>101506</v>
      </c>
      <c r="H209" s="293">
        <v>113728.64</v>
      </c>
      <c r="I209" s="263">
        <v>46030</v>
      </c>
      <c r="J209" s="263">
        <v>46115</v>
      </c>
    </row>
    <row r="210" spans="1:10" x14ac:dyDescent="0.2">
      <c r="A210" t="s">
        <v>3888</v>
      </c>
      <c r="B210" t="s">
        <v>3873</v>
      </c>
      <c r="C210" t="s">
        <v>3202</v>
      </c>
      <c r="D210" t="s">
        <v>3282</v>
      </c>
      <c r="E210" t="s">
        <v>3874</v>
      </c>
      <c r="F210" t="s">
        <v>4835</v>
      </c>
      <c r="G210" s="293">
        <v>96629.09</v>
      </c>
      <c r="H210" s="293">
        <v>110754.62</v>
      </c>
      <c r="I210" s="263">
        <v>46303</v>
      </c>
      <c r="J210" s="263">
        <v>46482</v>
      </c>
    </row>
    <row r="211" spans="1:10" x14ac:dyDescent="0.2">
      <c r="A211" t="s">
        <v>3897</v>
      </c>
      <c r="B211" t="s">
        <v>3873</v>
      </c>
      <c r="C211" t="s">
        <v>3202</v>
      </c>
      <c r="D211" t="s">
        <v>3282</v>
      </c>
      <c r="E211" t="s">
        <v>3874</v>
      </c>
      <c r="F211" t="s">
        <v>4836</v>
      </c>
      <c r="G211" s="293">
        <v>85424</v>
      </c>
      <c r="H211" s="293">
        <v>97911.54</v>
      </c>
      <c r="I211" s="263">
        <v>46483</v>
      </c>
      <c r="J211" s="263">
        <v>46653</v>
      </c>
    </row>
    <row r="212" spans="1:10" x14ac:dyDescent="0.2">
      <c r="A212" t="s">
        <v>3883</v>
      </c>
      <c r="B212" t="s">
        <v>3873</v>
      </c>
      <c r="C212" t="s">
        <v>3202</v>
      </c>
      <c r="D212" t="s">
        <v>3282</v>
      </c>
      <c r="E212" t="s">
        <v>3874</v>
      </c>
      <c r="F212" t="s">
        <v>4837</v>
      </c>
      <c r="G212" s="293">
        <v>84939</v>
      </c>
      <c r="H212" s="293">
        <v>95166.76</v>
      </c>
      <c r="I212" s="263">
        <v>46090</v>
      </c>
      <c r="J212" s="263">
        <v>46174</v>
      </c>
    </row>
    <row r="213" spans="1:10" x14ac:dyDescent="0.2">
      <c r="A213" t="s">
        <v>3887</v>
      </c>
      <c r="B213" t="s">
        <v>3873</v>
      </c>
      <c r="C213" t="s">
        <v>3202</v>
      </c>
      <c r="D213" t="s">
        <v>3282</v>
      </c>
      <c r="E213" t="s">
        <v>3874</v>
      </c>
      <c r="F213" t="s">
        <v>4838</v>
      </c>
      <c r="G213" s="293">
        <v>82488.25</v>
      </c>
      <c r="H213" s="293">
        <v>92420.91</v>
      </c>
      <c r="I213" s="263">
        <v>46160</v>
      </c>
      <c r="J213" s="263">
        <v>46274</v>
      </c>
    </row>
    <row r="214" spans="1:10" x14ac:dyDescent="0.2">
      <c r="A214" t="s">
        <v>3904</v>
      </c>
      <c r="B214" t="s">
        <v>3873</v>
      </c>
      <c r="C214" t="s">
        <v>3202</v>
      </c>
      <c r="D214" t="s">
        <v>3282</v>
      </c>
      <c r="E214" t="s">
        <v>3874</v>
      </c>
      <c r="F214" t="s">
        <v>4839</v>
      </c>
      <c r="G214" s="293">
        <v>77485</v>
      </c>
      <c r="H214" s="293">
        <v>89663.1</v>
      </c>
      <c r="I214" s="263">
        <v>46611</v>
      </c>
      <c r="J214" s="263">
        <v>46696</v>
      </c>
    </row>
    <row r="215" spans="1:10" x14ac:dyDescent="0.2">
      <c r="A215" t="s">
        <v>3896</v>
      </c>
      <c r="B215" t="s">
        <v>3873</v>
      </c>
      <c r="C215" t="s">
        <v>3202</v>
      </c>
      <c r="D215" t="s">
        <v>3282</v>
      </c>
      <c r="E215" t="s">
        <v>3874</v>
      </c>
      <c r="F215" t="s">
        <v>4840</v>
      </c>
      <c r="G215" s="293">
        <v>72923</v>
      </c>
      <c r="H215" s="293">
        <v>83583.100000000006</v>
      </c>
      <c r="I215" s="263">
        <v>46332</v>
      </c>
      <c r="J215" s="263">
        <v>46454</v>
      </c>
    </row>
    <row r="216" spans="1:10" x14ac:dyDescent="0.2">
      <c r="A216" t="s">
        <v>3899</v>
      </c>
      <c r="B216" t="s">
        <v>3873</v>
      </c>
      <c r="C216" t="s">
        <v>3202</v>
      </c>
      <c r="D216" t="s">
        <v>3282</v>
      </c>
      <c r="E216" t="s">
        <v>3874</v>
      </c>
      <c r="F216" t="s">
        <v>4841</v>
      </c>
      <c r="G216" s="293">
        <v>71989.8</v>
      </c>
      <c r="H216" s="293">
        <v>82513.48</v>
      </c>
      <c r="I216" s="263">
        <v>46395</v>
      </c>
      <c r="J216" s="263">
        <v>46510</v>
      </c>
    </row>
    <row r="217" spans="1:10" x14ac:dyDescent="0.2">
      <c r="A217" t="s">
        <v>3900</v>
      </c>
      <c r="B217" t="s">
        <v>3873</v>
      </c>
      <c r="C217" t="s">
        <v>3202</v>
      </c>
      <c r="D217" t="s">
        <v>3282</v>
      </c>
      <c r="E217" t="s">
        <v>3874</v>
      </c>
      <c r="F217" t="s">
        <v>4842</v>
      </c>
      <c r="G217" s="293">
        <v>59698.86</v>
      </c>
      <c r="H217" s="293">
        <v>68884.84</v>
      </c>
      <c r="I217" s="263">
        <v>46540</v>
      </c>
      <c r="J217" s="263">
        <v>46713</v>
      </c>
    </row>
    <row r="218" spans="1:10" x14ac:dyDescent="0.2">
      <c r="A218" t="s">
        <v>3889</v>
      </c>
      <c r="B218" t="s">
        <v>3873</v>
      </c>
      <c r="C218" t="s">
        <v>3202</v>
      </c>
      <c r="D218" t="s">
        <v>3282</v>
      </c>
      <c r="E218" t="s">
        <v>3874</v>
      </c>
      <c r="F218" t="s">
        <v>4843</v>
      </c>
      <c r="G218" s="293">
        <v>59803.19</v>
      </c>
      <c r="H218" s="293">
        <v>68545.399999999994</v>
      </c>
      <c r="I218" s="263">
        <v>46318</v>
      </c>
      <c r="J218" s="263">
        <v>46409</v>
      </c>
    </row>
    <row r="219" spans="1:10" x14ac:dyDescent="0.2">
      <c r="A219" t="s">
        <v>3898</v>
      </c>
      <c r="B219" t="s">
        <v>3873</v>
      </c>
      <c r="C219" t="s">
        <v>3202</v>
      </c>
      <c r="D219" t="s">
        <v>3282</v>
      </c>
      <c r="E219" t="s">
        <v>3874</v>
      </c>
      <c r="F219" t="s">
        <v>4844</v>
      </c>
      <c r="G219" s="293">
        <v>52868</v>
      </c>
      <c r="H219" s="293">
        <v>60596.4</v>
      </c>
      <c r="I219" s="263">
        <v>46497</v>
      </c>
      <c r="J219" s="263">
        <v>46582</v>
      </c>
    </row>
    <row r="220" spans="1:10" x14ac:dyDescent="0.2">
      <c r="A220" t="s">
        <v>3901</v>
      </c>
      <c r="B220" t="s">
        <v>3873</v>
      </c>
      <c r="C220" t="s">
        <v>3202</v>
      </c>
      <c r="D220" t="s">
        <v>3282</v>
      </c>
      <c r="E220" t="s">
        <v>3874</v>
      </c>
      <c r="F220" t="s">
        <v>4845</v>
      </c>
      <c r="G220" s="293">
        <v>44554.080000000002</v>
      </c>
      <c r="H220" s="293">
        <v>51067.13</v>
      </c>
      <c r="I220" s="263">
        <v>46554</v>
      </c>
      <c r="J220" s="263">
        <v>46639</v>
      </c>
    </row>
    <row r="221" spans="1:10" x14ac:dyDescent="0.2">
      <c r="A221" t="s">
        <v>3727</v>
      </c>
      <c r="B221" t="s">
        <v>3725</v>
      </c>
      <c r="C221" t="s">
        <v>3202</v>
      </c>
      <c r="D221" t="s">
        <v>3233</v>
      </c>
      <c r="E221" t="s">
        <v>3726</v>
      </c>
      <c r="F221" t="s">
        <v>3236</v>
      </c>
      <c r="G221" s="293">
        <v>2049000</v>
      </c>
      <c r="H221" s="293">
        <v>2364060.39</v>
      </c>
      <c r="I221" s="263">
        <v>46037</v>
      </c>
      <c r="J221" s="263">
        <v>47134</v>
      </c>
    </row>
    <row r="222" spans="1:10" x14ac:dyDescent="0.2">
      <c r="A222" t="s">
        <v>3735</v>
      </c>
      <c r="B222" t="s">
        <v>3734</v>
      </c>
      <c r="C222" t="s">
        <v>3202</v>
      </c>
      <c r="D222" t="s">
        <v>3233</v>
      </c>
      <c r="E222" t="s">
        <v>3726</v>
      </c>
      <c r="F222" t="s">
        <v>3240</v>
      </c>
      <c r="G222" s="293">
        <v>2049000</v>
      </c>
      <c r="H222" s="293">
        <v>2368382.41</v>
      </c>
      <c r="I222" s="263">
        <v>46066</v>
      </c>
      <c r="J222" s="263">
        <v>47162</v>
      </c>
    </row>
    <row r="223" spans="1:10" x14ac:dyDescent="0.2">
      <c r="A223" t="s">
        <v>3737</v>
      </c>
      <c r="B223" t="s">
        <v>3736</v>
      </c>
      <c r="C223" t="s">
        <v>3202</v>
      </c>
      <c r="D223" t="s">
        <v>3233</v>
      </c>
      <c r="E223" t="s">
        <v>3726</v>
      </c>
      <c r="F223" t="s">
        <v>3243</v>
      </c>
      <c r="G223" s="293">
        <v>2049000</v>
      </c>
      <c r="H223" s="293">
        <v>2368382.41</v>
      </c>
      <c r="I223" s="263">
        <v>46066</v>
      </c>
      <c r="J223" s="263">
        <v>47162</v>
      </c>
    </row>
    <row r="224" spans="1:10" x14ac:dyDescent="0.2">
      <c r="A224" t="s">
        <v>3739</v>
      </c>
      <c r="B224" t="s">
        <v>3738</v>
      </c>
      <c r="C224" t="s">
        <v>3202</v>
      </c>
      <c r="D224" t="s">
        <v>3233</v>
      </c>
      <c r="E224" t="s">
        <v>3726</v>
      </c>
      <c r="F224" t="s">
        <v>3246</v>
      </c>
      <c r="G224" s="293">
        <v>2185000</v>
      </c>
      <c r="H224" s="293">
        <v>2525581.0499999998</v>
      </c>
      <c r="I224" s="263">
        <v>46066</v>
      </c>
      <c r="J224" s="263">
        <v>47162</v>
      </c>
    </row>
    <row r="225" spans="1:10" x14ac:dyDescent="0.2">
      <c r="A225" t="s">
        <v>3741</v>
      </c>
      <c r="B225" t="s">
        <v>3740</v>
      </c>
      <c r="C225" t="s">
        <v>3202</v>
      </c>
      <c r="D225" t="s">
        <v>3233</v>
      </c>
      <c r="E225" t="s">
        <v>3726</v>
      </c>
      <c r="F225" t="s">
        <v>3249</v>
      </c>
      <c r="G225" s="293">
        <v>2185000</v>
      </c>
      <c r="H225" s="293">
        <v>2525581.0499999998</v>
      </c>
      <c r="I225" s="263">
        <v>46066</v>
      </c>
      <c r="J225" s="263">
        <v>47162</v>
      </c>
    </row>
    <row r="226" spans="1:10" x14ac:dyDescent="0.2">
      <c r="A226" t="s">
        <v>3690</v>
      </c>
      <c r="B226" t="s">
        <v>3686</v>
      </c>
      <c r="C226" t="s">
        <v>3202</v>
      </c>
      <c r="D226" t="s">
        <v>3219</v>
      </c>
      <c r="E226" t="s">
        <v>3689</v>
      </c>
      <c r="F226" t="s">
        <v>3222</v>
      </c>
      <c r="G226" s="293">
        <v>2413369</v>
      </c>
      <c r="H226" s="293">
        <v>2707204.01</v>
      </c>
      <c r="I226" s="263">
        <v>45951</v>
      </c>
      <c r="J226" s="263">
        <v>46315</v>
      </c>
    </row>
    <row r="227" spans="1:10" x14ac:dyDescent="0.2">
      <c r="A227" t="s">
        <v>4226</v>
      </c>
      <c r="B227" t="s">
        <v>4224</v>
      </c>
      <c r="C227" t="s">
        <v>4801</v>
      </c>
      <c r="D227" t="s">
        <v>2731</v>
      </c>
      <c r="E227" t="s">
        <v>4225</v>
      </c>
      <c r="F227" t="s">
        <v>2735</v>
      </c>
      <c r="G227" s="293">
        <v>1337062</v>
      </c>
      <c r="H227" s="293">
        <v>1520726.58</v>
      </c>
      <c r="I227" s="263">
        <v>45992</v>
      </c>
      <c r="J227" s="263">
        <v>46721</v>
      </c>
    </row>
    <row r="228" spans="1:10" x14ac:dyDescent="0.2">
      <c r="A228" t="s">
        <v>4486</v>
      </c>
      <c r="B228" t="s">
        <v>4485</v>
      </c>
      <c r="C228" t="s">
        <v>4801</v>
      </c>
      <c r="D228" t="s">
        <v>2731</v>
      </c>
      <c r="E228" t="s">
        <v>4225</v>
      </c>
      <c r="F228" t="s">
        <v>2738</v>
      </c>
      <c r="G228" s="293">
        <v>279967</v>
      </c>
      <c r="H228" s="293">
        <v>325748.25</v>
      </c>
      <c r="I228" s="263">
        <v>46357</v>
      </c>
      <c r="J228" s="263">
        <v>47086</v>
      </c>
    </row>
    <row r="229" spans="1:10" x14ac:dyDescent="0.2">
      <c r="A229" t="s">
        <v>4711</v>
      </c>
      <c r="B229" t="s">
        <v>4709</v>
      </c>
      <c r="C229" t="s">
        <v>4801</v>
      </c>
      <c r="D229" t="s">
        <v>2731</v>
      </c>
      <c r="E229" t="s">
        <v>4225</v>
      </c>
      <c r="F229" t="s">
        <v>2741</v>
      </c>
      <c r="G229" s="293">
        <v>870903</v>
      </c>
      <c r="H229" s="293">
        <v>974477.12</v>
      </c>
      <c r="I229" s="263">
        <v>45729</v>
      </c>
      <c r="J229" s="263">
        <v>46458</v>
      </c>
    </row>
    <row r="230" spans="1:10" x14ac:dyDescent="0.2">
      <c r="A230" t="s">
        <v>4160</v>
      </c>
      <c r="B230" t="s">
        <v>4158</v>
      </c>
      <c r="C230" t="s">
        <v>3202</v>
      </c>
      <c r="D230" t="s">
        <v>3199</v>
      </c>
      <c r="E230" t="s">
        <v>4159</v>
      </c>
      <c r="F230" t="s">
        <v>3203</v>
      </c>
      <c r="G230" s="293">
        <v>29310000</v>
      </c>
      <c r="H230" s="293">
        <v>34249565.450000003</v>
      </c>
      <c r="I230" s="263">
        <v>46239</v>
      </c>
      <c r="J230" s="263">
        <v>47333</v>
      </c>
    </row>
    <row r="231" spans="1:10" x14ac:dyDescent="0.2">
      <c r="A231" t="s">
        <v>4235</v>
      </c>
      <c r="B231" t="s">
        <v>4234</v>
      </c>
      <c r="C231" t="s">
        <v>3202</v>
      </c>
      <c r="D231" t="s">
        <v>3199</v>
      </c>
      <c r="E231" t="s">
        <v>4159</v>
      </c>
      <c r="F231" t="s">
        <v>3307</v>
      </c>
      <c r="G231" s="293">
        <v>748464</v>
      </c>
      <c r="H231" s="293">
        <v>867102.28</v>
      </c>
      <c r="I231" s="263">
        <v>46104</v>
      </c>
      <c r="J231" s="263">
        <v>47198</v>
      </c>
    </row>
    <row r="232" spans="1:10" x14ac:dyDescent="0.2">
      <c r="A232" t="s">
        <v>3724</v>
      </c>
      <c r="B232" t="s">
        <v>3721</v>
      </c>
      <c r="C232" t="s">
        <v>2220</v>
      </c>
      <c r="D232" t="s">
        <v>2231</v>
      </c>
      <c r="E232" t="s">
        <v>3722</v>
      </c>
      <c r="F232" t="s">
        <v>2262</v>
      </c>
      <c r="G232" s="293">
        <v>1200742</v>
      </c>
      <c r="H232" s="293">
        <v>1345713.74</v>
      </c>
      <c r="I232" s="263">
        <v>45951</v>
      </c>
      <c r="J232" s="263">
        <v>46300</v>
      </c>
    </row>
    <row r="233" spans="1:10" x14ac:dyDescent="0.2">
      <c r="A233" t="s">
        <v>3723</v>
      </c>
      <c r="B233" t="s">
        <v>3721</v>
      </c>
      <c r="C233" t="s">
        <v>2220</v>
      </c>
      <c r="D233" t="s">
        <v>2231</v>
      </c>
      <c r="E233" t="s">
        <v>3722</v>
      </c>
      <c r="F233" t="s">
        <v>2260</v>
      </c>
      <c r="G233" s="293">
        <v>824091</v>
      </c>
      <c r="H233" s="293">
        <v>930178.73</v>
      </c>
      <c r="I233" s="263">
        <v>45951</v>
      </c>
      <c r="J233" s="263">
        <v>46464</v>
      </c>
    </row>
    <row r="234" spans="1:10" x14ac:dyDescent="0.2">
      <c r="A234" t="s">
        <v>4008</v>
      </c>
      <c r="B234" t="s">
        <v>4004</v>
      </c>
      <c r="C234" t="s">
        <v>2220</v>
      </c>
      <c r="D234" t="s">
        <v>2231</v>
      </c>
      <c r="E234" t="s">
        <v>3722</v>
      </c>
      <c r="F234" t="s">
        <v>2234</v>
      </c>
      <c r="G234" s="293">
        <v>306320</v>
      </c>
      <c r="H234" s="293">
        <v>343204.91</v>
      </c>
      <c r="I234" s="263">
        <v>45951</v>
      </c>
      <c r="J234" s="263">
        <v>46213</v>
      </c>
    </row>
    <row r="235" spans="1:10" x14ac:dyDescent="0.2">
      <c r="A235" t="s">
        <v>4014</v>
      </c>
      <c r="B235" t="s">
        <v>4009</v>
      </c>
      <c r="C235" t="s">
        <v>2220</v>
      </c>
      <c r="D235" t="s">
        <v>2231</v>
      </c>
      <c r="E235" t="s">
        <v>3722</v>
      </c>
      <c r="F235" t="s">
        <v>4846</v>
      </c>
      <c r="G235" s="293">
        <v>397417</v>
      </c>
      <c r="H235" s="293">
        <v>448577.69</v>
      </c>
      <c r="I235" s="263">
        <v>45951</v>
      </c>
      <c r="J235" s="263">
        <v>46464</v>
      </c>
    </row>
    <row r="236" spans="1:10" x14ac:dyDescent="0.2">
      <c r="A236" t="s">
        <v>4313</v>
      </c>
      <c r="B236" t="s">
        <v>4300</v>
      </c>
      <c r="C236" t="s">
        <v>2220</v>
      </c>
      <c r="D236" t="s">
        <v>2231</v>
      </c>
      <c r="E236" t="s">
        <v>3722</v>
      </c>
      <c r="F236" t="s">
        <v>4847</v>
      </c>
      <c r="G236" s="293">
        <v>51600</v>
      </c>
      <c r="H236" s="293">
        <v>59143.040000000001</v>
      </c>
      <c r="I236" s="263">
        <v>46465</v>
      </c>
      <c r="J236" s="263">
        <v>46549</v>
      </c>
    </row>
    <row r="237" spans="1:10" x14ac:dyDescent="0.2">
      <c r="A237" t="s">
        <v>4314</v>
      </c>
      <c r="B237" t="s">
        <v>4300</v>
      </c>
      <c r="C237" t="s">
        <v>2220</v>
      </c>
      <c r="D237" t="s">
        <v>2231</v>
      </c>
      <c r="E237" t="s">
        <v>3722</v>
      </c>
      <c r="F237" t="s">
        <v>4848</v>
      </c>
      <c r="G237" s="293">
        <v>3000</v>
      </c>
      <c r="H237" s="293">
        <v>3318.73</v>
      </c>
      <c r="I237" s="263">
        <v>45737</v>
      </c>
      <c r="J237" s="263">
        <v>46087</v>
      </c>
    </row>
    <row r="238" spans="1:10" x14ac:dyDescent="0.2">
      <c r="A238" t="s">
        <v>3682</v>
      </c>
      <c r="B238" t="s">
        <v>3679</v>
      </c>
      <c r="C238" t="s">
        <v>2605</v>
      </c>
      <c r="D238" t="s">
        <v>2613</v>
      </c>
      <c r="E238" t="s">
        <v>3681</v>
      </c>
      <c r="F238" t="s">
        <v>2616</v>
      </c>
      <c r="G238" s="293">
        <v>2262545</v>
      </c>
      <c r="H238" s="293">
        <v>2614119.1</v>
      </c>
      <c r="I238" s="263">
        <v>46365</v>
      </c>
      <c r="J238" s="263">
        <v>46826</v>
      </c>
    </row>
    <row r="239" spans="1:10" x14ac:dyDescent="0.2">
      <c r="A239" t="s">
        <v>4606</v>
      </c>
      <c r="B239" t="s">
        <v>4604</v>
      </c>
      <c r="C239" t="s">
        <v>2515</v>
      </c>
      <c r="D239" t="s">
        <v>2555</v>
      </c>
      <c r="E239" t="s">
        <v>4605</v>
      </c>
      <c r="F239" t="s">
        <v>4849</v>
      </c>
      <c r="G239" s="293">
        <v>861015</v>
      </c>
      <c r="H239" s="293">
        <v>1018786.84</v>
      </c>
      <c r="I239" s="263">
        <v>46638</v>
      </c>
      <c r="J239" s="263">
        <v>47324</v>
      </c>
    </row>
    <row r="240" spans="1:10" x14ac:dyDescent="0.2">
      <c r="A240" t="s">
        <v>3822</v>
      </c>
      <c r="B240" t="s">
        <v>3819</v>
      </c>
      <c r="C240" t="s">
        <v>3202</v>
      </c>
      <c r="D240" t="s">
        <v>3259</v>
      </c>
      <c r="E240" t="s">
        <v>3820</v>
      </c>
      <c r="F240" t="s">
        <v>3265</v>
      </c>
      <c r="G240" s="293">
        <v>2000000</v>
      </c>
      <c r="H240" s="293">
        <v>2350962.17</v>
      </c>
      <c r="I240" s="263">
        <v>46332</v>
      </c>
      <c r="J240" s="263">
        <v>47428</v>
      </c>
    </row>
    <row r="241" spans="1:10" x14ac:dyDescent="0.2">
      <c r="A241" t="s">
        <v>3821</v>
      </c>
      <c r="B241" t="s">
        <v>3819</v>
      </c>
      <c r="C241" t="s">
        <v>3202</v>
      </c>
      <c r="D241" t="s">
        <v>3259</v>
      </c>
      <c r="E241" t="s">
        <v>3820</v>
      </c>
      <c r="F241" t="s">
        <v>3262</v>
      </c>
      <c r="G241" s="293">
        <v>2000000</v>
      </c>
      <c r="H241" s="293">
        <v>2331783.33</v>
      </c>
      <c r="I241" s="263">
        <v>46203</v>
      </c>
      <c r="J241" s="263">
        <v>47297</v>
      </c>
    </row>
    <row r="242" spans="1:10" x14ac:dyDescent="0.2">
      <c r="A242" t="s">
        <v>3824</v>
      </c>
      <c r="B242" t="s">
        <v>3819</v>
      </c>
      <c r="C242" t="s">
        <v>3202</v>
      </c>
      <c r="D242" t="s">
        <v>3259</v>
      </c>
      <c r="E242" t="s">
        <v>3820</v>
      </c>
      <c r="F242" t="s">
        <v>3269</v>
      </c>
      <c r="G242" s="293">
        <v>350000</v>
      </c>
      <c r="H242" s="293">
        <v>411418.38</v>
      </c>
      <c r="I242" s="263">
        <v>46332</v>
      </c>
      <c r="J242" s="263">
        <v>47428</v>
      </c>
    </row>
    <row r="243" spans="1:10" x14ac:dyDescent="0.2">
      <c r="A243" t="s">
        <v>3823</v>
      </c>
      <c r="B243" t="s">
        <v>3819</v>
      </c>
      <c r="C243" t="s">
        <v>3202</v>
      </c>
      <c r="D243" t="s">
        <v>3259</v>
      </c>
      <c r="E243" t="s">
        <v>3820</v>
      </c>
      <c r="F243" t="s">
        <v>3267</v>
      </c>
      <c r="G243" s="293">
        <v>350000</v>
      </c>
      <c r="H243" s="293">
        <v>408062.08</v>
      </c>
      <c r="I243" s="263">
        <v>46203</v>
      </c>
      <c r="J243" s="263">
        <v>47297</v>
      </c>
    </row>
    <row r="244" spans="1:10" x14ac:dyDescent="0.2">
      <c r="A244" t="s">
        <v>4241</v>
      </c>
      <c r="B244" t="s">
        <v>4239</v>
      </c>
      <c r="C244" t="s">
        <v>3202</v>
      </c>
      <c r="D244" t="s">
        <v>3315</v>
      </c>
      <c r="E244" t="s">
        <v>4240</v>
      </c>
      <c r="F244" t="s">
        <v>4850</v>
      </c>
      <c r="G244" s="293">
        <v>600000</v>
      </c>
      <c r="H244" s="293">
        <v>689906.63</v>
      </c>
      <c r="I244" s="263">
        <v>46441</v>
      </c>
      <c r="J244" s="263">
        <v>46696</v>
      </c>
    </row>
    <row r="245" spans="1:10" x14ac:dyDescent="0.2">
      <c r="A245" t="s">
        <v>4471</v>
      </c>
      <c r="B245" t="s">
        <v>4470</v>
      </c>
      <c r="C245" t="s">
        <v>3202</v>
      </c>
      <c r="D245" t="s">
        <v>3315</v>
      </c>
      <c r="E245" t="s">
        <v>4240</v>
      </c>
      <c r="F245" t="s">
        <v>4851</v>
      </c>
      <c r="G245" s="293">
        <v>300000</v>
      </c>
      <c r="H245" s="293">
        <v>336123.9</v>
      </c>
      <c r="I245" s="263">
        <v>45951</v>
      </c>
      <c r="J245" s="263">
        <v>46213</v>
      </c>
    </row>
    <row r="246" spans="1:10" x14ac:dyDescent="0.2">
      <c r="A246" t="s">
        <v>3779</v>
      </c>
      <c r="B246" t="s">
        <v>3777</v>
      </c>
      <c r="C246" t="s">
        <v>3001</v>
      </c>
      <c r="D246" t="s">
        <v>2427</v>
      </c>
      <c r="E246" t="s">
        <v>3778</v>
      </c>
      <c r="F246" t="s">
        <v>2431</v>
      </c>
      <c r="G246" s="293">
        <v>2210800</v>
      </c>
      <c r="H246" s="293">
        <v>2477009.06</v>
      </c>
      <c r="I246" s="263">
        <v>46076</v>
      </c>
      <c r="J246" s="263">
        <v>46288</v>
      </c>
    </row>
    <row r="247" spans="1:10" x14ac:dyDescent="0.2">
      <c r="A247" t="s">
        <v>4473</v>
      </c>
      <c r="B247" t="s">
        <v>4472</v>
      </c>
      <c r="C247" t="s">
        <v>3001</v>
      </c>
      <c r="D247" t="s">
        <v>2427</v>
      </c>
      <c r="E247" t="s">
        <v>3778</v>
      </c>
      <c r="F247" t="s">
        <v>2435</v>
      </c>
      <c r="G247" s="293">
        <v>531000</v>
      </c>
      <c r="H247" s="293">
        <v>595623.5</v>
      </c>
      <c r="I247" s="263">
        <v>46160</v>
      </c>
      <c r="J247" s="263">
        <v>46302</v>
      </c>
    </row>
    <row r="248" spans="1:10" x14ac:dyDescent="0.2">
      <c r="A248" t="s">
        <v>4353</v>
      </c>
      <c r="B248" t="s">
        <v>4351</v>
      </c>
      <c r="C248" t="s">
        <v>2605</v>
      </c>
      <c r="D248" t="s">
        <v>4852</v>
      </c>
      <c r="E248" t="s">
        <v>4352</v>
      </c>
      <c r="F248" t="s">
        <v>2633</v>
      </c>
      <c r="G248" s="293">
        <v>322400</v>
      </c>
      <c r="H248" s="293">
        <v>372480.48</v>
      </c>
      <c r="I248" s="263">
        <v>46318</v>
      </c>
      <c r="J248" s="263">
        <v>46847</v>
      </c>
    </row>
    <row r="249" spans="1:10" x14ac:dyDescent="0.2">
      <c r="A249" t="s">
        <v>4587</v>
      </c>
      <c r="B249" t="s">
        <v>4586</v>
      </c>
      <c r="C249" t="s">
        <v>2515</v>
      </c>
      <c r="D249" t="s">
        <v>4852</v>
      </c>
      <c r="E249" t="s">
        <v>4352</v>
      </c>
      <c r="F249" t="s">
        <v>4853</v>
      </c>
      <c r="G249" s="293">
        <v>302272</v>
      </c>
      <c r="H249" s="293">
        <v>342973.96</v>
      </c>
      <c r="I249" s="263">
        <v>45951</v>
      </c>
      <c r="J249" s="263">
        <v>46680</v>
      </c>
    </row>
    <row r="250" spans="1:10" x14ac:dyDescent="0.2">
      <c r="A250" t="s">
        <v>4344</v>
      </c>
      <c r="B250" t="s">
        <v>4342</v>
      </c>
      <c r="C250" t="s">
        <v>4854</v>
      </c>
      <c r="D250" t="s">
        <v>4855</v>
      </c>
      <c r="E250" t="s">
        <v>4343</v>
      </c>
      <c r="F250" t="s">
        <v>2684</v>
      </c>
      <c r="G250" s="293">
        <v>694200</v>
      </c>
      <c r="H250" s="293">
        <v>777790.7</v>
      </c>
      <c r="I250" s="263">
        <v>45951</v>
      </c>
      <c r="J250" s="263">
        <v>46042</v>
      </c>
    </row>
    <row r="251" spans="1:10" x14ac:dyDescent="0.2">
      <c r="A251" t="s">
        <v>4490</v>
      </c>
      <c r="B251" t="s">
        <v>4489</v>
      </c>
      <c r="C251" t="s">
        <v>4854</v>
      </c>
      <c r="D251" t="s">
        <v>4855</v>
      </c>
      <c r="E251" t="s">
        <v>4343</v>
      </c>
      <c r="F251" t="s">
        <v>4856</v>
      </c>
      <c r="G251" s="293">
        <v>250000</v>
      </c>
      <c r="H251" s="293">
        <v>280103.25</v>
      </c>
      <c r="I251" s="263">
        <v>45951</v>
      </c>
      <c r="J251" s="263">
        <v>46042</v>
      </c>
    </row>
    <row r="252" spans="1:10" x14ac:dyDescent="0.2">
      <c r="A252" t="s">
        <v>4261</v>
      </c>
      <c r="B252" t="s">
        <v>4259</v>
      </c>
      <c r="C252" t="s">
        <v>4854</v>
      </c>
      <c r="D252" t="s">
        <v>4857</v>
      </c>
      <c r="E252" t="s">
        <v>4260</v>
      </c>
      <c r="F252" t="s">
        <v>2680</v>
      </c>
      <c r="G252" s="293">
        <v>470600</v>
      </c>
      <c r="H252" s="293">
        <v>527266.36</v>
      </c>
      <c r="I252" s="263">
        <v>45951</v>
      </c>
      <c r="J252" s="263">
        <v>46042</v>
      </c>
    </row>
    <row r="253" spans="1:10" x14ac:dyDescent="0.2">
      <c r="A253" t="s">
        <v>4388</v>
      </c>
      <c r="B253" t="s">
        <v>4387</v>
      </c>
      <c r="C253" t="s">
        <v>4854</v>
      </c>
      <c r="D253" t="s">
        <v>4857</v>
      </c>
      <c r="E253" t="s">
        <v>4260</v>
      </c>
      <c r="F253" t="s">
        <v>2688</v>
      </c>
      <c r="G253" s="293">
        <v>1619200</v>
      </c>
      <c r="H253" s="293">
        <v>1814172.73</v>
      </c>
      <c r="I253" s="263">
        <v>45951</v>
      </c>
      <c r="J253" s="263">
        <v>46042</v>
      </c>
    </row>
    <row r="254" spans="1:10" x14ac:dyDescent="0.2">
      <c r="A254" t="s">
        <v>4399</v>
      </c>
      <c r="B254" t="s">
        <v>4397</v>
      </c>
      <c r="C254" t="s">
        <v>4854</v>
      </c>
      <c r="D254" t="s">
        <v>4858</v>
      </c>
      <c r="E254" t="s">
        <v>4398</v>
      </c>
      <c r="F254" t="s">
        <v>2692</v>
      </c>
      <c r="G254" s="293">
        <v>1628350</v>
      </c>
      <c r="H254" s="293">
        <v>1824424.51</v>
      </c>
      <c r="I254" s="263">
        <v>45951</v>
      </c>
      <c r="J254" s="263">
        <v>46042</v>
      </c>
    </row>
    <row r="255" spans="1:10" x14ac:dyDescent="0.2">
      <c r="A255" t="s">
        <v>4535</v>
      </c>
      <c r="B255" t="s">
        <v>4533</v>
      </c>
      <c r="C255" t="s">
        <v>4854</v>
      </c>
      <c r="D255" t="s">
        <v>4859</v>
      </c>
      <c r="E255" t="s">
        <v>4534</v>
      </c>
      <c r="F255" t="s">
        <v>2701</v>
      </c>
      <c r="G255" s="293">
        <v>991400</v>
      </c>
      <c r="H255" s="293">
        <v>1110777.45</v>
      </c>
      <c r="I255" s="263">
        <v>45951</v>
      </c>
      <c r="J255" s="263">
        <v>46042</v>
      </c>
    </row>
    <row r="256" spans="1:10" x14ac:dyDescent="0.2">
      <c r="A256" t="s">
        <v>3818</v>
      </c>
      <c r="B256" t="s">
        <v>3816</v>
      </c>
      <c r="C256" t="s">
        <v>4854</v>
      </c>
      <c r="D256" t="s">
        <v>4860</v>
      </c>
      <c r="E256" t="s">
        <v>3817</v>
      </c>
      <c r="F256" t="s">
        <v>2677</v>
      </c>
      <c r="G256" s="293">
        <v>3249650</v>
      </c>
      <c r="H256" s="293">
        <v>3640950.11</v>
      </c>
      <c r="I256" s="263">
        <v>45951</v>
      </c>
      <c r="J256" s="263">
        <v>46042</v>
      </c>
    </row>
    <row r="257" spans="1:10" x14ac:dyDescent="0.2">
      <c r="A257" t="s">
        <v>4491</v>
      </c>
      <c r="B257" t="s">
        <v>4489</v>
      </c>
      <c r="C257" t="s">
        <v>4854</v>
      </c>
      <c r="D257" t="s">
        <v>4860</v>
      </c>
      <c r="E257" t="s">
        <v>3817</v>
      </c>
      <c r="F257" t="s">
        <v>4861</v>
      </c>
      <c r="G257" s="293">
        <v>532648</v>
      </c>
      <c r="H257" s="293">
        <v>596785.74</v>
      </c>
      <c r="I257" s="263">
        <v>45951</v>
      </c>
      <c r="J257" s="263">
        <v>45964</v>
      </c>
    </row>
    <row r="258" spans="1:10" x14ac:dyDescent="0.2">
      <c r="A258" t="s">
        <v>4492</v>
      </c>
      <c r="B258" t="s">
        <v>4489</v>
      </c>
      <c r="C258" t="s">
        <v>4854</v>
      </c>
      <c r="D258" t="s">
        <v>4860</v>
      </c>
      <c r="E258" t="s">
        <v>3817</v>
      </c>
      <c r="F258" t="s">
        <v>4862</v>
      </c>
      <c r="G258" s="293">
        <v>291904</v>
      </c>
      <c r="H258" s="293">
        <v>327053.03999999998</v>
      </c>
      <c r="I258" s="263">
        <v>45951</v>
      </c>
      <c r="J258" s="263">
        <v>45964</v>
      </c>
    </row>
    <row r="259" spans="1:10" x14ac:dyDescent="0.2">
      <c r="A259" t="s">
        <v>4407</v>
      </c>
      <c r="B259" t="s">
        <v>4405</v>
      </c>
      <c r="C259" t="s">
        <v>175</v>
      </c>
      <c r="D259" t="s">
        <v>4863</v>
      </c>
      <c r="E259" t="s">
        <v>4406</v>
      </c>
      <c r="F259" t="s">
        <v>4864</v>
      </c>
      <c r="G259" s="293">
        <v>300000</v>
      </c>
      <c r="H259" s="293">
        <v>306900</v>
      </c>
      <c r="I259" s="263">
        <v>44747</v>
      </c>
      <c r="J259" s="263">
        <v>44804</v>
      </c>
    </row>
    <row r="260" spans="1:10" x14ac:dyDescent="0.2">
      <c r="A260" t="s">
        <v>4409</v>
      </c>
      <c r="B260" t="s">
        <v>4408</v>
      </c>
      <c r="C260" t="s">
        <v>175</v>
      </c>
      <c r="D260" t="s">
        <v>4863</v>
      </c>
      <c r="E260" t="s">
        <v>4406</v>
      </c>
      <c r="F260" t="s">
        <v>4865</v>
      </c>
      <c r="G260" s="293">
        <v>300000</v>
      </c>
      <c r="H260" s="293">
        <v>313958.7</v>
      </c>
      <c r="I260" s="263">
        <v>44904</v>
      </c>
      <c r="J260" s="263">
        <v>45085</v>
      </c>
    </row>
    <row r="261" spans="1:10" x14ac:dyDescent="0.2">
      <c r="A261" t="s">
        <v>4507</v>
      </c>
      <c r="B261" t="s">
        <v>4505</v>
      </c>
      <c r="C261" t="s">
        <v>175</v>
      </c>
      <c r="D261" t="s">
        <v>4866</v>
      </c>
      <c r="E261" t="s">
        <v>4506</v>
      </c>
      <c r="F261" t="s">
        <v>4867</v>
      </c>
      <c r="G261" s="293">
        <v>500000</v>
      </c>
      <c r="H261" s="293">
        <v>523328.52</v>
      </c>
      <c r="I261" s="263">
        <v>44931</v>
      </c>
      <c r="J261" s="263">
        <v>45201</v>
      </c>
    </row>
    <row r="262" spans="1:10" x14ac:dyDescent="0.2">
      <c r="A262" t="s">
        <v>4538</v>
      </c>
      <c r="B262" t="s">
        <v>4536</v>
      </c>
      <c r="C262" t="s">
        <v>3332</v>
      </c>
      <c r="D262" t="s">
        <v>3422</v>
      </c>
      <c r="E262" t="s">
        <v>4537</v>
      </c>
      <c r="F262" t="s">
        <v>4868</v>
      </c>
      <c r="G262" s="293">
        <v>1112608</v>
      </c>
      <c r="H262" s="293">
        <v>1170910.97</v>
      </c>
      <c r="I262" s="263">
        <v>44929</v>
      </c>
      <c r="J262" s="263">
        <v>45293</v>
      </c>
    </row>
    <row r="263" spans="1:10" x14ac:dyDescent="0.2">
      <c r="A263" t="s">
        <v>4708</v>
      </c>
      <c r="B263" t="s">
        <v>4707</v>
      </c>
      <c r="C263" t="s">
        <v>3332</v>
      </c>
      <c r="D263" t="s">
        <v>3422</v>
      </c>
      <c r="E263" t="s">
        <v>4537</v>
      </c>
      <c r="F263" t="s">
        <v>3425</v>
      </c>
      <c r="G263" s="293">
        <v>1900000</v>
      </c>
      <c r="H263" s="293">
        <v>1992532.26</v>
      </c>
      <c r="I263" s="263">
        <v>44810</v>
      </c>
      <c r="J263" s="263">
        <v>45271</v>
      </c>
    </row>
    <row r="264" spans="1:10" x14ac:dyDescent="0.2">
      <c r="A264" t="s">
        <v>4710</v>
      </c>
      <c r="B264" t="s">
        <v>4709</v>
      </c>
      <c r="C264" t="s">
        <v>3332</v>
      </c>
      <c r="D264" t="s">
        <v>3422</v>
      </c>
      <c r="E264" t="s">
        <v>4537</v>
      </c>
      <c r="F264" t="s">
        <v>3429</v>
      </c>
      <c r="G264" s="293">
        <v>800000</v>
      </c>
      <c r="H264" s="293">
        <v>835792.64</v>
      </c>
      <c r="I264" s="263">
        <v>44810</v>
      </c>
      <c r="J264" s="263">
        <v>45174</v>
      </c>
    </row>
    <row r="265" spans="1:10" x14ac:dyDescent="0.2">
      <c r="A265" t="s">
        <v>4529</v>
      </c>
      <c r="B265" t="s">
        <v>4527</v>
      </c>
      <c r="C265" t="s">
        <v>3332</v>
      </c>
      <c r="D265" t="s">
        <v>4869</v>
      </c>
      <c r="E265" t="s">
        <v>4528</v>
      </c>
      <c r="F265" t="s">
        <v>4870</v>
      </c>
      <c r="G265" s="293">
        <v>330000</v>
      </c>
      <c r="H265" s="293">
        <v>347042.48</v>
      </c>
      <c r="I265" s="263">
        <v>44929</v>
      </c>
      <c r="J265" s="263">
        <v>45275</v>
      </c>
    </row>
    <row r="266" spans="1:10" x14ac:dyDescent="0.2">
      <c r="A266" t="s">
        <v>3944</v>
      </c>
      <c r="B266" t="s">
        <v>3942</v>
      </c>
      <c r="C266" t="s">
        <v>175</v>
      </c>
      <c r="D266" t="s">
        <v>4871</v>
      </c>
      <c r="E266" t="s">
        <v>3943</v>
      </c>
      <c r="F266" t="s">
        <v>4872</v>
      </c>
      <c r="G266" s="293">
        <v>3938449</v>
      </c>
      <c r="H266" s="293">
        <v>4401888.26</v>
      </c>
      <c r="I266" s="263">
        <v>45824</v>
      </c>
      <c r="J266" s="263">
        <v>46346</v>
      </c>
    </row>
    <row r="267" spans="1:10" x14ac:dyDescent="0.2">
      <c r="A267" t="s">
        <v>4163</v>
      </c>
      <c r="B267" t="s">
        <v>4161</v>
      </c>
      <c r="C267" t="s">
        <v>175</v>
      </c>
      <c r="D267" t="s">
        <v>4873</v>
      </c>
      <c r="E267" t="s">
        <v>4162</v>
      </c>
      <c r="F267" t="s">
        <v>4874</v>
      </c>
      <c r="G267" s="293">
        <v>1774379</v>
      </c>
      <c r="H267" s="293">
        <v>2003743.65</v>
      </c>
      <c r="I267" s="263">
        <v>45951</v>
      </c>
      <c r="J267" s="263">
        <v>46479</v>
      </c>
    </row>
    <row r="268" spans="1:10" x14ac:dyDescent="0.2">
      <c r="A268" t="s">
        <v>4166</v>
      </c>
      <c r="B268" t="s">
        <v>4164</v>
      </c>
      <c r="C268" t="s">
        <v>175</v>
      </c>
      <c r="D268" t="s">
        <v>4875</v>
      </c>
      <c r="E268" t="s">
        <v>4165</v>
      </c>
      <c r="F268" t="s">
        <v>4876</v>
      </c>
      <c r="G268" s="293">
        <v>20507918</v>
      </c>
      <c r="H268" s="293">
        <v>23790368.940000001</v>
      </c>
      <c r="I268" s="263">
        <v>46482</v>
      </c>
      <c r="J268" s="263">
        <v>46868</v>
      </c>
    </row>
    <row r="269" spans="1:10" x14ac:dyDescent="0.2">
      <c r="A269" t="s">
        <v>3702</v>
      </c>
      <c r="B269" t="s">
        <v>3700</v>
      </c>
      <c r="C269" t="s">
        <v>175</v>
      </c>
      <c r="D269" t="s">
        <v>4877</v>
      </c>
      <c r="E269" t="s">
        <v>3701</v>
      </c>
      <c r="F269" t="s">
        <v>4878</v>
      </c>
      <c r="G269" s="293">
        <v>2005880</v>
      </c>
      <c r="H269" s="293">
        <v>2228465.98</v>
      </c>
      <c r="I269" s="263">
        <v>45737</v>
      </c>
      <c r="J269" s="263">
        <v>46259</v>
      </c>
    </row>
    <row r="270" spans="1:10" x14ac:dyDescent="0.2">
      <c r="A270" t="s">
        <v>3705</v>
      </c>
      <c r="B270" t="s">
        <v>3703</v>
      </c>
      <c r="C270" t="s">
        <v>175</v>
      </c>
      <c r="D270" t="s">
        <v>4879</v>
      </c>
      <c r="E270" t="s">
        <v>3704</v>
      </c>
      <c r="F270" t="s">
        <v>4880</v>
      </c>
      <c r="G270" s="293">
        <v>2916101</v>
      </c>
      <c r="H270" s="293">
        <v>3334145.49</v>
      </c>
      <c r="I270" s="263">
        <v>46260</v>
      </c>
      <c r="J270" s="263">
        <v>46594</v>
      </c>
    </row>
    <row r="271" spans="1:10" x14ac:dyDescent="0.2">
      <c r="A271" t="s">
        <v>3872</v>
      </c>
      <c r="B271" t="s">
        <v>3871</v>
      </c>
      <c r="C271" t="s">
        <v>175</v>
      </c>
      <c r="D271" t="s">
        <v>4879</v>
      </c>
      <c r="E271" t="s">
        <v>3704</v>
      </c>
      <c r="F271" t="s">
        <v>4881</v>
      </c>
      <c r="G271" s="293">
        <v>11664404</v>
      </c>
      <c r="H271" s="293">
        <v>13680970.66</v>
      </c>
      <c r="I271" s="263">
        <v>46681</v>
      </c>
      <c r="J271" s="263">
        <v>47030</v>
      </c>
    </row>
    <row r="272" spans="1:10" x14ac:dyDescent="0.2">
      <c r="A272" t="s">
        <v>4683</v>
      </c>
      <c r="B272" t="s">
        <v>4682</v>
      </c>
      <c r="C272" t="s">
        <v>175</v>
      </c>
      <c r="D272" t="s">
        <v>4879</v>
      </c>
      <c r="E272" t="s">
        <v>3704</v>
      </c>
      <c r="F272" t="s">
        <v>4882</v>
      </c>
      <c r="G272" s="293">
        <v>1458050</v>
      </c>
      <c r="H272" s="293">
        <v>1679520.16</v>
      </c>
      <c r="I272" s="263">
        <v>46595</v>
      </c>
      <c r="J272" s="263">
        <v>46680</v>
      </c>
    </row>
    <row r="273" spans="1:10" x14ac:dyDescent="0.2">
      <c r="A273" t="s">
        <v>3827</v>
      </c>
      <c r="B273" t="s">
        <v>3825</v>
      </c>
      <c r="C273" t="s">
        <v>175</v>
      </c>
      <c r="D273" t="s">
        <v>4883</v>
      </c>
      <c r="E273" t="s">
        <v>3826</v>
      </c>
      <c r="F273" t="s">
        <v>4884</v>
      </c>
      <c r="G273" s="293">
        <v>1388339</v>
      </c>
      <c r="H273" s="293">
        <v>1602446.52</v>
      </c>
      <c r="I273" s="263">
        <v>46476</v>
      </c>
      <c r="J273" s="263">
        <v>46748</v>
      </c>
    </row>
    <row r="274" spans="1:10" x14ac:dyDescent="0.2">
      <c r="A274" t="s">
        <v>3830</v>
      </c>
      <c r="B274" t="s">
        <v>3828</v>
      </c>
      <c r="C274" t="s">
        <v>175</v>
      </c>
      <c r="D274" t="s">
        <v>4885</v>
      </c>
      <c r="E274" t="s">
        <v>3829</v>
      </c>
      <c r="F274" t="s">
        <v>4886</v>
      </c>
      <c r="G274" s="293">
        <v>2252783</v>
      </c>
      <c r="H274" s="293">
        <v>2641489.44</v>
      </c>
      <c r="I274" s="263">
        <v>46749</v>
      </c>
      <c r="J274" s="263">
        <v>46980</v>
      </c>
    </row>
    <row r="275" spans="1:10" x14ac:dyDescent="0.2">
      <c r="A275" t="s">
        <v>3947</v>
      </c>
      <c r="B275" t="s">
        <v>3945</v>
      </c>
      <c r="C275" t="s">
        <v>175</v>
      </c>
      <c r="D275" t="s">
        <v>4887</v>
      </c>
      <c r="E275" t="s">
        <v>3946</v>
      </c>
      <c r="F275" t="s">
        <v>4888</v>
      </c>
      <c r="G275" s="293">
        <v>9443795</v>
      </c>
      <c r="H275" s="293">
        <v>10838512.220000001</v>
      </c>
      <c r="I275" s="263">
        <v>46349</v>
      </c>
      <c r="J275" s="263">
        <v>46680</v>
      </c>
    </row>
    <row r="276" spans="1:10" x14ac:dyDescent="0.2">
      <c r="A276" t="s">
        <v>3933</v>
      </c>
      <c r="B276" t="s">
        <v>3931</v>
      </c>
      <c r="C276" t="s">
        <v>175</v>
      </c>
      <c r="D276" t="s">
        <v>4889</v>
      </c>
      <c r="E276" t="s">
        <v>3932</v>
      </c>
      <c r="F276" t="s">
        <v>4890</v>
      </c>
      <c r="G276" s="293">
        <v>1991815</v>
      </c>
      <c r="H276" s="293">
        <v>2260028.9900000002</v>
      </c>
      <c r="I276" s="263">
        <v>46065</v>
      </c>
      <c r="J276" s="263">
        <v>46588</v>
      </c>
    </row>
    <row r="277" spans="1:10" x14ac:dyDescent="0.2">
      <c r="A277" t="s">
        <v>3935</v>
      </c>
      <c r="B277" t="s">
        <v>3934</v>
      </c>
      <c r="C277" t="s">
        <v>175</v>
      </c>
      <c r="D277" t="s">
        <v>4889</v>
      </c>
      <c r="E277" t="s">
        <v>3932</v>
      </c>
      <c r="F277" t="s">
        <v>4891</v>
      </c>
      <c r="G277" s="293">
        <v>7784805</v>
      </c>
      <c r="H277" s="293">
        <v>9082129.0299999993</v>
      </c>
      <c r="I277" s="263">
        <v>46589</v>
      </c>
      <c r="J277" s="263">
        <v>46920</v>
      </c>
    </row>
    <row r="278" spans="1:10" x14ac:dyDescent="0.2">
      <c r="A278" t="s">
        <v>4521</v>
      </c>
      <c r="B278" t="s">
        <v>4519</v>
      </c>
      <c r="C278" t="s">
        <v>175</v>
      </c>
      <c r="D278" t="s">
        <v>4892</v>
      </c>
      <c r="E278" t="s">
        <v>4520</v>
      </c>
      <c r="F278" t="s">
        <v>4893</v>
      </c>
      <c r="G278" s="293">
        <v>700000</v>
      </c>
      <c r="H278" s="293">
        <v>774101.14</v>
      </c>
      <c r="I278" s="263">
        <v>45670</v>
      </c>
      <c r="J278" s="263">
        <v>46127</v>
      </c>
    </row>
    <row r="279" spans="1:10" x14ac:dyDescent="0.2">
      <c r="A279" t="s">
        <v>4501</v>
      </c>
      <c r="B279" t="s">
        <v>4499</v>
      </c>
      <c r="C279" t="s">
        <v>3332</v>
      </c>
      <c r="D279" t="s">
        <v>4894</v>
      </c>
      <c r="E279" t="s">
        <v>4500</v>
      </c>
      <c r="F279" t="s">
        <v>4895</v>
      </c>
      <c r="G279" s="293">
        <v>750000</v>
      </c>
      <c r="H279" s="293">
        <v>816902.85</v>
      </c>
      <c r="I279" s="263">
        <v>45455</v>
      </c>
      <c r="J279" s="263">
        <v>45912</v>
      </c>
    </row>
    <row r="280" spans="1:10" x14ac:dyDescent="0.2">
      <c r="A280" t="s">
        <v>4504</v>
      </c>
      <c r="B280" t="s">
        <v>4502</v>
      </c>
      <c r="C280" t="s">
        <v>3332</v>
      </c>
      <c r="D280" t="s">
        <v>4896</v>
      </c>
      <c r="E280" t="s">
        <v>4503</v>
      </c>
      <c r="F280" t="s">
        <v>4897</v>
      </c>
      <c r="G280" s="293">
        <v>400000</v>
      </c>
      <c r="H280" s="293">
        <v>443846.91</v>
      </c>
      <c r="I280" s="263">
        <v>45737</v>
      </c>
      <c r="J280" s="263">
        <v>46195</v>
      </c>
    </row>
    <row r="281" spans="1:10" x14ac:dyDescent="0.2">
      <c r="A281" t="s">
        <v>4383</v>
      </c>
      <c r="B281" t="s">
        <v>4381</v>
      </c>
      <c r="C281" t="s">
        <v>3332</v>
      </c>
      <c r="D281" t="s">
        <v>4898</v>
      </c>
      <c r="E281" t="s">
        <v>4382</v>
      </c>
      <c r="F281" t="s">
        <v>4899</v>
      </c>
      <c r="G281" s="293">
        <v>150000</v>
      </c>
      <c r="H281" s="293">
        <v>158611.29999999999</v>
      </c>
      <c r="I281" s="263">
        <v>45005</v>
      </c>
      <c r="J281" s="263">
        <v>45369</v>
      </c>
    </row>
    <row r="282" spans="1:10" x14ac:dyDescent="0.2">
      <c r="A282" t="s">
        <v>4386</v>
      </c>
      <c r="B282" t="s">
        <v>4384</v>
      </c>
      <c r="C282" t="s">
        <v>3332</v>
      </c>
      <c r="D282" t="s">
        <v>4900</v>
      </c>
      <c r="E282" t="s">
        <v>4385</v>
      </c>
      <c r="F282" t="s">
        <v>4901</v>
      </c>
      <c r="G282" s="293">
        <v>150000</v>
      </c>
      <c r="H282" s="293">
        <v>171927.45</v>
      </c>
      <c r="I282" s="263">
        <v>46323</v>
      </c>
      <c r="J282" s="263">
        <v>46506</v>
      </c>
    </row>
    <row r="283" spans="1:10" x14ac:dyDescent="0.2">
      <c r="A283" t="s">
        <v>4656</v>
      </c>
      <c r="B283" t="s">
        <v>4654</v>
      </c>
      <c r="C283" t="s">
        <v>3332</v>
      </c>
      <c r="D283" t="s">
        <v>4902</v>
      </c>
      <c r="E283" t="s">
        <v>4655</v>
      </c>
      <c r="F283" t="s">
        <v>4903</v>
      </c>
      <c r="G283" s="293">
        <v>700000</v>
      </c>
      <c r="H283" s="293">
        <v>759050.02</v>
      </c>
      <c r="I283" s="263">
        <v>45366</v>
      </c>
      <c r="J283" s="263">
        <v>45824</v>
      </c>
    </row>
    <row r="284" spans="1:10" x14ac:dyDescent="0.2">
      <c r="A284" t="s">
        <v>4659</v>
      </c>
      <c r="B284" t="s">
        <v>4657</v>
      </c>
      <c r="C284" t="s">
        <v>3332</v>
      </c>
      <c r="D284" t="s">
        <v>3372</v>
      </c>
      <c r="E284" t="s">
        <v>4658</v>
      </c>
      <c r="F284" t="s">
        <v>4904</v>
      </c>
      <c r="G284" s="293">
        <v>700000</v>
      </c>
      <c r="H284" s="293">
        <v>784289.1</v>
      </c>
      <c r="I284" s="263">
        <v>46001</v>
      </c>
      <c r="J284" s="263">
        <v>46275</v>
      </c>
    </row>
    <row r="285" spans="1:10" x14ac:dyDescent="0.2">
      <c r="A285" t="s">
        <v>4662</v>
      </c>
      <c r="B285" t="s">
        <v>4660</v>
      </c>
      <c r="C285" t="s">
        <v>3332</v>
      </c>
      <c r="D285" t="s">
        <v>4905</v>
      </c>
      <c r="E285" t="s">
        <v>4661</v>
      </c>
      <c r="F285" t="s">
        <v>4906</v>
      </c>
      <c r="G285" s="293">
        <v>700000</v>
      </c>
      <c r="H285" s="293">
        <v>768744.89</v>
      </c>
      <c r="I285" s="263">
        <v>45546</v>
      </c>
      <c r="J285" s="263">
        <v>46007</v>
      </c>
    </row>
    <row r="286" spans="1:10" x14ac:dyDescent="0.2">
      <c r="A286" t="s">
        <v>4665</v>
      </c>
      <c r="B286" t="s">
        <v>4663</v>
      </c>
      <c r="C286" t="s">
        <v>3332</v>
      </c>
      <c r="D286" t="s">
        <v>3392</v>
      </c>
      <c r="E286" t="s">
        <v>4664</v>
      </c>
      <c r="F286" t="s">
        <v>4907</v>
      </c>
      <c r="G286" s="293">
        <v>700000</v>
      </c>
      <c r="H286" s="293">
        <v>794827.67</v>
      </c>
      <c r="I286" s="263">
        <v>46183</v>
      </c>
      <c r="J286" s="263">
        <v>46462</v>
      </c>
    </row>
    <row r="287" spans="1:10" x14ac:dyDescent="0.2">
      <c r="A287" t="s">
        <v>4668</v>
      </c>
      <c r="B287" t="s">
        <v>4666</v>
      </c>
      <c r="C287" t="s">
        <v>3332</v>
      </c>
      <c r="D287" t="s">
        <v>4908</v>
      </c>
      <c r="E287" t="s">
        <v>4667</v>
      </c>
      <c r="F287" t="s">
        <v>4909</v>
      </c>
      <c r="G287" s="293">
        <v>125000</v>
      </c>
      <c r="H287" s="293">
        <v>139107</v>
      </c>
      <c r="I287" s="263">
        <v>45824</v>
      </c>
      <c r="J287" s="263">
        <v>46188</v>
      </c>
    </row>
    <row r="288" spans="1:10" x14ac:dyDescent="0.2">
      <c r="A288" t="s">
        <v>4671</v>
      </c>
      <c r="B288" t="s">
        <v>4669</v>
      </c>
      <c r="C288" t="s">
        <v>3332</v>
      </c>
      <c r="D288" t="s">
        <v>3345</v>
      </c>
      <c r="E288" t="s">
        <v>4670</v>
      </c>
      <c r="F288" t="s">
        <v>4910</v>
      </c>
      <c r="G288" s="293">
        <v>750000</v>
      </c>
      <c r="H288" s="293">
        <v>870500.71</v>
      </c>
      <c r="I288" s="263">
        <v>46365</v>
      </c>
      <c r="J288" s="263">
        <v>47025</v>
      </c>
    </row>
    <row r="289" spans="1:10" x14ac:dyDescent="0.2">
      <c r="A289" t="s">
        <v>4518</v>
      </c>
      <c r="B289" t="s">
        <v>4516</v>
      </c>
      <c r="C289" t="s">
        <v>3332</v>
      </c>
      <c r="D289" t="s">
        <v>4911</v>
      </c>
      <c r="E289" t="s">
        <v>4517</v>
      </c>
      <c r="F289" t="s">
        <v>4912</v>
      </c>
      <c r="G289" s="293">
        <v>875000</v>
      </c>
      <c r="H289" s="293">
        <v>1073714.25</v>
      </c>
      <c r="I289" s="263">
        <v>47402</v>
      </c>
      <c r="J289" s="263">
        <v>11155</v>
      </c>
    </row>
    <row r="290" spans="1:10" x14ac:dyDescent="0.2">
      <c r="A290" t="s">
        <v>4202</v>
      </c>
      <c r="B290" t="s">
        <v>4200</v>
      </c>
      <c r="C290" t="s">
        <v>3332</v>
      </c>
      <c r="D290" t="s">
        <v>3329</v>
      </c>
      <c r="E290" t="s">
        <v>4201</v>
      </c>
      <c r="F290" t="s">
        <v>4913</v>
      </c>
      <c r="G290" s="293">
        <v>10000000</v>
      </c>
      <c r="H290" s="293">
        <v>11018953.51</v>
      </c>
      <c r="I290" s="263">
        <v>45569</v>
      </c>
      <c r="J290" s="263">
        <v>46064</v>
      </c>
    </row>
    <row r="291" spans="1:10" x14ac:dyDescent="0.2">
      <c r="A291" t="s">
        <v>4204</v>
      </c>
      <c r="B291" t="s">
        <v>4203</v>
      </c>
      <c r="C291" t="s">
        <v>3332</v>
      </c>
      <c r="D291" t="s">
        <v>3329</v>
      </c>
      <c r="E291" t="s">
        <v>4201</v>
      </c>
      <c r="F291" t="s">
        <v>4914</v>
      </c>
      <c r="G291" s="293">
        <v>23457190</v>
      </c>
      <c r="H291" s="293">
        <v>26649271.629999999</v>
      </c>
      <c r="I291" s="263">
        <v>46155</v>
      </c>
      <c r="J291" s="263">
        <v>46519</v>
      </c>
    </row>
    <row r="292" spans="1:10" x14ac:dyDescent="0.2">
      <c r="A292" t="s">
        <v>4206</v>
      </c>
      <c r="B292" t="s">
        <v>4205</v>
      </c>
      <c r="C292" t="s">
        <v>3332</v>
      </c>
      <c r="D292" t="s">
        <v>3329</v>
      </c>
      <c r="E292" t="s">
        <v>4201</v>
      </c>
      <c r="F292" t="s">
        <v>4915</v>
      </c>
      <c r="G292" s="293">
        <v>41312603</v>
      </c>
      <c r="H292" s="293">
        <v>48362472.119999997</v>
      </c>
      <c r="I292" s="263">
        <v>46637</v>
      </c>
      <c r="J292" s="263">
        <v>47001</v>
      </c>
    </row>
    <row r="293" spans="1:10" x14ac:dyDescent="0.2">
      <c r="A293" t="s">
        <v>4049</v>
      </c>
      <c r="B293" t="s">
        <v>4047</v>
      </c>
      <c r="C293" t="s">
        <v>3332</v>
      </c>
      <c r="D293" t="s">
        <v>3360</v>
      </c>
      <c r="E293" t="s">
        <v>4048</v>
      </c>
      <c r="F293" t="s">
        <v>3363</v>
      </c>
      <c r="G293" s="293">
        <v>956580</v>
      </c>
      <c r="H293" s="293">
        <v>1113908.8600000001</v>
      </c>
      <c r="I293" s="263">
        <v>46563</v>
      </c>
      <c r="J293" s="263">
        <v>46888</v>
      </c>
    </row>
    <row r="294" spans="1:10" x14ac:dyDescent="0.2">
      <c r="A294" t="s">
        <v>4051</v>
      </c>
      <c r="B294" t="s">
        <v>4050</v>
      </c>
      <c r="C294" t="s">
        <v>3332</v>
      </c>
      <c r="D294" t="s">
        <v>3360</v>
      </c>
      <c r="E294" t="s">
        <v>4048</v>
      </c>
      <c r="F294" t="s">
        <v>3365</v>
      </c>
      <c r="G294" s="293">
        <v>5739480</v>
      </c>
      <c r="H294" s="293">
        <v>6879421.46</v>
      </c>
      <c r="I294" s="263">
        <v>47024</v>
      </c>
      <c r="J294" s="263">
        <v>47114</v>
      </c>
    </row>
    <row r="295" spans="1:10" x14ac:dyDescent="0.2">
      <c r="A295" t="s">
        <v>3844</v>
      </c>
      <c r="B295" t="s">
        <v>3842</v>
      </c>
      <c r="C295" t="s">
        <v>3332</v>
      </c>
      <c r="D295" t="s">
        <v>3386</v>
      </c>
      <c r="E295" t="s">
        <v>3843</v>
      </c>
      <c r="F295" t="s">
        <v>3391</v>
      </c>
      <c r="G295" s="293">
        <v>3171665</v>
      </c>
      <c r="H295" s="293">
        <v>3665169.73</v>
      </c>
      <c r="I295" s="263">
        <v>46346</v>
      </c>
      <c r="J295" s="263">
        <v>46840</v>
      </c>
    </row>
    <row r="296" spans="1:10" x14ac:dyDescent="0.2">
      <c r="A296" t="s">
        <v>4679</v>
      </c>
      <c r="B296" t="s">
        <v>4677</v>
      </c>
      <c r="C296" t="s">
        <v>3332</v>
      </c>
      <c r="D296" t="s">
        <v>3386</v>
      </c>
      <c r="E296" t="s">
        <v>3843</v>
      </c>
      <c r="F296" t="s">
        <v>3389</v>
      </c>
      <c r="G296" s="293">
        <v>453095</v>
      </c>
      <c r="H296" s="293">
        <v>507653.53</v>
      </c>
      <c r="I296" s="263">
        <v>46094</v>
      </c>
      <c r="J296" s="263">
        <v>46273</v>
      </c>
    </row>
    <row r="297" spans="1:10" x14ac:dyDescent="0.2">
      <c r="A297" t="s">
        <v>4630</v>
      </c>
      <c r="B297" t="s">
        <v>4628</v>
      </c>
      <c r="C297" t="s">
        <v>3332</v>
      </c>
      <c r="D297" t="s">
        <v>3438</v>
      </c>
      <c r="E297" t="s">
        <v>4629</v>
      </c>
      <c r="F297" t="s">
        <v>4916</v>
      </c>
      <c r="G297" s="293">
        <v>648928</v>
      </c>
      <c r="H297" s="293">
        <v>719115.02</v>
      </c>
      <c r="I297" s="263">
        <v>45776</v>
      </c>
      <c r="J297" s="263">
        <v>46100</v>
      </c>
    </row>
    <row r="298" spans="1:10" x14ac:dyDescent="0.2">
      <c r="A298" t="s">
        <v>4632</v>
      </c>
      <c r="B298" t="s">
        <v>4631</v>
      </c>
      <c r="C298" t="s">
        <v>3332</v>
      </c>
      <c r="D298" t="s">
        <v>3438</v>
      </c>
      <c r="E298" t="s">
        <v>4629</v>
      </c>
      <c r="F298" t="s">
        <v>3443</v>
      </c>
      <c r="G298" s="293">
        <v>1297856</v>
      </c>
      <c r="H298" s="293">
        <v>1454134.73</v>
      </c>
      <c r="I298" s="263">
        <v>46188</v>
      </c>
      <c r="J298" s="263">
        <v>46274</v>
      </c>
    </row>
    <row r="299" spans="1:10" x14ac:dyDescent="0.2">
      <c r="A299" t="s">
        <v>4570</v>
      </c>
      <c r="B299" t="s">
        <v>4568</v>
      </c>
      <c r="C299" t="s">
        <v>3332</v>
      </c>
      <c r="D299" t="s">
        <v>3434</v>
      </c>
      <c r="E299" t="s">
        <v>4569</v>
      </c>
      <c r="F299" t="s">
        <v>3437</v>
      </c>
      <c r="G299" s="293">
        <v>648928</v>
      </c>
      <c r="H299" s="293">
        <v>727067.37</v>
      </c>
      <c r="I299" s="263">
        <v>46003</v>
      </c>
      <c r="J299" s="263">
        <v>46184</v>
      </c>
    </row>
    <row r="300" spans="1:10" x14ac:dyDescent="0.2">
      <c r="A300" t="s">
        <v>3803</v>
      </c>
      <c r="B300" t="s">
        <v>3801</v>
      </c>
      <c r="C300" t="s">
        <v>3332</v>
      </c>
      <c r="D300" t="s">
        <v>3377</v>
      </c>
      <c r="E300" t="s">
        <v>3802</v>
      </c>
      <c r="F300" t="s">
        <v>4917</v>
      </c>
      <c r="G300" s="293">
        <v>563771</v>
      </c>
      <c r="H300" s="293">
        <v>623020.38</v>
      </c>
      <c r="I300" s="263">
        <v>45737</v>
      </c>
      <c r="J300" s="263">
        <v>46062</v>
      </c>
    </row>
    <row r="301" spans="1:10" x14ac:dyDescent="0.2">
      <c r="A301" t="s">
        <v>3805</v>
      </c>
      <c r="B301" t="s">
        <v>3804</v>
      </c>
      <c r="C301" t="s">
        <v>3332</v>
      </c>
      <c r="D301" t="s">
        <v>3377</v>
      </c>
      <c r="E301" t="s">
        <v>3802</v>
      </c>
      <c r="F301" t="s">
        <v>3382</v>
      </c>
      <c r="G301" s="293">
        <v>3946400</v>
      </c>
      <c r="H301" s="293">
        <v>4421597.8600000003</v>
      </c>
      <c r="I301" s="263">
        <v>46148</v>
      </c>
      <c r="J301" s="263">
        <v>46234</v>
      </c>
    </row>
    <row r="302" spans="1:10" x14ac:dyDescent="0.2">
      <c r="A302" t="s">
        <v>3774</v>
      </c>
      <c r="B302" t="s">
        <v>3772</v>
      </c>
      <c r="C302" t="s">
        <v>3332</v>
      </c>
      <c r="D302" t="s">
        <v>3366</v>
      </c>
      <c r="E302" t="s">
        <v>3773</v>
      </c>
      <c r="F302" t="s">
        <v>4918</v>
      </c>
      <c r="G302" s="293">
        <v>563771</v>
      </c>
      <c r="H302" s="293">
        <v>639378.65</v>
      </c>
      <c r="I302" s="263">
        <v>46147</v>
      </c>
      <c r="J302" s="263">
        <v>46471</v>
      </c>
    </row>
    <row r="303" spans="1:10" x14ac:dyDescent="0.2">
      <c r="A303" t="s">
        <v>3776</v>
      </c>
      <c r="B303" t="s">
        <v>3775</v>
      </c>
      <c r="C303" t="s">
        <v>3332</v>
      </c>
      <c r="D303" t="s">
        <v>3366</v>
      </c>
      <c r="E303" t="s">
        <v>3773</v>
      </c>
      <c r="F303" t="s">
        <v>3371</v>
      </c>
      <c r="G303" s="293">
        <v>2818857</v>
      </c>
      <c r="H303" s="293">
        <v>3230925.97</v>
      </c>
      <c r="I303" s="263">
        <v>46559</v>
      </c>
      <c r="J303" s="263">
        <v>46645</v>
      </c>
    </row>
    <row r="304" spans="1:10" x14ac:dyDescent="0.2">
      <c r="A304" t="s">
        <v>4510</v>
      </c>
      <c r="B304" t="s">
        <v>4508</v>
      </c>
      <c r="C304" t="s">
        <v>3332</v>
      </c>
      <c r="D304" t="s">
        <v>3408</v>
      </c>
      <c r="E304" t="s">
        <v>4509</v>
      </c>
      <c r="F304" t="s">
        <v>4919</v>
      </c>
      <c r="G304" s="293">
        <v>324246</v>
      </c>
      <c r="H304" s="293">
        <v>362769.99</v>
      </c>
      <c r="I304" s="263">
        <v>45824</v>
      </c>
      <c r="J304" s="263">
        <v>46371</v>
      </c>
    </row>
    <row r="305" spans="1:10" x14ac:dyDescent="0.2">
      <c r="A305" t="s">
        <v>4512</v>
      </c>
      <c r="B305" t="s">
        <v>4511</v>
      </c>
      <c r="C305" t="s">
        <v>3332</v>
      </c>
      <c r="D305" t="s">
        <v>3408</v>
      </c>
      <c r="E305" t="s">
        <v>4509</v>
      </c>
      <c r="F305" t="s">
        <v>3413</v>
      </c>
      <c r="G305" s="293">
        <v>324246</v>
      </c>
      <c r="H305" s="293">
        <v>373696.72</v>
      </c>
      <c r="I305" s="263">
        <v>46525</v>
      </c>
      <c r="J305" s="263">
        <v>46706</v>
      </c>
    </row>
    <row r="306" spans="1:10" x14ac:dyDescent="0.2">
      <c r="A306" t="s">
        <v>4515</v>
      </c>
      <c r="B306" t="s">
        <v>4513</v>
      </c>
      <c r="C306" t="s">
        <v>3332</v>
      </c>
      <c r="D306" t="s">
        <v>3414</v>
      </c>
      <c r="E306" t="s">
        <v>4514</v>
      </c>
      <c r="F306" t="s">
        <v>3417</v>
      </c>
      <c r="G306" s="293">
        <v>324246</v>
      </c>
      <c r="H306" s="293">
        <v>362769.99</v>
      </c>
      <c r="I306" s="263">
        <v>45824</v>
      </c>
      <c r="J306" s="263">
        <v>46371</v>
      </c>
    </row>
    <row r="307" spans="1:10" x14ac:dyDescent="0.2">
      <c r="A307" t="s">
        <v>4674</v>
      </c>
      <c r="B307" t="s">
        <v>4672</v>
      </c>
      <c r="C307" t="s">
        <v>3332</v>
      </c>
      <c r="D307" t="s">
        <v>3456</v>
      </c>
      <c r="E307" t="s">
        <v>4673</v>
      </c>
      <c r="F307" t="s">
        <v>3459</v>
      </c>
      <c r="G307" s="293">
        <v>525440</v>
      </c>
      <c r="H307" s="293">
        <v>582568.38</v>
      </c>
      <c r="I307" s="263">
        <v>45681</v>
      </c>
      <c r="J307" s="263">
        <v>46225</v>
      </c>
    </row>
    <row r="308" spans="1:10" x14ac:dyDescent="0.2">
      <c r="A308" t="s">
        <v>4676</v>
      </c>
      <c r="B308" t="s">
        <v>4675</v>
      </c>
      <c r="C308" t="s">
        <v>3332</v>
      </c>
      <c r="D308" t="s">
        <v>3456</v>
      </c>
      <c r="E308" t="s">
        <v>4673</v>
      </c>
      <c r="F308" t="s">
        <v>3461</v>
      </c>
      <c r="G308" s="293">
        <v>525440</v>
      </c>
      <c r="H308" s="293">
        <v>602250.4</v>
      </c>
      <c r="I308" s="263">
        <v>46413</v>
      </c>
      <c r="J308" s="263">
        <v>46590</v>
      </c>
    </row>
    <row r="309" spans="1:10" x14ac:dyDescent="0.2">
      <c r="A309" t="s">
        <v>4642</v>
      </c>
      <c r="B309" t="s">
        <v>4640</v>
      </c>
      <c r="C309" t="s">
        <v>3332</v>
      </c>
      <c r="D309" t="s">
        <v>3444</v>
      </c>
      <c r="E309" t="s">
        <v>4641</v>
      </c>
      <c r="F309" t="s">
        <v>3447</v>
      </c>
      <c r="G309" s="293">
        <v>525440</v>
      </c>
      <c r="H309" s="293">
        <v>570678.13</v>
      </c>
      <c r="I309" s="263">
        <v>45366</v>
      </c>
      <c r="J309" s="263">
        <v>45910</v>
      </c>
    </row>
    <row r="310" spans="1:10" x14ac:dyDescent="0.2">
      <c r="A310" t="s">
        <v>4644</v>
      </c>
      <c r="B310" t="s">
        <v>4643</v>
      </c>
      <c r="C310" t="s">
        <v>3332</v>
      </c>
      <c r="D310" t="s">
        <v>3444</v>
      </c>
      <c r="E310" t="s">
        <v>4641</v>
      </c>
      <c r="F310" t="s">
        <v>3449</v>
      </c>
      <c r="G310" s="293">
        <v>525440</v>
      </c>
      <c r="H310" s="293">
        <v>588709.81000000006</v>
      </c>
      <c r="I310" s="263">
        <v>46098</v>
      </c>
      <c r="J310" s="263">
        <v>46275</v>
      </c>
    </row>
    <row r="311" spans="1:10" x14ac:dyDescent="0.2">
      <c r="A311" t="s">
        <v>4647</v>
      </c>
      <c r="B311" t="s">
        <v>4645</v>
      </c>
      <c r="C311" t="s">
        <v>3332</v>
      </c>
      <c r="D311" t="s">
        <v>3450</v>
      </c>
      <c r="E311" t="s">
        <v>4646</v>
      </c>
      <c r="F311" t="s">
        <v>4920</v>
      </c>
      <c r="G311" s="293">
        <v>425518</v>
      </c>
      <c r="H311" s="293">
        <v>481814.7</v>
      </c>
      <c r="I311" s="263">
        <v>46003</v>
      </c>
      <c r="J311" s="263">
        <v>46549</v>
      </c>
    </row>
    <row r="312" spans="1:10" x14ac:dyDescent="0.2">
      <c r="A312" t="s">
        <v>4649</v>
      </c>
      <c r="B312" t="s">
        <v>4648</v>
      </c>
      <c r="C312" t="s">
        <v>3332</v>
      </c>
      <c r="D312" t="s">
        <v>3450</v>
      </c>
      <c r="E312" t="s">
        <v>4646</v>
      </c>
      <c r="F312" t="s">
        <v>3455</v>
      </c>
      <c r="G312" s="293">
        <v>851036</v>
      </c>
      <c r="H312" s="293">
        <v>998867.26</v>
      </c>
      <c r="I312" s="263">
        <v>46703</v>
      </c>
      <c r="J312" s="263">
        <v>47042</v>
      </c>
    </row>
    <row r="313" spans="1:10" x14ac:dyDescent="0.2">
      <c r="A313" t="s">
        <v>4524</v>
      </c>
      <c r="B313" t="s">
        <v>4522</v>
      </c>
      <c r="C313" t="s">
        <v>3332</v>
      </c>
      <c r="D313" t="s">
        <v>3418</v>
      </c>
      <c r="E313" t="s">
        <v>4523</v>
      </c>
      <c r="F313" t="s">
        <v>3421</v>
      </c>
      <c r="G313" s="293">
        <v>456178</v>
      </c>
      <c r="H313" s="293">
        <v>507773.32</v>
      </c>
      <c r="I313" s="263">
        <v>45763</v>
      </c>
      <c r="J313" s="263">
        <v>46308</v>
      </c>
    </row>
    <row r="314" spans="1:10" x14ac:dyDescent="0.2">
      <c r="A314" t="s">
        <v>4370</v>
      </c>
      <c r="B314" t="s">
        <v>4368</v>
      </c>
      <c r="C314" t="s">
        <v>175</v>
      </c>
      <c r="D314" t="s">
        <v>4921</v>
      </c>
      <c r="E314" t="s">
        <v>4369</v>
      </c>
      <c r="F314" t="s">
        <v>4922</v>
      </c>
      <c r="G314" s="293">
        <v>55792</v>
      </c>
      <c r="H314" s="293">
        <v>61104.68</v>
      </c>
      <c r="I314" s="263">
        <v>45686</v>
      </c>
      <c r="J314" s="263">
        <v>45769</v>
      </c>
    </row>
    <row r="315" spans="1:10" x14ac:dyDescent="0.2">
      <c r="A315" t="s">
        <v>4372</v>
      </c>
      <c r="B315" t="s">
        <v>4371</v>
      </c>
      <c r="C315" t="s">
        <v>175</v>
      </c>
      <c r="D315" t="s">
        <v>4921</v>
      </c>
      <c r="E315" t="s">
        <v>4369</v>
      </c>
      <c r="F315" t="s">
        <v>4923</v>
      </c>
      <c r="G315" s="293">
        <v>223169</v>
      </c>
      <c r="H315" s="293">
        <v>246331.94</v>
      </c>
      <c r="I315" s="263">
        <v>45791</v>
      </c>
      <c r="J315" s="263">
        <v>46006</v>
      </c>
    </row>
    <row r="316" spans="1:10" x14ac:dyDescent="0.2">
      <c r="A316" t="s">
        <v>4637</v>
      </c>
      <c r="B316" t="s">
        <v>4635</v>
      </c>
      <c r="C316" t="s">
        <v>175</v>
      </c>
      <c r="D316" t="s">
        <v>3087</v>
      </c>
      <c r="E316" t="s">
        <v>4636</v>
      </c>
      <c r="F316" t="s">
        <v>4924</v>
      </c>
      <c r="G316" s="293">
        <v>55792</v>
      </c>
      <c r="H316" s="293">
        <v>61104.68</v>
      </c>
      <c r="I316" s="263">
        <v>45722</v>
      </c>
      <c r="J316" s="263">
        <v>45805</v>
      </c>
    </row>
    <row r="317" spans="1:10" x14ac:dyDescent="0.2">
      <c r="A317" t="s">
        <v>4639</v>
      </c>
      <c r="B317" t="s">
        <v>4638</v>
      </c>
      <c r="C317" t="s">
        <v>175</v>
      </c>
      <c r="D317" t="s">
        <v>3087</v>
      </c>
      <c r="E317" t="s">
        <v>4636</v>
      </c>
      <c r="F317" t="s">
        <v>3090</v>
      </c>
      <c r="G317" s="293">
        <v>1004261</v>
      </c>
      <c r="H317" s="293">
        <v>1120084.18</v>
      </c>
      <c r="I317" s="263">
        <v>45863</v>
      </c>
      <c r="J317" s="263">
        <v>46203</v>
      </c>
    </row>
    <row r="318" spans="1:10" x14ac:dyDescent="0.2">
      <c r="A318" t="s">
        <v>4402</v>
      </c>
      <c r="B318" t="s">
        <v>4400</v>
      </c>
      <c r="C318" t="s">
        <v>175</v>
      </c>
      <c r="D318" t="s">
        <v>3091</v>
      </c>
      <c r="E318" t="s">
        <v>4401</v>
      </c>
      <c r="F318" t="s">
        <v>4925</v>
      </c>
      <c r="G318" s="293">
        <v>55792</v>
      </c>
      <c r="H318" s="293">
        <v>63947.839999999997</v>
      </c>
      <c r="I318" s="263">
        <v>46372</v>
      </c>
      <c r="J318" s="263">
        <v>46553</v>
      </c>
    </row>
    <row r="319" spans="1:10" x14ac:dyDescent="0.2">
      <c r="A319" t="s">
        <v>4404</v>
      </c>
      <c r="B319" t="s">
        <v>4403</v>
      </c>
      <c r="C319" t="s">
        <v>175</v>
      </c>
      <c r="D319" t="s">
        <v>3091</v>
      </c>
      <c r="E319" t="s">
        <v>4401</v>
      </c>
      <c r="F319" t="s">
        <v>4926</v>
      </c>
      <c r="G319" s="293">
        <v>223169</v>
      </c>
      <c r="H319" s="293">
        <v>261675.7</v>
      </c>
      <c r="I319" s="263">
        <v>46798</v>
      </c>
      <c r="J319" s="263">
        <v>46980</v>
      </c>
    </row>
    <row r="320" spans="1:10" x14ac:dyDescent="0.2">
      <c r="A320" t="s">
        <v>4651</v>
      </c>
      <c r="B320" t="s">
        <v>4650</v>
      </c>
      <c r="C320" t="s">
        <v>175</v>
      </c>
      <c r="D320" t="s">
        <v>3091</v>
      </c>
      <c r="E320" t="s">
        <v>4401</v>
      </c>
      <c r="F320" t="s">
        <v>4927</v>
      </c>
      <c r="G320" s="293">
        <v>55792</v>
      </c>
      <c r="H320" s="293">
        <v>62510.080000000002</v>
      </c>
      <c r="I320" s="263">
        <v>45946</v>
      </c>
      <c r="J320" s="263">
        <v>46129</v>
      </c>
    </row>
    <row r="321" spans="1:10" x14ac:dyDescent="0.2">
      <c r="A321" t="s">
        <v>4653</v>
      </c>
      <c r="B321" t="s">
        <v>4652</v>
      </c>
      <c r="C321" t="s">
        <v>175</v>
      </c>
      <c r="D321" t="s">
        <v>3091</v>
      </c>
      <c r="E321" t="s">
        <v>4401</v>
      </c>
      <c r="F321" t="s">
        <v>3094</v>
      </c>
      <c r="G321" s="293">
        <v>334754</v>
      </c>
      <c r="H321" s="293">
        <v>385454.3</v>
      </c>
      <c r="I321" s="263">
        <v>46342</v>
      </c>
      <c r="J321" s="263">
        <v>46743</v>
      </c>
    </row>
    <row r="322" spans="1:10" x14ac:dyDescent="0.2">
      <c r="A322" t="s">
        <v>4394</v>
      </c>
      <c r="B322" t="s">
        <v>4392</v>
      </c>
      <c r="C322" t="s">
        <v>175</v>
      </c>
      <c r="D322" t="s">
        <v>3083</v>
      </c>
      <c r="E322" t="s">
        <v>4393</v>
      </c>
      <c r="F322" t="s">
        <v>4928</v>
      </c>
      <c r="G322" s="293">
        <v>55792</v>
      </c>
      <c r="H322" s="293">
        <v>65418.63</v>
      </c>
      <c r="I322" s="263">
        <v>46692</v>
      </c>
      <c r="J322" s="263">
        <v>46911</v>
      </c>
    </row>
    <row r="323" spans="1:10" x14ac:dyDescent="0.2">
      <c r="A323" t="s">
        <v>4396</v>
      </c>
      <c r="B323" t="s">
        <v>4395</v>
      </c>
      <c r="C323" t="s">
        <v>175</v>
      </c>
      <c r="D323" t="s">
        <v>3083</v>
      </c>
      <c r="E323" t="s">
        <v>4393</v>
      </c>
      <c r="F323" t="s">
        <v>3086</v>
      </c>
      <c r="G323" s="293">
        <v>334754</v>
      </c>
      <c r="H323" s="293">
        <v>401541.77</v>
      </c>
      <c r="I323" s="263">
        <v>47127</v>
      </c>
      <c r="J323" s="263">
        <v>47212</v>
      </c>
    </row>
    <row r="324" spans="1:10" x14ac:dyDescent="0.2">
      <c r="A324" t="s">
        <v>4678</v>
      </c>
      <c r="B324" t="s">
        <v>4677</v>
      </c>
      <c r="C324" t="s">
        <v>175</v>
      </c>
      <c r="D324" t="s">
        <v>3083</v>
      </c>
      <c r="E324" t="s">
        <v>4393</v>
      </c>
      <c r="F324" t="s">
        <v>4929</v>
      </c>
      <c r="G324" s="293">
        <v>55792</v>
      </c>
      <c r="H324" s="293">
        <v>63947.839999999997</v>
      </c>
      <c r="I324" s="263">
        <v>46458</v>
      </c>
      <c r="J324" s="263">
        <v>46637</v>
      </c>
    </row>
    <row r="325" spans="1:10" x14ac:dyDescent="0.2">
      <c r="A325" t="s">
        <v>4681</v>
      </c>
      <c r="B325" t="s">
        <v>4680</v>
      </c>
      <c r="C325" t="s">
        <v>175</v>
      </c>
      <c r="D325" t="s">
        <v>3083</v>
      </c>
      <c r="E325" t="s">
        <v>4393</v>
      </c>
      <c r="F325" t="s">
        <v>3097</v>
      </c>
      <c r="G325" s="293">
        <v>557923</v>
      </c>
      <c r="H325" s="293">
        <v>654727.18000000005</v>
      </c>
      <c r="I325" s="263">
        <v>46794</v>
      </c>
      <c r="J325" s="263">
        <v>47036</v>
      </c>
    </row>
    <row r="326" spans="1:10" x14ac:dyDescent="0.2">
      <c r="A326" t="s">
        <v>3677</v>
      </c>
      <c r="B326" t="s">
        <v>3675</v>
      </c>
      <c r="C326" t="s">
        <v>175</v>
      </c>
      <c r="D326" t="s">
        <v>3076</v>
      </c>
      <c r="E326" t="s">
        <v>3676</v>
      </c>
      <c r="F326" t="s">
        <v>4930</v>
      </c>
      <c r="G326" s="293">
        <v>55792</v>
      </c>
      <c r="H326" s="293">
        <v>62510.080000000002</v>
      </c>
      <c r="I326" s="263">
        <v>46042</v>
      </c>
      <c r="J326" s="263">
        <v>46125</v>
      </c>
    </row>
    <row r="327" spans="1:10" x14ac:dyDescent="0.2">
      <c r="A327" t="s">
        <v>3680</v>
      </c>
      <c r="B327" t="s">
        <v>3679</v>
      </c>
      <c r="C327" t="s">
        <v>175</v>
      </c>
      <c r="D327" t="s">
        <v>3076</v>
      </c>
      <c r="E327" t="s">
        <v>3676</v>
      </c>
      <c r="F327" t="s">
        <v>3079</v>
      </c>
      <c r="G327" s="293">
        <v>502131</v>
      </c>
      <c r="H327" s="293">
        <v>569900.31000000006</v>
      </c>
      <c r="I327" s="263">
        <v>46204</v>
      </c>
      <c r="J327" s="263">
        <v>46421</v>
      </c>
    </row>
    <row r="328" spans="1:10" x14ac:dyDescent="0.2">
      <c r="A328" t="s">
        <v>4243</v>
      </c>
      <c r="B328" t="s">
        <v>4242</v>
      </c>
      <c r="C328" t="s">
        <v>175</v>
      </c>
      <c r="D328" t="s">
        <v>3076</v>
      </c>
      <c r="E328" t="s">
        <v>3676</v>
      </c>
      <c r="F328" t="s">
        <v>4931</v>
      </c>
      <c r="G328" s="293">
        <v>55792</v>
      </c>
      <c r="H328" s="293">
        <v>63947.839999999997</v>
      </c>
      <c r="I328" s="263">
        <v>46451</v>
      </c>
      <c r="J328" s="263">
        <v>46533</v>
      </c>
    </row>
    <row r="329" spans="1:10" x14ac:dyDescent="0.2">
      <c r="A329" t="s">
        <v>4245</v>
      </c>
      <c r="B329" t="s">
        <v>4244</v>
      </c>
      <c r="C329" t="s">
        <v>175</v>
      </c>
      <c r="D329" t="s">
        <v>3076</v>
      </c>
      <c r="E329" t="s">
        <v>3676</v>
      </c>
      <c r="F329" t="s">
        <v>3082</v>
      </c>
      <c r="G329" s="293">
        <v>334754</v>
      </c>
      <c r="H329" s="293">
        <v>390533.05</v>
      </c>
      <c r="I329" s="263">
        <v>46615</v>
      </c>
      <c r="J329" s="263">
        <v>46832</v>
      </c>
    </row>
    <row r="330" spans="1:10" x14ac:dyDescent="0.2">
      <c r="A330" t="s">
        <v>4174</v>
      </c>
      <c r="B330" t="s">
        <v>4170</v>
      </c>
      <c r="C330" t="s">
        <v>175</v>
      </c>
      <c r="D330" t="s">
        <v>4932</v>
      </c>
      <c r="E330" t="s">
        <v>4171</v>
      </c>
      <c r="F330" t="s">
        <v>4933</v>
      </c>
      <c r="G330" s="293">
        <v>10000000</v>
      </c>
      <c r="H330" s="293">
        <v>11694967</v>
      </c>
      <c r="I330" s="263">
        <v>46441</v>
      </c>
      <c r="J330" s="263">
        <v>47170</v>
      </c>
    </row>
    <row r="331" spans="1:10" x14ac:dyDescent="0.2">
      <c r="A331" t="s">
        <v>4173</v>
      </c>
      <c r="B331" t="s">
        <v>4170</v>
      </c>
      <c r="C331" t="s">
        <v>175</v>
      </c>
      <c r="D331" t="s">
        <v>4932</v>
      </c>
      <c r="E331" t="s">
        <v>4171</v>
      </c>
      <c r="F331" t="s">
        <v>4934</v>
      </c>
      <c r="G331" s="293">
        <v>10100000</v>
      </c>
      <c r="H331" s="293">
        <v>11389693.24</v>
      </c>
      <c r="I331" s="263">
        <v>45853</v>
      </c>
      <c r="J331" s="263">
        <v>46582</v>
      </c>
    </row>
    <row r="332" spans="1:10" x14ac:dyDescent="0.2">
      <c r="A332" t="s">
        <v>4172</v>
      </c>
      <c r="B332" t="s">
        <v>4170</v>
      </c>
      <c r="C332" t="s">
        <v>175</v>
      </c>
      <c r="D332" t="s">
        <v>4932</v>
      </c>
      <c r="E332" t="s">
        <v>4171</v>
      </c>
      <c r="F332" t="s">
        <v>4935</v>
      </c>
      <c r="G332" s="293">
        <v>8600000</v>
      </c>
      <c r="H332" s="293">
        <v>9849103.6199999992</v>
      </c>
      <c r="I332" s="263">
        <v>45853</v>
      </c>
      <c r="J332" s="263">
        <v>47078</v>
      </c>
    </row>
    <row r="333" spans="1:10" x14ac:dyDescent="0.2">
      <c r="A333" t="s">
        <v>4365</v>
      </c>
      <c r="B333" t="s">
        <v>4361</v>
      </c>
      <c r="C333" t="s">
        <v>175</v>
      </c>
      <c r="D333" t="s">
        <v>4936</v>
      </c>
      <c r="E333" t="s">
        <v>4362</v>
      </c>
      <c r="F333" t="s">
        <v>4937</v>
      </c>
      <c r="G333" s="293">
        <v>500000</v>
      </c>
      <c r="H333" s="293">
        <v>568925.35</v>
      </c>
      <c r="I333" s="263">
        <v>46156</v>
      </c>
      <c r="J333" s="263">
        <v>46594</v>
      </c>
    </row>
    <row r="334" spans="1:10" x14ac:dyDescent="0.2">
      <c r="A334" t="s">
        <v>4363</v>
      </c>
      <c r="B334" t="s">
        <v>4361</v>
      </c>
      <c r="C334" t="s">
        <v>175</v>
      </c>
      <c r="D334" t="s">
        <v>4936</v>
      </c>
      <c r="E334" t="s">
        <v>4362</v>
      </c>
      <c r="F334" t="s">
        <v>4938</v>
      </c>
      <c r="G334" s="293">
        <v>325000</v>
      </c>
      <c r="H334" s="293">
        <v>357393.8</v>
      </c>
      <c r="I334" s="263">
        <v>45569</v>
      </c>
      <c r="J334" s="263">
        <v>46009</v>
      </c>
    </row>
    <row r="335" spans="1:10" x14ac:dyDescent="0.2">
      <c r="A335" t="s">
        <v>4364</v>
      </c>
      <c r="B335" t="s">
        <v>4361</v>
      </c>
      <c r="C335" t="s">
        <v>175</v>
      </c>
      <c r="D335" t="s">
        <v>4936</v>
      </c>
      <c r="E335" t="s">
        <v>4362</v>
      </c>
      <c r="F335" t="s">
        <v>4939</v>
      </c>
      <c r="G335" s="293">
        <v>325000</v>
      </c>
      <c r="H335" s="293">
        <v>357393.8</v>
      </c>
      <c r="I335" s="263">
        <v>45569</v>
      </c>
      <c r="J335" s="263">
        <v>46009</v>
      </c>
    </row>
    <row r="336" spans="1:10" x14ac:dyDescent="0.2">
      <c r="A336" t="s">
        <v>3993</v>
      </c>
      <c r="B336" t="s">
        <v>3991</v>
      </c>
      <c r="C336" t="s">
        <v>175</v>
      </c>
      <c r="D336" t="s">
        <v>3112</v>
      </c>
      <c r="E336" t="s">
        <v>3992</v>
      </c>
      <c r="F336" t="s">
        <v>4940</v>
      </c>
      <c r="G336" s="293">
        <v>2820000</v>
      </c>
      <c r="H336" s="293">
        <v>3393864.58</v>
      </c>
      <c r="I336" s="263">
        <v>47171</v>
      </c>
      <c r="J336" s="263">
        <v>47428</v>
      </c>
    </row>
    <row r="337" spans="1:10" x14ac:dyDescent="0.2">
      <c r="A337" t="s">
        <v>3995</v>
      </c>
      <c r="B337" t="s">
        <v>3991</v>
      </c>
      <c r="C337" t="s">
        <v>175</v>
      </c>
      <c r="D337" t="s">
        <v>3117</v>
      </c>
      <c r="E337" t="s">
        <v>3994</v>
      </c>
      <c r="F337" t="s">
        <v>4941</v>
      </c>
      <c r="G337" s="293">
        <v>4500000</v>
      </c>
      <c r="H337" s="293">
        <v>5401194.4199999999</v>
      </c>
      <c r="I337" s="263">
        <v>47079</v>
      </c>
      <c r="J337" s="263">
        <v>47400</v>
      </c>
    </row>
    <row r="338" spans="1:10" x14ac:dyDescent="0.2">
      <c r="A338" t="s">
        <v>3997</v>
      </c>
      <c r="B338" t="s">
        <v>3991</v>
      </c>
      <c r="C338" t="s">
        <v>175</v>
      </c>
      <c r="D338" t="s">
        <v>3121</v>
      </c>
      <c r="E338" t="s">
        <v>3996</v>
      </c>
      <c r="F338" t="s">
        <v>4942</v>
      </c>
      <c r="G338" s="293">
        <v>3750000</v>
      </c>
      <c r="H338" s="293">
        <v>4455699.1500000004</v>
      </c>
      <c r="I338" s="263">
        <v>46876</v>
      </c>
      <c r="J338" s="263">
        <v>47240</v>
      </c>
    </row>
    <row r="339" spans="1:10" x14ac:dyDescent="0.2">
      <c r="A339" t="s">
        <v>3982</v>
      </c>
      <c r="B339" t="s">
        <v>3979</v>
      </c>
      <c r="C339" t="s">
        <v>175</v>
      </c>
      <c r="D339" t="s">
        <v>2894</v>
      </c>
      <c r="E339" t="s">
        <v>3980</v>
      </c>
      <c r="F339" t="s">
        <v>4943</v>
      </c>
      <c r="G339" s="293">
        <v>1090000</v>
      </c>
      <c r="H339" s="293">
        <v>1208688.55</v>
      </c>
      <c r="I339" s="263">
        <v>45667</v>
      </c>
      <c r="J339" s="263">
        <v>46247</v>
      </c>
    </row>
    <row r="340" spans="1:10" x14ac:dyDescent="0.2">
      <c r="A340" t="s">
        <v>3981</v>
      </c>
      <c r="B340" t="s">
        <v>3979</v>
      </c>
      <c r="C340" t="s">
        <v>175</v>
      </c>
      <c r="D340" t="s">
        <v>2894</v>
      </c>
      <c r="E340" t="s">
        <v>3980</v>
      </c>
      <c r="F340" t="s">
        <v>4944</v>
      </c>
      <c r="G340" s="293">
        <v>180000</v>
      </c>
      <c r="H340" s="293">
        <v>198908.48</v>
      </c>
      <c r="I340" s="263">
        <v>45667</v>
      </c>
      <c r="J340" s="263">
        <v>46105</v>
      </c>
    </row>
    <row r="341" spans="1:10" x14ac:dyDescent="0.2">
      <c r="A341" t="s">
        <v>3990</v>
      </c>
      <c r="B341" t="s">
        <v>3979</v>
      </c>
      <c r="C341" t="s">
        <v>175</v>
      </c>
      <c r="D341" t="s">
        <v>2912</v>
      </c>
      <c r="E341" t="s">
        <v>3989</v>
      </c>
      <c r="F341" t="s">
        <v>4945</v>
      </c>
      <c r="G341" s="293">
        <v>1800000</v>
      </c>
      <c r="H341" s="293">
        <v>2015824.86</v>
      </c>
      <c r="I341" s="263">
        <v>45667</v>
      </c>
      <c r="J341" s="263">
        <v>46541</v>
      </c>
    </row>
    <row r="342" spans="1:10" x14ac:dyDescent="0.2">
      <c r="A342" t="s">
        <v>3999</v>
      </c>
      <c r="B342" t="s">
        <v>3991</v>
      </c>
      <c r="C342" t="s">
        <v>175</v>
      </c>
      <c r="D342" t="s">
        <v>2912</v>
      </c>
      <c r="E342" t="s">
        <v>3989</v>
      </c>
      <c r="F342" t="s">
        <v>4946</v>
      </c>
      <c r="G342" s="293">
        <v>440000</v>
      </c>
      <c r="H342" s="293">
        <v>527011.86</v>
      </c>
      <c r="I342" s="263">
        <v>47007</v>
      </c>
      <c r="J342" s="263">
        <v>47340</v>
      </c>
    </row>
    <row r="343" spans="1:10" x14ac:dyDescent="0.2">
      <c r="A343" t="s">
        <v>4000</v>
      </c>
      <c r="B343" t="s">
        <v>3991</v>
      </c>
      <c r="C343" t="s">
        <v>175</v>
      </c>
      <c r="D343" t="s">
        <v>2912</v>
      </c>
      <c r="E343" t="s">
        <v>3989</v>
      </c>
      <c r="F343" t="s">
        <v>4947</v>
      </c>
      <c r="G343" s="293">
        <v>180000</v>
      </c>
      <c r="H343" s="293">
        <v>205766.25</v>
      </c>
      <c r="I343" s="263">
        <v>46248</v>
      </c>
      <c r="J343" s="263">
        <v>46657</v>
      </c>
    </row>
    <row r="344" spans="1:10" x14ac:dyDescent="0.2">
      <c r="A344" t="s">
        <v>3998</v>
      </c>
      <c r="B344" t="s">
        <v>3991</v>
      </c>
      <c r="C344" t="s">
        <v>175</v>
      </c>
      <c r="D344" t="s">
        <v>2912</v>
      </c>
      <c r="E344" t="s">
        <v>3989</v>
      </c>
      <c r="F344" t="s">
        <v>4948</v>
      </c>
      <c r="G344" s="293">
        <v>40000</v>
      </c>
      <c r="H344" s="293">
        <v>45645.85</v>
      </c>
      <c r="I344" s="263">
        <v>46234</v>
      </c>
      <c r="J344" s="263">
        <v>46555</v>
      </c>
    </row>
    <row r="345" spans="1:10" x14ac:dyDescent="0.2">
      <c r="A345" t="s">
        <v>3984</v>
      </c>
      <c r="B345" t="s">
        <v>3979</v>
      </c>
      <c r="C345" t="s">
        <v>175</v>
      </c>
      <c r="D345" t="s">
        <v>4949</v>
      </c>
      <c r="E345" t="s">
        <v>3983</v>
      </c>
      <c r="F345" t="s">
        <v>4950</v>
      </c>
      <c r="G345" s="293">
        <v>2910000</v>
      </c>
      <c r="H345" s="293">
        <v>3351644.47</v>
      </c>
      <c r="I345" s="263">
        <v>46248</v>
      </c>
      <c r="J345" s="263">
        <v>46835</v>
      </c>
    </row>
    <row r="346" spans="1:10" x14ac:dyDescent="0.2">
      <c r="A346" t="s">
        <v>3986</v>
      </c>
      <c r="B346" t="s">
        <v>3979</v>
      </c>
      <c r="C346" t="s">
        <v>175</v>
      </c>
      <c r="D346" t="s">
        <v>4951</v>
      </c>
      <c r="E346" t="s">
        <v>3985</v>
      </c>
      <c r="F346" t="s">
        <v>4952</v>
      </c>
      <c r="G346" s="293">
        <v>3657317</v>
      </c>
      <c r="H346" s="293">
        <v>4055557.04</v>
      </c>
      <c r="I346" s="263">
        <v>45667</v>
      </c>
      <c r="J346" s="263">
        <v>46247</v>
      </c>
    </row>
    <row r="347" spans="1:10" x14ac:dyDescent="0.2">
      <c r="A347" t="s">
        <v>3988</v>
      </c>
      <c r="B347" t="s">
        <v>3979</v>
      </c>
      <c r="C347" t="s">
        <v>175</v>
      </c>
      <c r="D347" t="s">
        <v>4953</v>
      </c>
      <c r="E347" t="s">
        <v>3987</v>
      </c>
      <c r="F347" t="s">
        <v>4954</v>
      </c>
      <c r="G347" s="293">
        <v>3794390</v>
      </c>
      <c r="H347" s="293">
        <v>4207555.72</v>
      </c>
      <c r="I347" s="263">
        <v>45667</v>
      </c>
      <c r="J347" s="263">
        <v>46247</v>
      </c>
    </row>
    <row r="348" spans="1:10" x14ac:dyDescent="0.2">
      <c r="A348" t="s">
        <v>4422</v>
      </c>
      <c r="B348" t="s">
        <v>4419</v>
      </c>
      <c r="C348" t="s">
        <v>175</v>
      </c>
      <c r="D348" t="s">
        <v>3098</v>
      </c>
      <c r="E348" t="s">
        <v>4420</v>
      </c>
      <c r="F348" t="s">
        <v>4955</v>
      </c>
      <c r="G348" s="293">
        <v>358496</v>
      </c>
      <c r="H348" s="293">
        <v>392633.06</v>
      </c>
      <c r="I348" s="263">
        <v>45569</v>
      </c>
      <c r="J348" s="263">
        <v>45905</v>
      </c>
    </row>
    <row r="349" spans="1:10" x14ac:dyDescent="0.2">
      <c r="A349" t="s">
        <v>4424</v>
      </c>
      <c r="B349" t="s">
        <v>4419</v>
      </c>
      <c r="C349" t="s">
        <v>175</v>
      </c>
      <c r="D349" t="s">
        <v>3098</v>
      </c>
      <c r="E349" t="s">
        <v>4420</v>
      </c>
      <c r="F349" t="s">
        <v>4956</v>
      </c>
      <c r="G349" s="293">
        <v>250000</v>
      </c>
      <c r="H349" s="293">
        <v>282428.15000000002</v>
      </c>
      <c r="I349" s="263">
        <v>46086</v>
      </c>
      <c r="J349" s="263">
        <v>46421</v>
      </c>
    </row>
    <row r="350" spans="1:10" x14ac:dyDescent="0.2">
      <c r="A350" t="s">
        <v>4423</v>
      </c>
      <c r="B350" t="s">
        <v>4419</v>
      </c>
      <c r="C350" t="s">
        <v>175</v>
      </c>
      <c r="D350" t="s">
        <v>3098</v>
      </c>
      <c r="E350" t="s">
        <v>4420</v>
      </c>
      <c r="F350" t="s">
        <v>4957</v>
      </c>
      <c r="G350" s="293">
        <v>186040</v>
      </c>
      <c r="H350" s="293">
        <v>203755.29</v>
      </c>
      <c r="I350" s="263">
        <v>45569</v>
      </c>
      <c r="J350" s="263">
        <v>45905</v>
      </c>
    </row>
    <row r="351" spans="1:10" x14ac:dyDescent="0.2">
      <c r="A351" t="s">
        <v>4421</v>
      </c>
      <c r="B351" t="s">
        <v>4419</v>
      </c>
      <c r="C351" t="s">
        <v>175</v>
      </c>
      <c r="D351" t="s">
        <v>3098</v>
      </c>
      <c r="E351" t="s">
        <v>4420</v>
      </c>
      <c r="F351" t="s">
        <v>4958</v>
      </c>
      <c r="G351" s="293">
        <v>148136</v>
      </c>
      <c r="H351" s="293">
        <v>162241.95000000001</v>
      </c>
      <c r="I351" s="263">
        <v>45569</v>
      </c>
      <c r="J351" s="263">
        <v>45905</v>
      </c>
    </row>
    <row r="352" spans="1:10" x14ac:dyDescent="0.2">
      <c r="A352" t="s">
        <v>4428</v>
      </c>
      <c r="B352" t="s">
        <v>4425</v>
      </c>
      <c r="C352" t="s">
        <v>175</v>
      </c>
      <c r="D352" t="s">
        <v>3098</v>
      </c>
      <c r="E352" t="s">
        <v>4420</v>
      </c>
      <c r="F352" t="s">
        <v>4959</v>
      </c>
      <c r="G352" s="293">
        <v>469800</v>
      </c>
      <c r="H352" s="293">
        <v>535055.30000000005</v>
      </c>
      <c r="I352" s="263">
        <v>46203</v>
      </c>
      <c r="J352" s="263">
        <v>46539</v>
      </c>
    </row>
    <row r="353" spans="1:10" x14ac:dyDescent="0.2">
      <c r="A353" t="s">
        <v>4429</v>
      </c>
      <c r="B353" t="s">
        <v>4425</v>
      </c>
      <c r="C353" t="s">
        <v>175</v>
      </c>
      <c r="D353" t="s">
        <v>3098</v>
      </c>
      <c r="E353" t="s">
        <v>4420</v>
      </c>
      <c r="F353" t="s">
        <v>4960</v>
      </c>
      <c r="G353" s="293">
        <v>400000</v>
      </c>
      <c r="H353" s="293">
        <v>472066.56</v>
      </c>
      <c r="I353" s="263">
        <v>46791</v>
      </c>
      <c r="J353" s="263">
        <v>47126</v>
      </c>
    </row>
    <row r="354" spans="1:10" x14ac:dyDescent="0.2">
      <c r="A354" t="s">
        <v>4427</v>
      </c>
      <c r="B354" t="s">
        <v>4425</v>
      </c>
      <c r="C354" t="s">
        <v>175</v>
      </c>
      <c r="D354" t="s">
        <v>3098</v>
      </c>
      <c r="E354" t="s">
        <v>4420</v>
      </c>
      <c r="F354" t="s">
        <v>4961</v>
      </c>
      <c r="G354" s="293">
        <v>400000</v>
      </c>
      <c r="H354" s="293">
        <v>455560.07</v>
      </c>
      <c r="I354" s="263">
        <v>46203</v>
      </c>
      <c r="J354" s="263">
        <v>46539</v>
      </c>
    </row>
    <row r="355" spans="1:10" x14ac:dyDescent="0.2">
      <c r="A355" t="s">
        <v>4426</v>
      </c>
      <c r="B355" t="s">
        <v>4425</v>
      </c>
      <c r="C355" t="s">
        <v>175</v>
      </c>
      <c r="D355" t="s">
        <v>3098</v>
      </c>
      <c r="E355" t="s">
        <v>4420</v>
      </c>
      <c r="F355" t="s">
        <v>4962</v>
      </c>
      <c r="G355" s="293">
        <v>100000</v>
      </c>
      <c r="H355" s="293">
        <v>113890.02</v>
      </c>
      <c r="I355" s="263">
        <v>46203</v>
      </c>
      <c r="J355" s="263">
        <v>46539</v>
      </c>
    </row>
    <row r="356" spans="1:10" x14ac:dyDescent="0.2">
      <c r="A356" t="s">
        <v>3709</v>
      </c>
      <c r="B356" t="s">
        <v>3706</v>
      </c>
      <c r="C356" t="s">
        <v>3148</v>
      </c>
      <c r="D356" t="s">
        <v>3145</v>
      </c>
      <c r="E356" t="s">
        <v>3707</v>
      </c>
      <c r="F356" t="s">
        <v>4963</v>
      </c>
      <c r="G356" s="293">
        <v>916667</v>
      </c>
      <c r="H356" s="293">
        <v>1057856.6299999999</v>
      </c>
      <c r="I356" s="263">
        <v>45980</v>
      </c>
      <c r="J356" s="263">
        <v>46009</v>
      </c>
    </row>
    <row r="357" spans="1:10" x14ac:dyDescent="0.2">
      <c r="A357" t="s">
        <v>3710</v>
      </c>
      <c r="B357" t="s">
        <v>3706</v>
      </c>
      <c r="C357" t="s">
        <v>3148</v>
      </c>
      <c r="D357" t="s">
        <v>3145</v>
      </c>
      <c r="E357" t="s">
        <v>3707</v>
      </c>
      <c r="F357" t="s">
        <v>4964</v>
      </c>
      <c r="G357" s="293">
        <v>916667</v>
      </c>
      <c r="H357" s="293">
        <v>1057856.6299999999</v>
      </c>
      <c r="I357" s="263">
        <v>46010</v>
      </c>
      <c r="J357" s="263">
        <v>46042</v>
      </c>
    </row>
    <row r="358" spans="1:10" x14ac:dyDescent="0.2">
      <c r="A358" t="s">
        <v>3708</v>
      </c>
      <c r="B358" t="s">
        <v>3706</v>
      </c>
      <c r="C358" t="s">
        <v>3148</v>
      </c>
      <c r="D358" t="s">
        <v>3145</v>
      </c>
      <c r="E358" t="s">
        <v>3707</v>
      </c>
      <c r="F358" t="s">
        <v>4965</v>
      </c>
      <c r="G358" s="293">
        <v>916666</v>
      </c>
      <c r="H358" s="293">
        <v>1057855.48</v>
      </c>
      <c r="I358" s="263">
        <v>45951</v>
      </c>
      <c r="J358" s="263">
        <v>45979</v>
      </c>
    </row>
    <row r="359" spans="1:10" x14ac:dyDescent="0.2">
      <c r="A359" t="s">
        <v>4221</v>
      </c>
      <c r="B359" t="s">
        <v>4220</v>
      </c>
      <c r="C359" t="s">
        <v>3148</v>
      </c>
      <c r="D359" t="s">
        <v>3145</v>
      </c>
      <c r="E359" t="s">
        <v>3707</v>
      </c>
      <c r="F359" t="s">
        <v>4966</v>
      </c>
      <c r="G359" s="293">
        <v>1290000</v>
      </c>
      <c r="H359" s="293">
        <v>1490472.75</v>
      </c>
      <c r="I359" s="263">
        <v>45951</v>
      </c>
      <c r="J359" s="263">
        <v>46315</v>
      </c>
    </row>
    <row r="360" spans="1:10" x14ac:dyDescent="0.2">
      <c r="A360" t="s">
        <v>3699</v>
      </c>
      <c r="B360" t="s">
        <v>3697</v>
      </c>
      <c r="C360" t="s">
        <v>4967</v>
      </c>
      <c r="D360" t="s">
        <v>4968</v>
      </c>
      <c r="E360" t="s">
        <v>3698</v>
      </c>
      <c r="F360" t="s">
        <v>4969</v>
      </c>
      <c r="G360" s="293">
        <v>3097084</v>
      </c>
      <c r="H360" s="293">
        <v>3590010.69</v>
      </c>
      <c r="I360" s="263">
        <v>45951</v>
      </c>
      <c r="J360" s="263">
        <v>47354</v>
      </c>
    </row>
    <row r="361" spans="1:10" x14ac:dyDescent="0.2">
      <c r="A361" t="s">
        <v>3859</v>
      </c>
      <c r="B361" t="s">
        <v>3858</v>
      </c>
      <c r="C361" t="s">
        <v>4967</v>
      </c>
      <c r="D361" t="s">
        <v>4968</v>
      </c>
      <c r="E361" t="s">
        <v>3698</v>
      </c>
      <c r="F361" t="s">
        <v>4970</v>
      </c>
      <c r="G361" s="293">
        <v>3220000</v>
      </c>
      <c r="H361" s="293">
        <v>3817885.63</v>
      </c>
      <c r="I361" s="263">
        <v>46681</v>
      </c>
      <c r="J361" s="263">
        <v>47354</v>
      </c>
    </row>
    <row r="362" spans="1:10" x14ac:dyDescent="0.2">
      <c r="A362" t="s">
        <v>3860</v>
      </c>
      <c r="B362" t="s">
        <v>3858</v>
      </c>
      <c r="C362" t="s">
        <v>4967</v>
      </c>
      <c r="D362" t="s">
        <v>4968</v>
      </c>
      <c r="E362" t="s">
        <v>3698</v>
      </c>
      <c r="F362" t="s">
        <v>4971</v>
      </c>
      <c r="G362" s="293">
        <v>753000</v>
      </c>
      <c r="H362" s="293">
        <v>833530.05</v>
      </c>
      <c r="I362" s="263">
        <v>45569</v>
      </c>
      <c r="J362" s="263">
        <v>46245</v>
      </c>
    </row>
    <row r="363" spans="1:10" x14ac:dyDescent="0.2">
      <c r="A363" t="s">
        <v>4355</v>
      </c>
      <c r="B363" t="s">
        <v>4354</v>
      </c>
      <c r="C363" t="s">
        <v>4967</v>
      </c>
      <c r="D363" t="s">
        <v>4968</v>
      </c>
      <c r="E363" t="s">
        <v>3698</v>
      </c>
      <c r="F363" t="s">
        <v>4972</v>
      </c>
      <c r="G363" s="293">
        <v>470000</v>
      </c>
      <c r="H363" s="293">
        <v>538589.80000000005</v>
      </c>
      <c r="I363" s="263">
        <v>45951</v>
      </c>
      <c r="J363" s="263">
        <v>46989</v>
      </c>
    </row>
    <row r="364" spans="1:10" x14ac:dyDescent="0.2">
      <c r="A364" t="s">
        <v>4625</v>
      </c>
      <c r="B364" t="s">
        <v>4624</v>
      </c>
      <c r="C364" t="s">
        <v>4967</v>
      </c>
      <c r="D364" t="s">
        <v>4968</v>
      </c>
      <c r="E364" t="s">
        <v>3698</v>
      </c>
      <c r="F364" t="s">
        <v>4973</v>
      </c>
      <c r="G364" s="293">
        <v>1988912</v>
      </c>
      <c r="H364" s="293">
        <v>2305463.9</v>
      </c>
      <c r="I364" s="263">
        <v>45951</v>
      </c>
      <c r="J364" s="263">
        <v>47354</v>
      </c>
    </row>
    <row r="365" spans="1:10" x14ac:dyDescent="0.2">
      <c r="A365" t="s">
        <v>4627</v>
      </c>
      <c r="B365" t="s">
        <v>4626</v>
      </c>
      <c r="C365" t="s">
        <v>4967</v>
      </c>
      <c r="D365" t="s">
        <v>4968</v>
      </c>
      <c r="E365" t="s">
        <v>3698</v>
      </c>
      <c r="F365" t="s">
        <v>4974</v>
      </c>
      <c r="G365" s="293">
        <v>1988912</v>
      </c>
      <c r="H365" s="293">
        <v>2305463.9</v>
      </c>
      <c r="I365" s="263">
        <v>45951</v>
      </c>
      <c r="J365" s="263">
        <v>47354</v>
      </c>
    </row>
    <row r="366" spans="1:10" x14ac:dyDescent="0.2">
      <c r="A366" t="s">
        <v>3793</v>
      </c>
      <c r="B366" t="s">
        <v>3791</v>
      </c>
      <c r="C366" t="s">
        <v>4975</v>
      </c>
      <c r="D366" t="s">
        <v>4976</v>
      </c>
      <c r="E366" t="s">
        <v>3792</v>
      </c>
      <c r="F366" t="s">
        <v>4977</v>
      </c>
      <c r="G366" s="293">
        <v>1830333</v>
      </c>
      <c r="H366" s="293">
        <v>2073827.18</v>
      </c>
      <c r="I366" s="263">
        <v>45569</v>
      </c>
      <c r="J366" s="263">
        <v>47002</v>
      </c>
    </row>
    <row r="367" spans="1:10" x14ac:dyDescent="0.2">
      <c r="A367" t="s">
        <v>3794</v>
      </c>
      <c r="B367" t="s">
        <v>3791</v>
      </c>
      <c r="C367" t="s">
        <v>4975</v>
      </c>
      <c r="D367" t="s">
        <v>4976</v>
      </c>
      <c r="E367" t="s">
        <v>3792</v>
      </c>
      <c r="F367" t="s">
        <v>4978</v>
      </c>
      <c r="G367" s="293">
        <v>400130</v>
      </c>
      <c r="H367" s="293">
        <v>464110.6</v>
      </c>
      <c r="I367" s="263">
        <v>45951</v>
      </c>
      <c r="J367" s="263">
        <v>47381</v>
      </c>
    </row>
    <row r="368" spans="1:10" x14ac:dyDescent="0.2">
      <c r="A368" t="s">
        <v>4041</v>
      </c>
      <c r="B368" t="s">
        <v>4040</v>
      </c>
      <c r="C368" t="s">
        <v>4975</v>
      </c>
      <c r="D368" t="s">
        <v>4976</v>
      </c>
      <c r="E368" t="s">
        <v>3792</v>
      </c>
      <c r="F368" t="s">
        <v>4979</v>
      </c>
      <c r="G368" s="293">
        <v>5473602</v>
      </c>
      <c r="H368" s="293">
        <v>6412812.3799999999</v>
      </c>
      <c r="I368" s="263">
        <v>46189</v>
      </c>
      <c r="J368" s="263">
        <v>47471</v>
      </c>
    </row>
    <row r="369" spans="1:10" x14ac:dyDescent="0.2">
      <c r="A369" t="s">
        <v>4350</v>
      </c>
      <c r="B369" t="s">
        <v>4349</v>
      </c>
      <c r="C369" t="s">
        <v>4975</v>
      </c>
      <c r="D369" t="s">
        <v>4976</v>
      </c>
      <c r="E369" t="s">
        <v>3792</v>
      </c>
      <c r="F369" t="s">
        <v>4980</v>
      </c>
      <c r="G369" s="293">
        <v>612750</v>
      </c>
      <c r="H369" s="293">
        <v>696602.41</v>
      </c>
      <c r="I369" s="263">
        <v>46189</v>
      </c>
      <c r="J369" s="263">
        <v>46491</v>
      </c>
    </row>
    <row r="370" spans="1:10" x14ac:dyDescent="0.2">
      <c r="A370" t="s">
        <v>4380</v>
      </c>
      <c r="B370" t="s">
        <v>4379</v>
      </c>
      <c r="C370" t="s">
        <v>4975</v>
      </c>
      <c r="D370" t="s">
        <v>4976</v>
      </c>
      <c r="E370" t="s">
        <v>3792</v>
      </c>
      <c r="F370" t="s">
        <v>4981</v>
      </c>
      <c r="G370" s="293">
        <v>390597</v>
      </c>
      <c r="H370" s="293">
        <v>453053.28</v>
      </c>
      <c r="I370" s="263">
        <v>45951</v>
      </c>
      <c r="J370" s="263">
        <v>47381</v>
      </c>
    </row>
    <row r="371" spans="1:10" x14ac:dyDescent="0.2">
      <c r="A371" t="s">
        <v>3939</v>
      </c>
      <c r="B371" t="s">
        <v>3936</v>
      </c>
      <c r="C371" t="s">
        <v>2189</v>
      </c>
      <c r="D371" t="s">
        <v>4982</v>
      </c>
      <c r="E371" t="s">
        <v>3937</v>
      </c>
      <c r="F371" t="s">
        <v>4983</v>
      </c>
      <c r="G371" s="293">
        <v>2554000</v>
      </c>
      <c r="H371" s="293">
        <v>2908402.76</v>
      </c>
      <c r="I371" s="263">
        <v>45569</v>
      </c>
      <c r="J371" s="263">
        <v>47151</v>
      </c>
    </row>
    <row r="372" spans="1:10" x14ac:dyDescent="0.2">
      <c r="A372" t="s">
        <v>3940</v>
      </c>
      <c r="B372" t="s">
        <v>3936</v>
      </c>
      <c r="C372" t="s">
        <v>2189</v>
      </c>
      <c r="D372" t="s">
        <v>4982</v>
      </c>
      <c r="E372" t="s">
        <v>3937</v>
      </c>
      <c r="F372" t="s">
        <v>4984</v>
      </c>
      <c r="G372" s="293">
        <v>1830333</v>
      </c>
      <c r="H372" s="293">
        <v>2084316.97</v>
      </c>
      <c r="I372" s="263">
        <v>45569</v>
      </c>
      <c r="J372" s="263">
        <v>47151</v>
      </c>
    </row>
    <row r="373" spans="1:10" x14ac:dyDescent="0.2">
      <c r="A373" t="s">
        <v>3941</v>
      </c>
      <c r="B373" t="s">
        <v>3936</v>
      </c>
      <c r="C373" t="s">
        <v>2189</v>
      </c>
      <c r="D373" t="s">
        <v>4982</v>
      </c>
      <c r="E373" t="s">
        <v>3937</v>
      </c>
      <c r="F373" t="s">
        <v>4985</v>
      </c>
      <c r="G373" s="293">
        <v>1205114</v>
      </c>
      <c r="H373" s="293">
        <v>1405125.22</v>
      </c>
      <c r="I373" s="263">
        <v>45951</v>
      </c>
      <c r="J373" s="263">
        <v>11008</v>
      </c>
    </row>
    <row r="374" spans="1:10" x14ac:dyDescent="0.2">
      <c r="A374" t="s">
        <v>3938</v>
      </c>
      <c r="B374" t="s">
        <v>3936</v>
      </c>
      <c r="C374" t="s">
        <v>2189</v>
      </c>
      <c r="D374" t="s">
        <v>4982</v>
      </c>
      <c r="E374" t="s">
        <v>3937</v>
      </c>
      <c r="F374" t="s">
        <v>4986</v>
      </c>
      <c r="G374" s="293">
        <v>967722</v>
      </c>
      <c r="H374" s="293">
        <v>1128333.57</v>
      </c>
      <c r="I374" s="263">
        <v>45951</v>
      </c>
      <c r="J374" s="263">
        <v>11008</v>
      </c>
    </row>
    <row r="375" spans="1:10" x14ac:dyDescent="0.2">
      <c r="A375" t="s">
        <v>4346</v>
      </c>
      <c r="B375" t="s">
        <v>4345</v>
      </c>
      <c r="C375" t="s">
        <v>2189</v>
      </c>
      <c r="D375" t="s">
        <v>4982</v>
      </c>
      <c r="E375" t="s">
        <v>3937</v>
      </c>
      <c r="F375" t="s">
        <v>4987</v>
      </c>
      <c r="G375" s="293">
        <v>694666</v>
      </c>
      <c r="H375" s="293">
        <v>812635.13</v>
      </c>
      <c r="I375" s="263">
        <v>46009</v>
      </c>
      <c r="J375" s="263">
        <v>11063</v>
      </c>
    </row>
    <row r="376" spans="1:10" x14ac:dyDescent="0.2">
      <c r="A376" t="s">
        <v>4046</v>
      </c>
      <c r="B376" t="s">
        <v>4042</v>
      </c>
      <c r="C376" t="s">
        <v>2711</v>
      </c>
      <c r="D376" t="s">
        <v>4988</v>
      </c>
      <c r="E376" t="s">
        <v>4043</v>
      </c>
      <c r="F376" t="s">
        <v>4989</v>
      </c>
      <c r="G376" s="293">
        <v>7387000</v>
      </c>
      <c r="H376" s="293">
        <v>8324676.29</v>
      </c>
      <c r="I376" s="263">
        <v>45569</v>
      </c>
      <c r="J376" s="263">
        <v>46814</v>
      </c>
    </row>
    <row r="377" spans="1:10" x14ac:dyDescent="0.2">
      <c r="A377" t="s">
        <v>4045</v>
      </c>
      <c r="B377" t="s">
        <v>4042</v>
      </c>
      <c r="C377" t="s">
        <v>2711</v>
      </c>
      <c r="D377" t="s">
        <v>4988</v>
      </c>
      <c r="E377" t="s">
        <v>4043</v>
      </c>
      <c r="F377" t="s">
        <v>4990</v>
      </c>
      <c r="G377" s="293">
        <v>7052000</v>
      </c>
      <c r="H377" s="293">
        <v>7947152.7300000004</v>
      </c>
      <c r="I377" s="263">
        <v>45569</v>
      </c>
      <c r="J377" s="263">
        <v>46814</v>
      </c>
    </row>
    <row r="378" spans="1:10" x14ac:dyDescent="0.2">
      <c r="A378" t="s">
        <v>4044</v>
      </c>
      <c r="B378" t="s">
        <v>4042</v>
      </c>
      <c r="C378" t="s">
        <v>2711</v>
      </c>
      <c r="D378" t="s">
        <v>4988</v>
      </c>
      <c r="E378" t="s">
        <v>4043</v>
      </c>
      <c r="F378" t="s">
        <v>4991</v>
      </c>
      <c r="G378" s="293">
        <v>1830333</v>
      </c>
      <c r="H378" s="293">
        <v>2062668.16</v>
      </c>
      <c r="I378" s="263">
        <v>45569</v>
      </c>
      <c r="J378" s="263">
        <v>46814</v>
      </c>
    </row>
    <row r="379" spans="1:10" x14ac:dyDescent="0.2">
      <c r="A379" t="s">
        <v>3863</v>
      </c>
      <c r="B379" t="s">
        <v>3861</v>
      </c>
      <c r="C379" t="s">
        <v>4992</v>
      </c>
      <c r="D379" t="s">
        <v>4993</v>
      </c>
      <c r="E379" t="s">
        <v>3862</v>
      </c>
      <c r="F379" t="s">
        <v>4994</v>
      </c>
      <c r="G379" s="293">
        <v>4974000</v>
      </c>
      <c r="H379" s="293">
        <v>5664490.6900000004</v>
      </c>
      <c r="I379" s="263">
        <v>45569</v>
      </c>
      <c r="J379" s="263">
        <v>47154</v>
      </c>
    </row>
    <row r="380" spans="1:10" x14ac:dyDescent="0.2">
      <c r="A380" t="s">
        <v>3922</v>
      </c>
      <c r="B380" t="s">
        <v>3920</v>
      </c>
      <c r="C380" t="s">
        <v>4995</v>
      </c>
      <c r="D380" t="s">
        <v>4996</v>
      </c>
      <c r="E380" t="s">
        <v>3921</v>
      </c>
      <c r="F380" t="s">
        <v>4997</v>
      </c>
      <c r="G380" s="293">
        <v>8718360</v>
      </c>
      <c r="H380" s="293">
        <v>10219967.4</v>
      </c>
      <c r="I380" s="263">
        <v>46283</v>
      </c>
      <c r="J380" s="263">
        <v>47393</v>
      </c>
    </row>
    <row r="381" spans="1:10" x14ac:dyDescent="0.2">
      <c r="A381" t="s">
        <v>4572</v>
      </c>
      <c r="B381" t="s">
        <v>4571</v>
      </c>
      <c r="C381" t="s">
        <v>4995</v>
      </c>
      <c r="D381" t="s">
        <v>4996</v>
      </c>
      <c r="E381" t="s">
        <v>3921</v>
      </c>
      <c r="F381" t="s">
        <v>4998</v>
      </c>
      <c r="G381" s="293">
        <v>429800</v>
      </c>
      <c r="H381" s="293">
        <v>484322.49</v>
      </c>
      <c r="I381" s="263">
        <v>45951</v>
      </c>
      <c r="J381" s="263">
        <v>46415</v>
      </c>
    </row>
    <row r="382" spans="1:10" x14ac:dyDescent="0.2">
      <c r="A382" t="s">
        <v>3685</v>
      </c>
      <c r="B382" t="s">
        <v>3683</v>
      </c>
      <c r="C382" t="s">
        <v>4995</v>
      </c>
      <c r="D382" t="s">
        <v>4999</v>
      </c>
      <c r="E382" t="s">
        <v>3684</v>
      </c>
      <c r="F382" t="s">
        <v>5000</v>
      </c>
      <c r="G382" s="293">
        <v>3211941</v>
      </c>
      <c r="H382" s="293">
        <v>3751144.22</v>
      </c>
      <c r="I382" s="263">
        <v>46266</v>
      </c>
      <c r="J382" s="263">
        <v>47270</v>
      </c>
    </row>
    <row r="383" spans="1:10" x14ac:dyDescent="0.2">
      <c r="A383" t="s">
        <v>3925</v>
      </c>
      <c r="B383" t="s">
        <v>3923</v>
      </c>
      <c r="C383" t="s">
        <v>5001</v>
      </c>
      <c r="D383" t="s">
        <v>3036</v>
      </c>
      <c r="E383" t="s">
        <v>3924</v>
      </c>
      <c r="F383" t="s">
        <v>3040</v>
      </c>
      <c r="G383" s="293">
        <v>12768743</v>
      </c>
      <c r="H383" s="293">
        <v>14841184.050000001</v>
      </c>
      <c r="I383" s="263">
        <v>46154</v>
      </c>
      <c r="J383" s="263">
        <v>47248</v>
      </c>
    </row>
    <row r="384" spans="1:10" x14ac:dyDescent="0.2">
      <c r="A384" t="s">
        <v>3696</v>
      </c>
      <c r="B384" t="s">
        <v>3694</v>
      </c>
      <c r="C384" t="s">
        <v>5002</v>
      </c>
      <c r="D384" t="s">
        <v>5003</v>
      </c>
      <c r="E384" t="s">
        <v>3695</v>
      </c>
      <c r="F384" t="s">
        <v>5004</v>
      </c>
      <c r="G384" s="293">
        <v>2465637</v>
      </c>
      <c r="H384" s="293">
        <v>2921805.49</v>
      </c>
      <c r="I384" s="263">
        <v>46455</v>
      </c>
      <c r="J384" s="263">
        <v>11046</v>
      </c>
    </row>
    <row r="385" spans="1:10" x14ac:dyDescent="0.2">
      <c r="A385" t="s">
        <v>4553</v>
      </c>
      <c r="B385" t="s">
        <v>4545</v>
      </c>
      <c r="C385" t="s">
        <v>5005</v>
      </c>
      <c r="D385" t="s">
        <v>5006</v>
      </c>
      <c r="E385" t="s">
        <v>4550</v>
      </c>
      <c r="F385" t="s">
        <v>5007</v>
      </c>
      <c r="G385" s="293">
        <v>324180</v>
      </c>
      <c r="H385" s="293">
        <v>380570.25</v>
      </c>
      <c r="I385" s="263">
        <v>46681</v>
      </c>
      <c r="J385" s="263">
        <v>47045</v>
      </c>
    </row>
    <row r="386" spans="1:10" x14ac:dyDescent="0.2">
      <c r="A386" t="s">
        <v>4552</v>
      </c>
      <c r="B386" t="s">
        <v>4545</v>
      </c>
      <c r="C386" t="s">
        <v>5005</v>
      </c>
      <c r="D386" t="s">
        <v>5006</v>
      </c>
      <c r="E386" t="s">
        <v>4550</v>
      </c>
      <c r="F386" t="s">
        <v>5008</v>
      </c>
      <c r="G386" s="293">
        <v>308180</v>
      </c>
      <c r="H386" s="293">
        <v>353653.14</v>
      </c>
      <c r="I386" s="263">
        <v>46316</v>
      </c>
      <c r="J386" s="263">
        <v>46680</v>
      </c>
    </row>
    <row r="387" spans="1:10" x14ac:dyDescent="0.2">
      <c r="A387" t="s">
        <v>4551</v>
      </c>
      <c r="B387" t="s">
        <v>4545</v>
      </c>
      <c r="C387" t="s">
        <v>5005</v>
      </c>
      <c r="D387" t="s">
        <v>5006</v>
      </c>
      <c r="E387" t="s">
        <v>4550</v>
      </c>
      <c r="F387" t="s">
        <v>5009</v>
      </c>
      <c r="G387" s="293">
        <v>300180</v>
      </c>
      <c r="H387" s="293">
        <v>336727.83</v>
      </c>
      <c r="I387" s="263">
        <v>45951</v>
      </c>
      <c r="J387" s="263">
        <v>46315</v>
      </c>
    </row>
    <row r="388" spans="1:10" x14ac:dyDescent="0.2">
      <c r="A388" t="s">
        <v>4549</v>
      </c>
      <c r="B388" t="s">
        <v>4545</v>
      </c>
      <c r="C388" t="s">
        <v>5005</v>
      </c>
      <c r="D388" t="s">
        <v>5010</v>
      </c>
      <c r="E388" t="s">
        <v>4546</v>
      </c>
      <c r="F388" t="s">
        <v>5007</v>
      </c>
      <c r="G388" s="293">
        <v>324180</v>
      </c>
      <c r="H388" s="293">
        <v>380570.25</v>
      </c>
      <c r="I388" s="263">
        <v>46681</v>
      </c>
      <c r="J388" s="263">
        <v>47045</v>
      </c>
    </row>
    <row r="389" spans="1:10" x14ac:dyDescent="0.2">
      <c r="A389" t="s">
        <v>4548</v>
      </c>
      <c r="B389" t="s">
        <v>4545</v>
      </c>
      <c r="C389" t="s">
        <v>5005</v>
      </c>
      <c r="D389" t="s">
        <v>5010</v>
      </c>
      <c r="E389" t="s">
        <v>4546</v>
      </c>
      <c r="F389" t="s">
        <v>5008</v>
      </c>
      <c r="G389" s="293">
        <v>308180</v>
      </c>
      <c r="H389" s="293">
        <v>353653.14</v>
      </c>
      <c r="I389" s="263">
        <v>46316</v>
      </c>
      <c r="J389" s="263">
        <v>46680</v>
      </c>
    </row>
    <row r="390" spans="1:10" x14ac:dyDescent="0.2">
      <c r="A390" t="s">
        <v>4547</v>
      </c>
      <c r="B390" t="s">
        <v>4545</v>
      </c>
      <c r="C390" t="s">
        <v>5005</v>
      </c>
      <c r="D390" t="s">
        <v>5010</v>
      </c>
      <c r="E390" t="s">
        <v>4546</v>
      </c>
      <c r="F390" t="s">
        <v>5009</v>
      </c>
      <c r="G390" s="293">
        <v>300180</v>
      </c>
      <c r="H390" s="293">
        <v>336727.83</v>
      </c>
      <c r="I390" s="263">
        <v>45951</v>
      </c>
      <c r="J390" s="263">
        <v>46315</v>
      </c>
    </row>
    <row r="391" spans="1:10" x14ac:dyDescent="0.2">
      <c r="A391" t="s">
        <v>4375</v>
      </c>
      <c r="B391" t="s">
        <v>4373</v>
      </c>
      <c r="C391" t="s">
        <v>5011</v>
      </c>
      <c r="D391" t="s">
        <v>5012</v>
      </c>
      <c r="E391" t="s">
        <v>4374</v>
      </c>
      <c r="F391" t="s">
        <v>5013</v>
      </c>
      <c r="G391" s="293">
        <v>250000</v>
      </c>
      <c r="H391" s="293">
        <v>286888.46000000002</v>
      </c>
      <c r="I391" s="263">
        <v>46316</v>
      </c>
      <c r="J391" s="263">
        <v>46680</v>
      </c>
    </row>
    <row r="392" spans="1:10" x14ac:dyDescent="0.2">
      <c r="A392" t="s">
        <v>4022</v>
      </c>
      <c r="B392" t="s">
        <v>4020</v>
      </c>
      <c r="C392" t="s">
        <v>2439</v>
      </c>
      <c r="D392" t="s">
        <v>2436</v>
      </c>
      <c r="E392" t="s">
        <v>4021</v>
      </c>
      <c r="F392" t="s">
        <v>5014</v>
      </c>
      <c r="G392" s="293">
        <v>5269134</v>
      </c>
      <c r="H392" s="293">
        <v>5451225.29</v>
      </c>
      <c r="I392" s="263">
        <v>44712</v>
      </c>
      <c r="J392" s="263">
        <v>44963</v>
      </c>
    </row>
    <row r="393" spans="1:10" x14ac:dyDescent="0.2">
      <c r="A393" t="s">
        <v>4023</v>
      </c>
      <c r="B393" t="s">
        <v>4020</v>
      </c>
      <c r="C393" t="s">
        <v>2439</v>
      </c>
      <c r="D393" t="s">
        <v>2436</v>
      </c>
      <c r="E393" t="s">
        <v>4021</v>
      </c>
      <c r="F393" t="s">
        <v>5015</v>
      </c>
      <c r="G393" s="293">
        <v>3908523</v>
      </c>
      <c r="H393" s="293">
        <v>4122119.87</v>
      </c>
      <c r="I393" s="263">
        <v>44964</v>
      </c>
      <c r="J393" s="263">
        <v>45327</v>
      </c>
    </row>
    <row r="394" spans="1:10" x14ac:dyDescent="0.2">
      <c r="A394" t="s">
        <v>4027</v>
      </c>
      <c r="B394" t="s">
        <v>4020</v>
      </c>
      <c r="C394" t="s">
        <v>2439</v>
      </c>
      <c r="D394" t="s">
        <v>2436</v>
      </c>
      <c r="E394" t="s">
        <v>4021</v>
      </c>
      <c r="F394" t="s">
        <v>2462</v>
      </c>
      <c r="G394" s="293">
        <v>1422897</v>
      </c>
      <c r="H394" s="293">
        <v>1606552.76</v>
      </c>
      <c r="I394" s="263">
        <v>46058</v>
      </c>
      <c r="J394" s="263">
        <v>46422</v>
      </c>
    </row>
    <row r="395" spans="1:10" x14ac:dyDescent="0.2">
      <c r="A395" t="s">
        <v>4026</v>
      </c>
      <c r="B395" t="s">
        <v>4020</v>
      </c>
      <c r="C395" t="s">
        <v>2439</v>
      </c>
      <c r="D395" t="s">
        <v>2436</v>
      </c>
      <c r="E395" t="s">
        <v>4021</v>
      </c>
      <c r="F395" t="s">
        <v>2460</v>
      </c>
      <c r="G395" s="293">
        <v>1422897</v>
      </c>
      <c r="H395" s="293">
        <v>1570432.69</v>
      </c>
      <c r="I395" s="263">
        <v>45693</v>
      </c>
      <c r="J395" s="263">
        <v>46057</v>
      </c>
    </row>
    <row r="396" spans="1:10" x14ac:dyDescent="0.2">
      <c r="A396" t="s">
        <v>4025</v>
      </c>
      <c r="B396" t="s">
        <v>4020</v>
      </c>
      <c r="C396" t="s">
        <v>2439</v>
      </c>
      <c r="D396" t="s">
        <v>2436</v>
      </c>
      <c r="E396" t="s">
        <v>4021</v>
      </c>
      <c r="F396" t="s">
        <v>2458</v>
      </c>
      <c r="G396" s="293">
        <v>948598</v>
      </c>
      <c r="H396" s="293">
        <v>1025894.89</v>
      </c>
      <c r="I396" s="263">
        <v>45413</v>
      </c>
      <c r="J396" s="263">
        <v>45692</v>
      </c>
    </row>
    <row r="397" spans="1:10" x14ac:dyDescent="0.2">
      <c r="A397" t="s">
        <v>4031</v>
      </c>
      <c r="B397" t="s">
        <v>4020</v>
      </c>
      <c r="C397" t="s">
        <v>2439</v>
      </c>
      <c r="D397" t="s">
        <v>2436</v>
      </c>
      <c r="E397" t="s">
        <v>4021</v>
      </c>
      <c r="F397" t="s">
        <v>2470</v>
      </c>
      <c r="G397" s="293">
        <v>711448</v>
      </c>
      <c r="H397" s="293">
        <v>879765.87</v>
      </c>
      <c r="I397" s="263">
        <v>10994</v>
      </c>
      <c r="J397" s="263">
        <v>11358</v>
      </c>
    </row>
    <row r="398" spans="1:10" x14ac:dyDescent="0.2">
      <c r="A398" t="s">
        <v>4030</v>
      </c>
      <c r="B398" t="s">
        <v>4020</v>
      </c>
      <c r="C398" t="s">
        <v>2439</v>
      </c>
      <c r="D398" t="s">
        <v>2436</v>
      </c>
      <c r="E398" t="s">
        <v>4021</v>
      </c>
      <c r="F398" t="s">
        <v>2468</v>
      </c>
      <c r="G398" s="293">
        <v>711448</v>
      </c>
      <c r="H398" s="293">
        <v>860012.67</v>
      </c>
      <c r="I398" s="263">
        <v>47155</v>
      </c>
      <c r="J398" s="263">
        <v>10993</v>
      </c>
    </row>
    <row r="399" spans="1:10" x14ac:dyDescent="0.2">
      <c r="A399" t="s">
        <v>4029</v>
      </c>
      <c r="B399" t="s">
        <v>4020</v>
      </c>
      <c r="C399" t="s">
        <v>2439</v>
      </c>
      <c r="D399" t="s">
        <v>2436</v>
      </c>
      <c r="E399" t="s">
        <v>4021</v>
      </c>
      <c r="F399" t="s">
        <v>2466</v>
      </c>
      <c r="G399" s="293">
        <v>711448</v>
      </c>
      <c r="H399" s="293">
        <v>840651.4</v>
      </c>
      <c r="I399" s="263">
        <v>46790</v>
      </c>
      <c r="J399" s="263">
        <v>47154</v>
      </c>
    </row>
    <row r="400" spans="1:10" x14ac:dyDescent="0.2">
      <c r="A400" t="s">
        <v>4024</v>
      </c>
      <c r="B400" t="s">
        <v>4020</v>
      </c>
      <c r="C400" t="s">
        <v>2439</v>
      </c>
      <c r="D400" t="s">
        <v>2436</v>
      </c>
      <c r="E400" t="s">
        <v>4021</v>
      </c>
      <c r="F400" t="s">
        <v>5016</v>
      </c>
      <c r="G400" s="293">
        <v>781705</v>
      </c>
      <c r="H400" s="293">
        <v>836892.59</v>
      </c>
      <c r="I400" s="263">
        <v>45328</v>
      </c>
      <c r="J400" s="263">
        <v>45412</v>
      </c>
    </row>
    <row r="401" spans="1:10" x14ac:dyDescent="0.2">
      <c r="A401" t="s">
        <v>4028</v>
      </c>
      <c r="B401" t="s">
        <v>4020</v>
      </c>
      <c r="C401" t="s">
        <v>2439</v>
      </c>
      <c r="D401" t="s">
        <v>2436</v>
      </c>
      <c r="E401" t="s">
        <v>4021</v>
      </c>
      <c r="F401" t="s">
        <v>2464</v>
      </c>
      <c r="G401" s="293">
        <v>711448</v>
      </c>
      <c r="H401" s="293">
        <v>821751.35</v>
      </c>
      <c r="I401" s="263">
        <v>46423</v>
      </c>
      <c r="J401" s="263">
        <v>46787</v>
      </c>
    </row>
    <row r="402" spans="1:10" x14ac:dyDescent="0.2">
      <c r="A402" t="s">
        <v>4032</v>
      </c>
      <c r="B402" t="s">
        <v>4020</v>
      </c>
      <c r="C402" t="s">
        <v>2439</v>
      </c>
      <c r="D402" t="s">
        <v>2436</v>
      </c>
      <c r="E402" t="s">
        <v>4021</v>
      </c>
      <c r="F402" t="s">
        <v>2472</v>
      </c>
      <c r="G402" s="293">
        <v>415012</v>
      </c>
      <c r="H402" s="293">
        <v>520974.94</v>
      </c>
      <c r="I402" s="263">
        <v>11359</v>
      </c>
      <c r="J402" s="263">
        <v>11574</v>
      </c>
    </row>
    <row r="403" spans="1:10" x14ac:dyDescent="0.2">
      <c r="A403" t="s">
        <v>3719</v>
      </c>
      <c r="B403" t="s">
        <v>3715</v>
      </c>
      <c r="C403" t="s">
        <v>2439</v>
      </c>
      <c r="D403" t="s">
        <v>2473</v>
      </c>
      <c r="E403" t="s">
        <v>3716</v>
      </c>
      <c r="F403" t="s">
        <v>2480</v>
      </c>
      <c r="G403" s="293">
        <v>650000</v>
      </c>
      <c r="H403" s="293">
        <v>736844.71</v>
      </c>
      <c r="I403" s="263">
        <v>46121</v>
      </c>
      <c r="J403" s="263">
        <v>46485</v>
      </c>
    </row>
    <row r="404" spans="1:10" x14ac:dyDescent="0.2">
      <c r="A404" t="s">
        <v>3718</v>
      </c>
      <c r="B404" t="s">
        <v>3715</v>
      </c>
      <c r="C404" t="s">
        <v>2439</v>
      </c>
      <c r="D404" t="s">
        <v>2473</v>
      </c>
      <c r="E404" t="s">
        <v>3716</v>
      </c>
      <c r="F404" t="s">
        <v>2478</v>
      </c>
      <c r="G404" s="293">
        <v>650000</v>
      </c>
      <c r="H404" s="293">
        <v>720278.18</v>
      </c>
      <c r="I404" s="263">
        <v>45756</v>
      </c>
      <c r="J404" s="263">
        <v>46120</v>
      </c>
    </row>
    <row r="405" spans="1:10" x14ac:dyDescent="0.2">
      <c r="A405" t="s">
        <v>3717</v>
      </c>
      <c r="B405" t="s">
        <v>3715</v>
      </c>
      <c r="C405" t="s">
        <v>2439</v>
      </c>
      <c r="D405" t="s">
        <v>2473</v>
      </c>
      <c r="E405" t="s">
        <v>3716</v>
      </c>
      <c r="F405" t="s">
        <v>2476</v>
      </c>
      <c r="G405" s="293">
        <v>400000</v>
      </c>
      <c r="H405" s="293">
        <v>434875.12</v>
      </c>
      <c r="I405" s="263">
        <v>45476</v>
      </c>
      <c r="J405" s="263">
        <v>45755</v>
      </c>
    </row>
    <row r="406" spans="1:10" x14ac:dyDescent="0.2">
      <c r="A406" t="s">
        <v>3720</v>
      </c>
      <c r="B406" t="s">
        <v>3715</v>
      </c>
      <c r="C406" t="s">
        <v>2439</v>
      </c>
      <c r="D406" t="s">
        <v>2473</v>
      </c>
      <c r="E406" t="s">
        <v>3716</v>
      </c>
      <c r="F406" t="s">
        <v>2482</v>
      </c>
      <c r="G406" s="293">
        <v>325000</v>
      </c>
      <c r="H406" s="293">
        <v>376896.11</v>
      </c>
      <c r="I406" s="263">
        <v>46486</v>
      </c>
      <c r="J406" s="263">
        <v>46850</v>
      </c>
    </row>
    <row r="407" spans="1:10" x14ac:dyDescent="0.2">
      <c r="A407" t="s">
        <v>4444</v>
      </c>
      <c r="B407" t="s">
        <v>4439</v>
      </c>
      <c r="C407" t="s">
        <v>2439</v>
      </c>
      <c r="D407" t="s">
        <v>2473</v>
      </c>
      <c r="E407" t="s">
        <v>3716</v>
      </c>
      <c r="F407" t="s">
        <v>5017</v>
      </c>
      <c r="G407" s="293">
        <v>60000</v>
      </c>
      <c r="H407" s="293">
        <v>68016.429999999993</v>
      </c>
      <c r="I407" s="263">
        <v>46121</v>
      </c>
      <c r="J407" s="263">
        <v>46485</v>
      </c>
    </row>
    <row r="408" spans="1:10" x14ac:dyDescent="0.2">
      <c r="A408" t="s">
        <v>4443</v>
      </c>
      <c r="B408" t="s">
        <v>4439</v>
      </c>
      <c r="C408" t="s">
        <v>2439</v>
      </c>
      <c r="D408" t="s">
        <v>2473</v>
      </c>
      <c r="E408" t="s">
        <v>3716</v>
      </c>
      <c r="F408" t="s">
        <v>5018</v>
      </c>
      <c r="G408" s="293">
        <v>60000</v>
      </c>
      <c r="H408" s="293">
        <v>66487.22</v>
      </c>
      <c r="I408" s="263">
        <v>45756</v>
      </c>
      <c r="J408" s="263">
        <v>46120</v>
      </c>
    </row>
    <row r="409" spans="1:10" x14ac:dyDescent="0.2">
      <c r="A409" t="s">
        <v>4442</v>
      </c>
      <c r="B409" t="s">
        <v>4439</v>
      </c>
      <c r="C409" t="s">
        <v>2439</v>
      </c>
      <c r="D409" t="s">
        <v>2473</v>
      </c>
      <c r="E409" t="s">
        <v>3716</v>
      </c>
      <c r="F409" t="s">
        <v>5019</v>
      </c>
      <c r="G409" s="293">
        <v>56250</v>
      </c>
      <c r="H409" s="293">
        <v>61154.31</v>
      </c>
      <c r="I409" s="263">
        <v>45476</v>
      </c>
      <c r="J409" s="263">
        <v>45755</v>
      </c>
    </row>
    <row r="410" spans="1:10" x14ac:dyDescent="0.2">
      <c r="A410" t="s">
        <v>4440</v>
      </c>
      <c r="B410" t="s">
        <v>4439</v>
      </c>
      <c r="C410" t="s">
        <v>2439</v>
      </c>
      <c r="D410" t="s">
        <v>2473</v>
      </c>
      <c r="E410" t="s">
        <v>3716</v>
      </c>
      <c r="F410" t="s">
        <v>5020</v>
      </c>
      <c r="G410" s="293">
        <v>40000</v>
      </c>
      <c r="H410" s="293">
        <v>42513.22</v>
      </c>
      <c r="I410" s="263">
        <v>45113</v>
      </c>
      <c r="J410" s="263">
        <v>45390</v>
      </c>
    </row>
    <row r="411" spans="1:10" x14ac:dyDescent="0.2">
      <c r="A411" t="s">
        <v>4448</v>
      </c>
      <c r="B411" t="s">
        <v>4439</v>
      </c>
      <c r="C411" t="s">
        <v>2439</v>
      </c>
      <c r="D411" t="s">
        <v>2473</v>
      </c>
      <c r="E411" t="s">
        <v>3716</v>
      </c>
      <c r="F411" t="s">
        <v>5021</v>
      </c>
      <c r="G411" s="293">
        <v>30000</v>
      </c>
      <c r="H411" s="293">
        <v>37249.949999999997</v>
      </c>
      <c r="I411" s="263">
        <v>11058</v>
      </c>
      <c r="J411" s="263">
        <v>11422</v>
      </c>
    </row>
    <row r="412" spans="1:10" x14ac:dyDescent="0.2">
      <c r="A412" t="s">
        <v>4447</v>
      </c>
      <c r="B412" t="s">
        <v>4439</v>
      </c>
      <c r="C412" t="s">
        <v>2439</v>
      </c>
      <c r="D412" t="s">
        <v>2473</v>
      </c>
      <c r="E412" t="s">
        <v>3716</v>
      </c>
      <c r="F412" t="s">
        <v>5022</v>
      </c>
      <c r="G412" s="293">
        <v>30000</v>
      </c>
      <c r="H412" s="293">
        <v>36412.47</v>
      </c>
      <c r="I412" s="263">
        <v>47218</v>
      </c>
      <c r="J412" s="263">
        <v>11057</v>
      </c>
    </row>
    <row r="413" spans="1:10" x14ac:dyDescent="0.2">
      <c r="A413" t="s">
        <v>4446</v>
      </c>
      <c r="B413" t="s">
        <v>4439</v>
      </c>
      <c r="C413" t="s">
        <v>2439</v>
      </c>
      <c r="D413" t="s">
        <v>2473</v>
      </c>
      <c r="E413" t="s">
        <v>3716</v>
      </c>
      <c r="F413" t="s">
        <v>5023</v>
      </c>
      <c r="G413" s="293">
        <v>30000</v>
      </c>
      <c r="H413" s="293">
        <v>35590.58</v>
      </c>
      <c r="I413" s="263">
        <v>46853</v>
      </c>
      <c r="J413" s="263">
        <v>47217</v>
      </c>
    </row>
    <row r="414" spans="1:10" x14ac:dyDescent="0.2">
      <c r="A414" t="s">
        <v>4445</v>
      </c>
      <c r="B414" t="s">
        <v>4439</v>
      </c>
      <c r="C414" t="s">
        <v>2439</v>
      </c>
      <c r="D414" t="s">
        <v>2473</v>
      </c>
      <c r="E414" t="s">
        <v>3716</v>
      </c>
      <c r="F414" t="s">
        <v>5024</v>
      </c>
      <c r="G414" s="293">
        <v>30000</v>
      </c>
      <c r="H414" s="293">
        <v>34790.410000000003</v>
      </c>
      <c r="I414" s="263">
        <v>46486</v>
      </c>
      <c r="J414" s="263">
        <v>46850</v>
      </c>
    </row>
    <row r="415" spans="1:10" x14ac:dyDescent="0.2">
      <c r="A415" t="s">
        <v>4449</v>
      </c>
      <c r="B415" t="s">
        <v>4439</v>
      </c>
      <c r="C415" t="s">
        <v>2439</v>
      </c>
      <c r="D415" t="s">
        <v>2473</v>
      </c>
      <c r="E415" t="s">
        <v>3716</v>
      </c>
      <c r="F415" t="s">
        <v>5025</v>
      </c>
      <c r="G415" s="293">
        <v>20000</v>
      </c>
      <c r="H415" s="293">
        <v>25218.14</v>
      </c>
      <c r="I415" s="263">
        <v>11423</v>
      </c>
      <c r="J415" s="263">
        <v>11637</v>
      </c>
    </row>
    <row r="416" spans="1:10" x14ac:dyDescent="0.2">
      <c r="A416" t="s">
        <v>4441</v>
      </c>
      <c r="B416" t="s">
        <v>4439</v>
      </c>
      <c r="C416" t="s">
        <v>2439</v>
      </c>
      <c r="D416" t="s">
        <v>2473</v>
      </c>
      <c r="E416" t="s">
        <v>3716</v>
      </c>
      <c r="F416" t="s">
        <v>5026</v>
      </c>
      <c r="G416" s="293">
        <v>18750</v>
      </c>
      <c r="H416" s="293">
        <v>20073.73</v>
      </c>
      <c r="I416" s="263">
        <v>45391</v>
      </c>
      <c r="J416" s="263">
        <v>45475</v>
      </c>
    </row>
    <row r="417" spans="1:10" x14ac:dyDescent="0.2">
      <c r="A417" t="s">
        <v>4457</v>
      </c>
      <c r="B417" t="s">
        <v>4450</v>
      </c>
      <c r="C417" t="s">
        <v>2439</v>
      </c>
      <c r="D417" t="s">
        <v>2473</v>
      </c>
      <c r="E417" t="s">
        <v>3716</v>
      </c>
      <c r="F417" t="s">
        <v>5027</v>
      </c>
      <c r="G417" s="293">
        <v>48000</v>
      </c>
      <c r="H417" s="293">
        <v>60571.59</v>
      </c>
      <c r="I417" s="263">
        <v>11318</v>
      </c>
      <c r="J417" s="263">
        <v>11675</v>
      </c>
    </row>
    <row r="418" spans="1:10" x14ac:dyDescent="0.2">
      <c r="A418" t="s">
        <v>4456</v>
      </c>
      <c r="B418" t="s">
        <v>4450</v>
      </c>
      <c r="C418" t="s">
        <v>2439</v>
      </c>
      <c r="D418" t="s">
        <v>2473</v>
      </c>
      <c r="E418" t="s">
        <v>3716</v>
      </c>
      <c r="F418" t="s">
        <v>5028</v>
      </c>
      <c r="G418" s="293">
        <v>48000</v>
      </c>
      <c r="H418" s="293">
        <v>59209.77</v>
      </c>
      <c r="I418" s="263">
        <v>47478</v>
      </c>
      <c r="J418" s="263">
        <v>11316</v>
      </c>
    </row>
    <row r="419" spans="1:10" x14ac:dyDescent="0.2">
      <c r="A419" t="s">
        <v>4455</v>
      </c>
      <c r="B419" t="s">
        <v>4450</v>
      </c>
      <c r="C419" t="s">
        <v>2439</v>
      </c>
      <c r="D419" t="s">
        <v>2473</v>
      </c>
      <c r="E419" t="s">
        <v>3716</v>
      </c>
      <c r="F419" t="s">
        <v>5029</v>
      </c>
      <c r="G419" s="293">
        <v>48000</v>
      </c>
      <c r="H419" s="293">
        <v>57878.559999999998</v>
      </c>
      <c r="I419" s="263">
        <v>47113</v>
      </c>
      <c r="J419" s="263">
        <v>47476</v>
      </c>
    </row>
    <row r="420" spans="1:10" x14ac:dyDescent="0.2">
      <c r="A420" t="s">
        <v>4454</v>
      </c>
      <c r="B420" t="s">
        <v>4450</v>
      </c>
      <c r="C420" t="s">
        <v>2439</v>
      </c>
      <c r="D420" t="s">
        <v>2473</v>
      </c>
      <c r="E420" t="s">
        <v>3716</v>
      </c>
      <c r="F420" t="s">
        <v>5030</v>
      </c>
      <c r="G420" s="293">
        <v>48000</v>
      </c>
      <c r="H420" s="293">
        <v>56572.12</v>
      </c>
      <c r="I420" s="263">
        <v>46748</v>
      </c>
      <c r="J420" s="263">
        <v>47109</v>
      </c>
    </row>
    <row r="421" spans="1:10" x14ac:dyDescent="0.2">
      <c r="A421" t="s">
        <v>4453</v>
      </c>
      <c r="B421" t="s">
        <v>4450</v>
      </c>
      <c r="C421" t="s">
        <v>2439</v>
      </c>
      <c r="D421" t="s">
        <v>2473</v>
      </c>
      <c r="E421" t="s">
        <v>3716</v>
      </c>
      <c r="F421" t="s">
        <v>5031</v>
      </c>
      <c r="G421" s="293">
        <v>48000</v>
      </c>
      <c r="H421" s="293">
        <v>55300.23</v>
      </c>
      <c r="I421" s="263">
        <v>46380</v>
      </c>
      <c r="J421" s="263">
        <v>46744</v>
      </c>
    </row>
    <row r="422" spans="1:10" x14ac:dyDescent="0.2">
      <c r="A422" t="s">
        <v>4452</v>
      </c>
      <c r="B422" t="s">
        <v>4450</v>
      </c>
      <c r="C422" t="s">
        <v>2439</v>
      </c>
      <c r="D422" t="s">
        <v>2473</v>
      </c>
      <c r="E422" t="s">
        <v>3716</v>
      </c>
      <c r="F422" t="s">
        <v>5032</v>
      </c>
      <c r="G422" s="293">
        <v>48000</v>
      </c>
      <c r="H422" s="293">
        <v>54056.9</v>
      </c>
      <c r="I422" s="263">
        <v>46015</v>
      </c>
      <c r="J422" s="263">
        <v>46379</v>
      </c>
    </row>
    <row r="423" spans="1:10" x14ac:dyDescent="0.2">
      <c r="A423" t="s">
        <v>4451</v>
      </c>
      <c r="B423" t="s">
        <v>4450</v>
      </c>
      <c r="C423" t="s">
        <v>2439</v>
      </c>
      <c r="D423" t="s">
        <v>2473</v>
      </c>
      <c r="E423" t="s">
        <v>3716</v>
      </c>
      <c r="F423" t="s">
        <v>5033</v>
      </c>
      <c r="G423" s="293">
        <v>36000</v>
      </c>
      <c r="H423" s="293">
        <v>40334.870000000003</v>
      </c>
      <c r="I423" s="263">
        <v>45951</v>
      </c>
      <c r="J423" s="263">
        <v>46014</v>
      </c>
    </row>
    <row r="424" spans="1:10" x14ac:dyDescent="0.2">
      <c r="A424" t="s">
        <v>4458</v>
      </c>
      <c r="B424" t="s">
        <v>4450</v>
      </c>
      <c r="C424" t="s">
        <v>2439</v>
      </c>
      <c r="D424" t="s">
        <v>2473</v>
      </c>
      <c r="E424" t="s">
        <v>3716</v>
      </c>
      <c r="F424" t="s">
        <v>5034</v>
      </c>
      <c r="G424" s="293">
        <v>21000</v>
      </c>
      <c r="H424" s="293">
        <v>26968.16</v>
      </c>
      <c r="I424" s="263">
        <v>11676</v>
      </c>
      <c r="J424" s="263">
        <v>11885</v>
      </c>
    </row>
    <row r="425" spans="1:10" x14ac:dyDescent="0.2">
      <c r="A425" t="s">
        <v>4462</v>
      </c>
      <c r="B425" t="s">
        <v>4459</v>
      </c>
      <c r="C425" t="s">
        <v>2439</v>
      </c>
      <c r="D425" t="s">
        <v>2473</v>
      </c>
      <c r="E425" t="s">
        <v>3716</v>
      </c>
      <c r="F425" t="s">
        <v>5035</v>
      </c>
      <c r="G425" s="293">
        <v>66667</v>
      </c>
      <c r="H425" s="293">
        <v>76806.259999999995</v>
      </c>
      <c r="I425" s="263">
        <v>46380</v>
      </c>
      <c r="J425" s="263">
        <v>46744</v>
      </c>
    </row>
    <row r="426" spans="1:10" x14ac:dyDescent="0.2">
      <c r="A426" t="s">
        <v>4461</v>
      </c>
      <c r="B426" t="s">
        <v>4459</v>
      </c>
      <c r="C426" t="s">
        <v>2439</v>
      </c>
      <c r="D426" t="s">
        <v>2473</v>
      </c>
      <c r="E426" t="s">
        <v>3716</v>
      </c>
      <c r="F426" t="s">
        <v>5036</v>
      </c>
      <c r="G426" s="293">
        <v>66667</v>
      </c>
      <c r="H426" s="293">
        <v>75079.41</v>
      </c>
      <c r="I426" s="263">
        <v>46015</v>
      </c>
      <c r="J426" s="263">
        <v>46379</v>
      </c>
    </row>
    <row r="427" spans="1:10" x14ac:dyDescent="0.2">
      <c r="A427" t="s">
        <v>4466</v>
      </c>
      <c r="B427" t="s">
        <v>4459</v>
      </c>
      <c r="C427" t="s">
        <v>2439</v>
      </c>
      <c r="D427" t="s">
        <v>2473</v>
      </c>
      <c r="E427" t="s">
        <v>3716</v>
      </c>
      <c r="F427" t="s">
        <v>5037</v>
      </c>
      <c r="G427" s="293">
        <v>33334</v>
      </c>
      <c r="H427" s="293">
        <v>42064.44</v>
      </c>
      <c r="I427" s="263">
        <v>11318</v>
      </c>
      <c r="J427" s="263">
        <v>11675</v>
      </c>
    </row>
    <row r="428" spans="1:10" x14ac:dyDescent="0.2">
      <c r="A428" t="s">
        <v>4465</v>
      </c>
      <c r="B428" t="s">
        <v>4459</v>
      </c>
      <c r="C428" t="s">
        <v>2439</v>
      </c>
      <c r="D428" t="s">
        <v>2473</v>
      </c>
      <c r="E428" t="s">
        <v>3716</v>
      </c>
      <c r="F428" t="s">
        <v>5038</v>
      </c>
      <c r="G428" s="293">
        <v>33334</v>
      </c>
      <c r="H428" s="293">
        <v>41118.720000000001</v>
      </c>
      <c r="I428" s="263">
        <v>47478</v>
      </c>
      <c r="J428" s="263">
        <v>11316</v>
      </c>
    </row>
    <row r="429" spans="1:10" x14ac:dyDescent="0.2">
      <c r="A429" t="s">
        <v>4464</v>
      </c>
      <c r="B429" t="s">
        <v>4459</v>
      </c>
      <c r="C429" t="s">
        <v>2439</v>
      </c>
      <c r="D429" t="s">
        <v>2473</v>
      </c>
      <c r="E429" t="s">
        <v>3716</v>
      </c>
      <c r="F429" t="s">
        <v>5039</v>
      </c>
      <c r="G429" s="293">
        <v>33334</v>
      </c>
      <c r="H429" s="293">
        <v>40194.25</v>
      </c>
      <c r="I429" s="263">
        <v>47113</v>
      </c>
      <c r="J429" s="263">
        <v>47476</v>
      </c>
    </row>
    <row r="430" spans="1:10" x14ac:dyDescent="0.2">
      <c r="A430" t="s">
        <v>4463</v>
      </c>
      <c r="B430" t="s">
        <v>4459</v>
      </c>
      <c r="C430" t="s">
        <v>2439</v>
      </c>
      <c r="D430" t="s">
        <v>2473</v>
      </c>
      <c r="E430" t="s">
        <v>3716</v>
      </c>
      <c r="F430" t="s">
        <v>5040</v>
      </c>
      <c r="G430" s="293">
        <v>33334</v>
      </c>
      <c r="H430" s="293">
        <v>39286.980000000003</v>
      </c>
      <c r="I430" s="263">
        <v>46748</v>
      </c>
      <c r="J430" s="263">
        <v>47109</v>
      </c>
    </row>
    <row r="431" spans="1:10" x14ac:dyDescent="0.2">
      <c r="A431" t="s">
        <v>4467</v>
      </c>
      <c r="B431" t="s">
        <v>4459</v>
      </c>
      <c r="C431" t="s">
        <v>2439</v>
      </c>
      <c r="D431" t="s">
        <v>2473</v>
      </c>
      <c r="E431" t="s">
        <v>3716</v>
      </c>
      <c r="F431" t="s">
        <v>5041</v>
      </c>
      <c r="G431" s="293">
        <v>16666</v>
      </c>
      <c r="H431" s="293">
        <v>21402.44</v>
      </c>
      <c r="I431" s="263">
        <v>11676</v>
      </c>
      <c r="J431" s="263">
        <v>11885</v>
      </c>
    </row>
    <row r="432" spans="1:10" x14ac:dyDescent="0.2">
      <c r="A432" t="s">
        <v>4460</v>
      </c>
      <c r="B432" t="s">
        <v>4459</v>
      </c>
      <c r="C432" t="s">
        <v>2439</v>
      </c>
      <c r="D432" t="s">
        <v>2473</v>
      </c>
      <c r="E432" t="s">
        <v>3716</v>
      </c>
      <c r="F432" t="s">
        <v>5042</v>
      </c>
      <c r="G432" s="293">
        <v>5000</v>
      </c>
      <c r="H432" s="293">
        <v>5602.06</v>
      </c>
      <c r="I432" s="263">
        <v>45951</v>
      </c>
      <c r="J432" s="263">
        <v>46014</v>
      </c>
    </row>
    <row r="433" spans="1:10" x14ac:dyDescent="0.2">
      <c r="A433" t="s">
        <v>4080</v>
      </c>
      <c r="B433" t="s">
        <v>4062</v>
      </c>
      <c r="C433" t="s">
        <v>2305</v>
      </c>
      <c r="D433" t="s">
        <v>5043</v>
      </c>
      <c r="E433" t="s">
        <v>4079</v>
      </c>
      <c r="F433" t="s">
        <v>5044</v>
      </c>
      <c r="G433" s="293">
        <v>3371339</v>
      </c>
      <c r="H433" s="293">
        <v>3864171.45</v>
      </c>
      <c r="I433" s="263">
        <v>46356</v>
      </c>
      <c r="J433" s="263">
        <v>46443</v>
      </c>
    </row>
    <row r="434" spans="1:10" x14ac:dyDescent="0.2">
      <c r="A434" t="s">
        <v>4125</v>
      </c>
      <c r="B434" t="s">
        <v>4098</v>
      </c>
      <c r="C434" t="s">
        <v>2305</v>
      </c>
      <c r="D434" t="s">
        <v>5043</v>
      </c>
      <c r="E434" t="s">
        <v>4079</v>
      </c>
      <c r="F434" t="s">
        <v>5045</v>
      </c>
      <c r="G434" s="293">
        <v>4155990</v>
      </c>
      <c r="H434" s="293">
        <v>4684985.1900000004</v>
      </c>
      <c r="I434" s="263">
        <v>46265</v>
      </c>
      <c r="J434" s="263">
        <v>46308</v>
      </c>
    </row>
    <row r="435" spans="1:10" x14ac:dyDescent="0.2">
      <c r="A435" t="s">
        <v>4126</v>
      </c>
      <c r="B435" t="s">
        <v>4098</v>
      </c>
      <c r="C435" t="s">
        <v>2305</v>
      </c>
      <c r="D435" t="s">
        <v>5043</v>
      </c>
      <c r="E435" t="s">
        <v>4079</v>
      </c>
      <c r="F435" t="s">
        <v>5046</v>
      </c>
      <c r="G435" s="293">
        <v>2025856</v>
      </c>
      <c r="H435" s="293">
        <v>2322001.71</v>
      </c>
      <c r="I435" s="263">
        <v>46309</v>
      </c>
      <c r="J435" s="263">
        <v>46351</v>
      </c>
    </row>
    <row r="436" spans="1:10" x14ac:dyDescent="0.2">
      <c r="A436" t="s">
        <v>4124</v>
      </c>
      <c r="B436" t="s">
        <v>4098</v>
      </c>
      <c r="C436" t="s">
        <v>2305</v>
      </c>
      <c r="D436" t="s">
        <v>5043</v>
      </c>
      <c r="E436" t="s">
        <v>4079</v>
      </c>
      <c r="F436" t="s">
        <v>5047</v>
      </c>
      <c r="G436" s="293">
        <v>68118</v>
      </c>
      <c r="H436" s="293">
        <v>76320.289999999994</v>
      </c>
      <c r="I436" s="263">
        <v>46223</v>
      </c>
      <c r="J436" s="263">
        <v>46262</v>
      </c>
    </row>
    <row r="437" spans="1:10" x14ac:dyDescent="0.2">
      <c r="A437" t="s">
        <v>3848</v>
      </c>
      <c r="B437" t="s">
        <v>3845</v>
      </c>
      <c r="C437" t="s">
        <v>2305</v>
      </c>
      <c r="D437" t="s">
        <v>2302</v>
      </c>
      <c r="E437" t="s">
        <v>3846</v>
      </c>
      <c r="F437" t="s">
        <v>2306</v>
      </c>
      <c r="G437" s="293">
        <v>1239202</v>
      </c>
      <c r="H437" s="293">
        <v>1420352.27</v>
      </c>
      <c r="I437" s="263">
        <v>46507</v>
      </c>
      <c r="J437" s="263">
        <v>46594</v>
      </c>
    </row>
    <row r="438" spans="1:10" x14ac:dyDescent="0.2">
      <c r="A438" t="s">
        <v>3849</v>
      </c>
      <c r="B438" t="s">
        <v>3845</v>
      </c>
      <c r="C438" t="s">
        <v>2305</v>
      </c>
      <c r="D438" t="s">
        <v>2302</v>
      </c>
      <c r="E438" t="s">
        <v>3846</v>
      </c>
      <c r="F438" t="s">
        <v>2308</v>
      </c>
      <c r="G438" s="293">
        <v>804869</v>
      </c>
      <c r="H438" s="293">
        <v>922527.17</v>
      </c>
      <c r="I438" s="263">
        <v>46595</v>
      </c>
      <c r="J438" s="263">
        <v>46658</v>
      </c>
    </row>
    <row r="439" spans="1:10" x14ac:dyDescent="0.2">
      <c r="A439" t="s">
        <v>3847</v>
      </c>
      <c r="B439" t="s">
        <v>3845</v>
      </c>
      <c r="C439" t="s">
        <v>2305</v>
      </c>
      <c r="D439" t="s">
        <v>2302</v>
      </c>
      <c r="E439" t="s">
        <v>3846</v>
      </c>
      <c r="F439" t="s">
        <v>5048</v>
      </c>
      <c r="G439" s="293">
        <v>647674</v>
      </c>
      <c r="H439" s="293">
        <v>742352.93</v>
      </c>
      <c r="I439" s="263">
        <v>46444</v>
      </c>
      <c r="J439" s="263">
        <v>46506</v>
      </c>
    </row>
    <row r="440" spans="1:10" x14ac:dyDescent="0.2">
      <c r="A440" t="s">
        <v>4068</v>
      </c>
      <c r="B440" t="s">
        <v>4062</v>
      </c>
      <c r="C440" t="s">
        <v>2305</v>
      </c>
      <c r="D440" t="s">
        <v>2327</v>
      </c>
      <c r="E440" t="s">
        <v>4067</v>
      </c>
      <c r="F440" t="s">
        <v>2333</v>
      </c>
      <c r="G440" s="293">
        <v>228838</v>
      </c>
      <c r="H440" s="293">
        <v>262290.23</v>
      </c>
      <c r="I440" s="263">
        <v>46323</v>
      </c>
      <c r="J440" s="263">
        <v>46414</v>
      </c>
    </row>
    <row r="441" spans="1:10" x14ac:dyDescent="0.2">
      <c r="A441" t="s">
        <v>4107</v>
      </c>
      <c r="B441" t="s">
        <v>4098</v>
      </c>
      <c r="C441" t="s">
        <v>2305</v>
      </c>
      <c r="D441" t="s">
        <v>2327</v>
      </c>
      <c r="E441" t="s">
        <v>4067</v>
      </c>
      <c r="F441" t="s">
        <v>2331</v>
      </c>
      <c r="G441" s="293">
        <v>138786</v>
      </c>
      <c r="H441" s="293">
        <v>157643.54999999999</v>
      </c>
      <c r="I441" s="263">
        <v>46280</v>
      </c>
      <c r="J441" s="263">
        <v>46322</v>
      </c>
    </row>
    <row r="442" spans="1:10" x14ac:dyDescent="0.2">
      <c r="A442" t="s">
        <v>4106</v>
      </c>
      <c r="B442" t="s">
        <v>4098</v>
      </c>
      <c r="C442" t="s">
        <v>2305</v>
      </c>
      <c r="D442" t="s">
        <v>2327</v>
      </c>
      <c r="E442" t="s">
        <v>4067</v>
      </c>
      <c r="F442" t="s">
        <v>2329</v>
      </c>
      <c r="G442" s="293">
        <v>79474</v>
      </c>
      <c r="H442" s="293">
        <v>89043.7</v>
      </c>
      <c r="I442" s="263">
        <v>46251</v>
      </c>
      <c r="J442" s="263">
        <v>46279</v>
      </c>
    </row>
    <row r="443" spans="1:10" x14ac:dyDescent="0.2">
      <c r="A443" t="s">
        <v>4105</v>
      </c>
      <c r="B443" t="s">
        <v>4098</v>
      </c>
      <c r="C443" t="s">
        <v>2305</v>
      </c>
      <c r="D443" t="s">
        <v>2327</v>
      </c>
      <c r="E443" t="s">
        <v>4067</v>
      </c>
      <c r="F443" t="s">
        <v>5049</v>
      </c>
      <c r="G443" s="293">
        <v>14661</v>
      </c>
      <c r="H443" s="293">
        <v>16426.37</v>
      </c>
      <c r="I443" s="263">
        <v>46223</v>
      </c>
      <c r="J443" s="263">
        <v>46248</v>
      </c>
    </row>
    <row r="444" spans="1:10" x14ac:dyDescent="0.2">
      <c r="A444" t="s">
        <v>4070</v>
      </c>
      <c r="B444" t="s">
        <v>4062</v>
      </c>
      <c r="C444" t="s">
        <v>2305</v>
      </c>
      <c r="D444" t="s">
        <v>2334</v>
      </c>
      <c r="E444" t="s">
        <v>4069</v>
      </c>
      <c r="F444" t="s">
        <v>2340</v>
      </c>
      <c r="G444" s="293">
        <v>140210</v>
      </c>
      <c r="H444" s="293">
        <v>160706.32</v>
      </c>
      <c r="I444" s="263">
        <v>46356</v>
      </c>
      <c r="J444" s="263">
        <v>46443</v>
      </c>
    </row>
    <row r="445" spans="1:10" x14ac:dyDescent="0.2">
      <c r="A445" t="s">
        <v>4110</v>
      </c>
      <c r="B445" t="s">
        <v>4098</v>
      </c>
      <c r="C445" t="s">
        <v>2305</v>
      </c>
      <c r="D445" t="s">
        <v>2334</v>
      </c>
      <c r="E445" t="s">
        <v>4069</v>
      </c>
      <c r="F445" t="s">
        <v>2338</v>
      </c>
      <c r="G445" s="293">
        <v>99476</v>
      </c>
      <c r="H445" s="293">
        <v>114017.7</v>
      </c>
      <c r="I445" s="263">
        <v>46309</v>
      </c>
      <c r="J445" s="263">
        <v>46351</v>
      </c>
    </row>
    <row r="446" spans="1:10" x14ac:dyDescent="0.2">
      <c r="A446" t="s">
        <v>4109</v>
      </c>
      <c r="B446" t="s">
        <v>4098</v>
      </c>
      <c r="C446" t="s">
        <v>2305</v>
      </c>
      <c r="D446" t="s">
        <v>2334</v>
      </c>
      <c r="E446" t="s">
        <v>4069</v>
      </c>
      <c r="F446" t="s">
        <v>2336</v>
      </c>
      <c r="G446" s="293">
        <v>42338</v>
      </c>
      <c r="H446" s="293">
        <v>47872.47</v>
      </c>
      <c r="I446" s="263">
        <v>46280</v>
      </c>
      <c r="J446" s="263">
        <v>46308</v>
      </c>
    </row>
    <row r="447" spans="1:10" x14ac:dyDescent="0.2">
      <c r="A447" t="s">
        <v>4108</v>
      </c>
      <c r="B447" t="s">
        <v>4098</v>
      </c>
      <c r="C447" t="s">
        <v>2305</v>
      </c>
      <c r="D447" t="s">
        <v>2334</v>
      </c>
      <c r="E447" t="s">
        <v>4069</v>
      </c>
      <c r="F447" t="s">
        <v>5050</v>
      </c>
      <c r="G447" s="293">
        <v>10560</v>
      </c>
      <c r="H447" s="293">
        <v>11831.56</v>
      </c>
      <c r="I447" s="263">
        <v>46251</v>
      </c>
      <c r="J447" s="263">
        <v>46279</v>
      </c>
    </row>
    <row r="448" spans="1:10" x14ac:dyDescent="0.2">
      <c r="A448" t="s">
        <v>4076</v>
      </c>
      <c r="B448" t="s">
        <v>4062</v>
      </c>
      <c r="C448" t="s">
        <v>2305</v>
      </c>
      <c r="D448" t="s">
        <v>2341</v>
      </c>
      <c r="E448" t="s">
        <v>4075</v>
      </c>
      <c r="F448" t="s">
        <v>2347</v>
      </c>
      <c r="G448" s="293">
        <v>283498</v>
      </c>
      <c r="H448" s="293">
        <v>324940.59000000003</v>
      </c>
      <c r="I448" s="263">
        <v>46400</v>
      </c>
      <c r="J448" s="263">
        <v>46443</v>
      </c>
    </row>
    <row r="449" spans="1:10" x14ac:dyDescent="0.2">
      <c r="A449" t="s">
        <v>4119</v>
      </c>
      <c r="B449" t="s">
        <v>4098</v>
      </c>
      <c r="C449" t="s">
        <v>2305</v>
      </c>
      <c r="D449" t="s">
        <v>2341</v>
      </c>
      <c r="E449" t="s">
        <v>4075</v>
      </c>
      <c r="F449" t="s">
        <v>2345</v>
      </c>
      <c r="G449" s="293">
        <v>117508</v>
      </c>
      <c r="H449" s="293">
        <v>134685.67000000001</v>
      </c>
      <c r="I449" s="263">
        <v>46356</v>
      </c>
      <c r="J449" s="263">
        <v>46399</v>
      </c>
    </row>
    <row r="450" spans="1:10" x14ac:dyDescent="0.2">
      <c r="A450" t="s">
        <v>4118</v>
      </c>
      <c r="B450" t="s">
        <v>4098</v>
      </c>
      <c r="C450" t="s">
        <v>2305</v>
      </c>
      <c r="D450" t="s">
        <v>2341</v>
      </c>
      <c r="E450" t="s">
        <v>4075</v>
      </c>
      <c r="F450" t="s">
        <v>2343</v>
      </c>
      <c r="G450" s="293">
        <v>14666</v>
      </c>
      <c r="H450" s="293">
        <v>16809.919999999998</v>
      </c>
      <c r="I450" s="263">
        <v>46323</v>
      </c>
      <c r="J450" s="263">
        <v>46351</v>
      </c>
    </row>
    <row r="451" spans="1:10" x14ac:dyDescent="0.2">
      <c r="A451" t="s">
        <v>4117</v>
      </c>
      <c r="B451" t="s">
        <v>4098</v>
      </c>
      <c r="C451" t="s">
        <v>2305</v>
      </c>
      <c r="D451" t="s">
        <v>2341</v>
      </c>
      <c r="E451" t="s">
        <v>4075</v>
      </c>
      <c r="F451" t="s">
        <v>5051</v>
      </c>
      <c r="G451" s="293">
        <v>7763</v>
      </c>
      <c r="H451" s="293">
        <v>8817.7999999999993</v>
      </c>
      <c r="I451" s="263">
        <v>46280</v>
      </c>
      <c r="J451" s="263">
        <v>46322</v>
      </c>
    </row>
    <row r="452" spans="1:10" x14ac:dyDescent="0.2">
      <c r="A452" t="s">
        <v>4066</v>
      </c>
      <c r="B452" t="s">
        <v>4062</v>
      </c>
      <c r="C452" t="s">
        <v>2305</v>
      </c>
      <c r="D452" t="s">
        <v>5052</v>
      </c>
      <c r="E452" t="s">
        <v>4065</v>
      </c>
      <c r="F452" t="s">
        <v>5053</v>
      </c>
      <c r="G452" s="293">
        <v>3487946</v>
      </c>
      <c r="H452" s="293">
        <v>3997824.41</v>
      </c>
      <c r="I452" s="263">
        <v>46363</v>
      </c>
      <c r="J452" s="263">
        <v>46428</v>
      </c>
    </row>
    <row r="453" spans="1:10" x14ac:dyDescent="0.2">
      <c r="A453" t="s">
        <v>4103</v>
      </c>
      <c r="B453" t="s">
        <v>4098</v>
      </c>
      <c r="C453" t="s">
        <v>2305</v>
      </c>
      <c r="D453" t="s">
        <v>5052</v>
      </c>
      <c r="E453" t="s">
        <v>4065</v>
      </c>
      <c r="F453" t="s">
        <v>5054</v>
      </c>
      <c r="G453" s="293">
        <v>3652270</v>
      </c>
      <c r="H453" s="293">
        <v>4092050.79</v>
      </c>
      <c r="I453" s="263">
        <v>46251</v>
      </c>
      <c r="J453" s="263">
        <v>46293</v>
      </c>
    </row>
    <row r="454" spans="1:10" x14ac:dyDescent="0.2">
      <c r="A454" t="s">
        <v>4104</v>
      </c>
      <c r="B454" t="s">
        <v>4098</v>
      </c>
      <c r="C454" t="s">
        <v>2305</v>
      </c>
      <c r="D454" t="s">
        <v>5052</v>
      </c>
      <c r="E454" t="s">
        <v>4065</v>
      </c>
      <c r="F454" t="s">
        <v>5055</v>
      </c>
      <c r="G454" s="293">
        <v>2330640</v>
      </c>
      <c r="H454" s="293">
        <v>2668670.59</v>
      </c>
      <c r="I454" s="263">
        <v>46294</v>
      </c>
      <c r="J454" s="263">
        <v>46360</v>
      </c>
    </row>
    <row r="455" spans="1:10" x14ac:dyDescent="0.2">
      <c r="A455" t="s">
        <v>4102</v>
      </c>
      <c r="B455" t="s">
        <v>4098</v>
      </c>
      <c r="C455" t="s">
        <v>2305</v>
      </c>
      <c r="D455" t="s">
        <v>5052</v>
      </c>
      <c r="E455" t="s">
        <v>4065</v>
      </c>
      <c r="F455" t="s">
        <v>5056</v>
      </c>
      <c r="G455" s="293">
        <v>143408</v>
      </c>
      <c r="H455" s="293">
        <v>160676.19</v>
      </c>
      <c r="I455" s="263">
        <v>46223</v>
      </c>
      <c r="J455" s="263">
        <v>46248</v>
      </c>
    </row>
    <row r="456" spans="1:10" x14ac:dyDescent="0.2">
      <c r="A456" t="s">
        <v>4064</v>
      </c>
      <c r="B456" t="s">
        <v>4062</v>
      </c>
      <c r="C456" t="s">
        <v>2305</v>
      </c>
      <c r="D456" t="s">
        <v>5057</v>
      </c>
      <c r="E456" t="s">
        <v>4063</v>
      </c>
      <c r="F456" t="s">
        <v>5058</v>
      </c>
      <c r="G456" s="293">
        <v>4228875</v>
      </c>
      <c r="H456" s="293">
        <v>4942938.8099999996</v>
      </c>
      <c r="I456" s="263">
        <v>46643</v>
      </c>
      <c r="J456" s="263">
        <v>46791</v>
      </c>
    </row>
    <row r="457" spans="1:10" x14ac:dyDescent="0.2">
      <c r="A457" t="s">
        <v>4101</v>
      </c>
      <c r="B457" t="s">
        <v>4098</v>
      </c>
      <c r="C457" t="s">
        <v>2305</v>
      </c>
      <c r="D457" t="s">
        <v>5057</v>
      </c>
      <c r="E457" t="s">
        <v>4063</v>
      </c>
      <c r="F457" t="s">
        <v>5059</v>
      </c>
      <c r="G457" s="293">
        <v>4601684</v>
      </c>
      <c r="H457" s="293">
        <v>5274371.97</v>
      </c>
      <c r="I457" s="263">
        <v>46470</v>
      </c>
      <c r="J457" s="263">
        <v>46640</v>
      </c>
    </row>
    <row r="458" spans="1:10" x14ac:dyDescent="0.2">
      <c r="A458" t="s">
        <v>4100</v>
      </c>
      <c r="B458" t="s">
        <v>4098</v>
      </c>
      <c r="C458" t="s">
        <v>2305</v>
      </c>
      <c r="D458" t="s">
        <v>5057</v>
      </c>
      <c r="E458" t="s">
        <v>4063</v>
      </c>
      <c r="F458" t="s">
        <v>5060</v>
      </c>
      <c r="G458" s="293">
        <v>3066079</v>
      </c>
      <c r="H458" s="293">
        <v>3514287.63</v>
      </c>
      <c r="I458" s="263">
        <v>46338</v>
      </c>
      <c r="J458" s="263">
        <v>46469</v>
      </c>
    </row>
    <row r="459" spans="1:10" x14ac:dyDescent="0.2">
      <c r="A459" t="s">
        <v>4099</v>
      </c>
      <c r="B459" t="s">
        <v>4098</v>
      </c>
      <c r="C459" t="s">
        <v>2305</v>
      </c>
      <c r="D459" t="s">
        <v>5057</v>
      </c>
      <c r="E459" t="s">
        <v>4063</v>
      </c>
      <c r="F459" t="s">
        <v>5061</v>
      </c>
      <c r="G459" s="293">
        <v>323245</v>
      </c>
      <c r="H459" s="293">
        <v>369942.59</v>
      </c>
      <c r="I459" s="263">
        <v>46294</v>
      </c>
      <c r="J459" s="263">
        <v>46336</v>
      </c>
    </row>
    <row r="460" spans="1:10" x14ac:dyDescent="0.2">
      <c r="A460" t="s">
        <v>4074</v>
      </c>
      <c r="B460" t="s">
        <v>4062</v>
      </c>
      <c r="C460" t="s">
        <v>2305</v>
      </c>
      <c r="D460" t="s">
        <v>2348</v>
      </c>
      <c r="E460" t="s">
        <v>4073</v>
      </c>
      <c r="F460" t="s">
        <v>2354</v>
      </c>
      <c r="G460" s="293">
        <v>271701</v>
      </c>
      <c r="H460" s="293">
        <v>311419.07</v>
      </c>
      <c r="I460" s="263">
        <v>46385</v>
      </c>
      <c r="J460" s="263">
        <v>46428</v>
      </c>
    </row>
    <row r="461" spans="1:10" x14ac:dyDescent="0.2">
      <c r="A461" t="s">
        <v>4115</v>
      </c>
      <c r="B461" t="s">
        <v>4098</v>
      </c>
      <c r="C461" t="s">
        <v>2305</v>
      </c>
      <c r="D461" t="s">
        <v>2348</v>
      </c>
      <c r="E461" t="s">
        <v>4073</v>
      </c>
      <c r="F461" t="s">
        <v>2350</v>
      </c>
      <c r="G461" s="293">
        <v>157673</v>
      </c>
      <c r="H461" s="293">
        <v>180451.23</v>
      </c>
      <c r="I461" s="263">
        <v>46294</v>
      </c>
      <c r="J461" s="263">
        <v>46336</v>
      </c>
    </row>
    <row r="462" spans="1:10" x14ac:dyDescent="0.2">
      <c r="A462" t="s">
        <v>4116</v>
      </c>
      <c r="B462" t="s">
        <v>4098</v>
      </c>
      <c r="C462" t="s">
        <v>2305</v>
      </c>
      <c r="D462" t="s">
        <v>2348</v>
      </c>
      <c r="E462" t="s">
        <v>4073</v>
      </c>
      <c r="F462" t="s">
        <v>2352</v>
      </c>
      <c r="G462" s="293">
        <v>147777</v>
      </c>
      <c r="H462" s="293">
        <v>169379.49</v>
      </c>
      <c r="I462" s="263">
        <v>46338</v>
      </c>
      <c r="J462" s="263">
        <v>46384</v>
      </c>
    </row>
    <row r="463" spans="1:10" x14ac:dyDescent="0.2">
      <c r="A463" t="s">
        <v>4114</v>
      </c>
      <c r="B463" t="s">
        <v>4098</v>
      </c>
      <c r="C463" t="s">
        <v>2305</v>
      </c>
      <c r="D463" t="s">
        <v>2348</v>
      </c>
      <c r="E463" t="s">
        <v>4073</v>
      </c>
      <c r="F463" t="s">
        <v>5062</v>
      </c>
      <c r="G463" s="293">
        <v>19993</v>
      </c>
      <c r="H463" s="293">
        <v>22400.42</v>
      </c>
      <c r="I463" s="263">
        <v>46251</v>
      </c>
      <c r="J463" s="263">
        <v>46293</v>
      </c>
    </row>
    <row r="464" spans="1:10" x14ac:dyDescent="0.2">
      <c r="A464" t="s">
        <v>4072</v>
      </c>
      <c r="B464" t="s">
        <v>4062</v>
      </c>
      <c r="C464" t="s">
        <v>2305</v>
      </c>
      <c r="D464" t="s">
        <v>2355</v>
      </c>
      <c r="E464" t="s">
        <v>4071</v>
      </c>
      <c r="F464" t="s">
        <v>2363</v>
      </c>
      <c r="G464" s="293">
        <v>4318552</v>
      </c>
      <c r="H464" s="293">
        <v>4949850.8899999997</v>
      </c>
      <c r="I464" s="263">
        <v>46458</v>
      </c>
      <c r="J464" s="263">
        <v>46542</v>
      </c>
    </row>
    <row r="465" spans="1:10" x14ac:dyDescent="0.2">
      <c r="A465" t="s">
        <v>4112</v>
      </c>
      <c r="B465" t="s">
        <v>4098</v>
      </c>
      <c r="C465" t="s">
        <v>2305</v>
      </c>
      <c r="D465" t="s">
        <v>2355</v>
      </c>
      <c r="E465" t="s">
        <v>4071</v>
      </c>
      <c r="F465" t="s">
        <v>2359</v>
      </c>
      <c r="G465" s="293">
        <v>3252378</v>
      </c>
      <c r="H465" s="293">
        <v>3711057.62</v>
      </c>
      <c r="I465" s="263">
        <v>46280</v>
      </c>
      <c r="J465" s="263">
        <v>46367</v>
      </c>
    </row>
    <row r="466" spans="1:10" x14ac:dyDescent="0.2">
      <c r="A466" t="s">
        <v>4113</v>
      </c>
      <c r="B466" t="s">
        <v>4098</v>
      </c>
      <c r="C466" t="s">
        <v>2305</v>
      </c>
      <c r="D466" t="s">
        <v>2355</v>
      </c>
      <c r="E466" t="s">
        <v>4071</v>
      </c>
      <c r="F466" t="s">
        <v>2361</v>
      </c>
      <c r="G466" s="293">
        <v>1739292</v>
      </c>
      <c r="H466" s="293">
        <v>1993546.92</v>
      </c>
      <c r="I466" s="263">
        <v>46370</v>
      </c>
      <c r="J466" s="263">
        <v>46457</v>
      </c>
    </row>
    <row r="467" spans="1:10" x14ac:dyDescent="0.2">
      <c r="A467" t="s">
        <v>4111</v>
      </c>
      <c r="B467" t="s">
        <v>4098</v>
      </c>
      <c r="C467" t="s">
        <v>2305</v>
      </c>
      <c r="D467" t="s">
        <v>2355</v>
      </c>
      <c r="E467" t="s">
        <v>4071</v>
      </c>
      <c r="F467" t="s">
        <v>2357</v>
      </c>
      <c r="G467" s="293">
        <v>35130</v>
      </c>
      <c r="H467" s="293">
        <v>39360.11</v>
      </c>
      <c r="I467" s="263">
        <v>46251</v>
      </c>
      <c r="J467" s="263">
        <v>46279</v>
      </c>
    </row>
    <row r="468" spans="1:10" x14ac:dyDescent="0.2">
      <c r="A468" t="s">
        <v>4122</v>
      </c>
      <c r="B468" t="s">
        <v>4098</v>
      </c>
      <c r="C468" t="s">
        <v>2305</v>
      </c>
      <c r="D468" t="s">
        <v>5063</v>
      </c>
      <c r="E468" t="s">
        <v>4120</v>
      </c>
      <c r="F468" t="s">
        <v>5064</v>
      </c>
      <c r="G468" s="293">
        <v>90010</v>
      </c>
      <c r="H468" s="293">
        <v>103013.29</v>
      </c>
      <c r="I468" s="263">
        <v>46294</v>
      </c>
      <c r="J468" s="263">
        <v>46336</v>
      </c>
    </row>
    <row r="469" spans="1:10" x14ac:dyDescent="0.2">
      <c r="A469" t="s">
        <v>4121</v>
      </c>
      <c r="B469" t="s">
        <v>4098</v>
      </c>
      <c r="C469" t="s">
        <v>2305</v>
      </c>
      <c r="D469" t="s">
        <v>5063</v>
      </c>
      <c r="E469" t="s">
        <v>4120</v>
      </c>
      <c r="F469" t="s">
        <v>5065</v>
      </c>
      <c r="G469" s="293">
        <v>61129</v>
      </c>
      <c r="H469" s="293">
        <v>69960</v>
      </c>
      <c r="I469" s="263">
        <v>46294</v>
      </c>
      <c r="J469" s="263">
        <v>46336</v>
      </c>
    </row>
    <row r="470" spans="1:10" x14ac:dyDescent="0.2">
      <c r="A470" t="s">
        <v>4123</v>
      </c>
      <c r="B470" t="s">
        <v>4098</v>
      </c>
      <c r="C470" t="s">
        <v>2305</v>
      </c>
      <c r="D470" t="s">
        <v>5063</v>
      </c>
      <c r="E470" t="s">
        <v>4120</v>
      </c>
      <c r="F470" t="s">
        <v>5066</v>
      </c>
      <c r="G470" s="293">
        <v>19531</v>
      </c>
      <c r="H470" s="293">
        <v>22352.55</v>
      </c>
      <c r="I470" s="263">
        <v>46294</v>
      </c>
      <c r="J470" s="263">
        <v>46336</v>
      </c>
    </row>
    <row r="471" spans="1:10" x14ac:dyDescent="0.2">
      <c r="A471" t="s">
        <v>4083</v>
      </c>
      <c r="B471" t="s">
        <v>4081</v>
      </c>
      <c r="C471" t="s">
        <v>2305</v>
      </c>
      <c r="D471" t="s">
        <v>2364</v>
      </c>
      <c r="E471" t="s">
        <v>4082</v>
      </c>
      <c r="F471" t="s">
        <v>2370</v>
      </c>
      <c r="G471" s="293">
        <v>2182264</v>
      </c>
      <c r="H471" s="293">
        <v>2501273.9</v>
      </c>
      <c r="I471" s="263">
        <v>46309</v>
      </c>
      <c r="J471" s="263">
        <v>46351</v>
      </c>
    </row>
    <row r="472" spans="1:10" x14ac:dyDescent="0.2">
      <c r="A472" t="s">
        <v>4130</v>
      </c>
      <c r="B472" t="s">
        <v>4127</v>
      </c>
      <c r="C472" t="s">
        <v>2305</v>
      </c>
      <c r="D472" t="s">
        <v>2364</v>
      </c>
      <c r="E472" t="s">
        <v>4082</v>
      </c>
      <c r="F472" t="s">
        <v>2368</v>
      </c>
      <c r="G472" s="293">
        <v>391287</v>
      </c>
      <c r="H472" s="293">
        <v>442436.43</v>
      </c>
      <c r="I472" s="263">
        <v>46280</v>
      </c>
      <c r="J472" s="263">
        <v>46308</v>
      </c>
    </row>
    <row r="473" spans="1:10" x14ac:dyDescent="0.2">
      <c r="A473" t="s">
        <v>4129</v>
      </c>
      <c r="B473" t="s">
        <v>4127</v>
      </c>
      <c r="C473" t="s">
        <v>2305</v>
      </c>
      <c r="D473" t="s">
        <v>2364</v>
      </c>
      <c r="E473" t="s">
        <v>4082</v>
      </c>
      <c r="F473" t="s">
        <v>2366</v>
      </c>
      <c r="G473" s="293">
        <v>295439</v>
      </c>
      <c r="H473" s="293">
        <v>331013.7</v>
      </c>
      <c r="I473" s="263">
        <v>46265</v>
      </c>
      <c r="J473" s="263">
        <v>46279</v>
      </c>
    </row>
    <row r="474" spans="1:10" x14ac:dyDescent="0.2">
      <c r="A474" t="s">
        <v>4128</v>
      </c>
      <c r="B474" t="s">
        <v>4127</v>
      </c>
      <c r="C474" t="s">
        <v>2305</v>
      </c>
      <c r="D474" t="s">
        <v>2364</v>
      </c>
      <c r="E474" t="s">
        <v>4082</v>
      </c>
      <c r="F474" t="s">
        <v>5067</v>
      </c>
      <c r="G474" s="293">
        <v>33173</v>
      </c>
      <c r="H474" s="293">
        <v>37167.46</v>
      </c>
      <c r="I474" s="263">
        <v>46223</v>
      </c>
      <c r="J474" s="263">
        <v>46262</v>
      </c>
    </row>
    <row r="475" spans="1:10" x14ac:dyDescent="0.2">
      <c r="A475" t="s">
        <v>4085</v>
      </c>
      <c r="B475" t="s">
        <v>4081</v>
      </c>
      <c r="C475" t="s">
        <v>2305</v>
      </c>
      <c r="D475" t="s">
        <v>2371</v>
      </c>
      <c r="E475" t="s">
        <v>4084</v>
      </c>
      <c r="F475" t="s">
        <v>2377</v>
      </c>
      <c r="G475" s="293">
        <v>2182264</v>
      </c>
      <c r="H475" s="293">
        <v>2501273.9</v>
      </c>
      <c r="I475" s="263">
        <v>46356</v>
      </c>
      <c r="J475" s="263">
        <v>46399</v>
      </c>
    </row>
    <row r="476" spans="1:10" x14ac:dyDescent="0.2">
      <c r="A476" t="s">
        <v>4133</v>
      </c>
      <c r="B476" t="s">
        <v>4127</v>
      </c>
      <c r="C476" t="s">
        <v>2305</v>
      </c>
      <c r="D476" t="s">
        <v>2371</v>
      </c>
      <c r="E476" t="s">
        <v>4084</v>
      </c>
      <c r="F476" t="s">
        <v>2375</v>
      </c>
      <c r="G476" s="293">
        <v>391287</v>
      </c>
      <c r="H476" s="293">
        <v>448486.51</v>
      </c>
      <c r="I476" s="263">
        <v>46323</v>
      </c>
      <c r="J476" s="263">
        <v>46351</v>
      </c>
    </row>
    <row r="477" spans="1:10" x14ac:dyDescent="0.2">
      <c r="A477" t="s">
        <v>4132</v>
      </c>
      <c r="B477" t="s">
        <v>4127</v>
      </c>
      <c r="C477" t="s">
        <v>2305</v>
      </c>
      <c r="D477" t="s">
        <v>2371</v>
      </c>
      <c r="E477" t="s">
        <v>4084</v>
      </c>
      <c r="F477" t="s">
        <v>2373</v>
      </c>
      <c r="G477" s="293">
        <v>295439</v>
      </c>
      <c r="H477" s="293">
        <v>338627.16</v>
      </c>
      <c r="I477" s="263">
        <v>46309</v>
      </c>
      <c r="J477" s="263">
        <v>46322</v>
      </c>
    </row>
    <row r="478" spans="1:10" x14ac:dyDescent="0.2">
      <c r="A478" t="s">
        <v>4131</v>
      </c>
      <c r="B478" t="s">
        <v>4127</v>
      </c>
      <c r="C478" t="s">
        <v>2305</v>
      </c>
      <c r="D478" t="s">
        <v>2371</v>
      </c>
      <c r="E478" t="s">
        <v>4084</v>
      </c>
      <c r="F478" t="s">
        <v>5068</v>
      </c>
      <c r="G478" s="293">
        <v>33173</v>
      </c>
      <c r="H478" s="293">
        <v>37395.43</v>
      </c>
      <c r="I478" s="263">
        <v>46265</v>
      </c>
      <c r="J478" s="263">
        <v>46308</v>
      </c>
    </row>
    <row r="479" spans="1:10" x14ac:dyDescent="0.2">
      <c r="A479" t="s">
        <v>4087</v>
      </c>
      <c r="B479" t="s">
        <v>4081</v>
      </c>
      <c r="C479" t="s">
        <v>2305</v>
      </c>
      <c r="D479" t="s">
        <v>2378</v>
      </c>
      <c r="E479" t="s">
        <v>4086</v>
      </c>
      <c r="F479" t="s">
        <v>2384</v>
      </c>
      <c r="G479" s="293">
        <v>3053563</v>
      </c>
      <c r="H479" s="293">
        <v>3499942</v>
      </c>
      <c r="I479" s="263">
        <v>46400</v>
      </c>
      <c r="J479" s="263">
        <v>46443</v>
      </c>
    </row>
    <row r="480" spans="1:10" x14ac:dyDescent="0.2">
      <c r="A480" t="s">
        <v>4136</v>
      </c>
      <c r="B480" t="s">
        <v>4127</v>
      </c>
      <c r="C480" t="s">
        <v>2305</v>
      </c>
      <c r="D480" t="s">
        <v>2378</v>
      </c>
      <c r="E480" t="s">
        <v>4086</v>
      </c>
      <c r="F480" t="s">
        <v>2382</v>
      </c>
      <c r="G480" s="293">
        <v>806132</v>
      </c>
      <c r="H480" s="293">
        <v>923974.79</v>
      </c>
      <c r="I480" s="263">
        <v>46370</v>
      </c>
      <c r="J480" s="263">
        <v>46399</v>
      </c>
    </row>
    <row r="481" spans="1:10" x14ac:dyDescent="0.2">
      <c r="A481" t="s">
        <v>4135</v>
      </c>
      <c r="B481" t="s">
        <v>4127</v>
      </c>
      <c r="C481" t="s">
        <v>2305</v>
      </c>
      <c r="D481" t="s">
        <v>2378</v>
      </c>
      <c r="E481" t="s">
        <v>4086</v>
      </c>
      <c r="F481" t="s">
        <v>2380</v>
      </c>
      <c r="G481" s="293">
        <v>412401</v>
      </c>
      <c r="H481" s="293">
        <v>472687.02</v>
      </c>
      <c r="I481" s="263">
        <v>46356</v>
      </c>
      <c r="J481" s="263">
        <v>46367</v>
      </c>
    </row>
    <row r="482" spans="1:10" x14ac:dyDescent="0.2">
      <c r="A482" t="s">
        <v>4134</v>
      </c>
      <c r="B482" t="s">
        <v>4127</v>
      </c>
      <c r="C482" t="s">
        <v>2305</v>
      </c>
      <c r="D482" t="s">
        <v>2378</v>
      </c>
      <c r="E482" t="s">
        <v>4086</v>
      </c>
      <c r="F482" t="s">
        <v>5069</v>
      </c>
      <c r="G482" s="293">
        <v>108289</v>
      </c>
      <c r="H482" s="293">
        <v>124119.01</v>
      </c>
      <c r="I482" s="263">
        <v>46309</v>
      </c>
      <c r="J482" s="263">
        <v>46351</v>
      </c>
    </row>
    <row r="483" spans="1:10" x14ac:dyDescent="0.2">
      <c r="A483" t="s">
        <v>4089</v>
      </c>
      <c r="B483" t="s">
        <v>4081</v>
      </c>
      <c r="C483" t="s">
        <v>2305</v>
      </c>
      <c r="D483" t="s">
        <v>2385</v>
      </c>
      <c r="E483" t="s">
        <v>4088</v>
      </c>
      <c r="F483" t="s">
        <v>2391</v>
      </c>
      <c r="G483" s="293">
        <v>4107595</v>
      </c>
      <c r="H483" s="293">
        <v>4708055.5599999996</v>
      </c>
      <c r="I483" s="263">
        <v>46444</v>
      </c>
      <c r="J483" s="263">
        <v>46485</v>
      </c>
    </row>
    <row r="484" spans="1:10" x14ac:dyDescent="0.2">
      <c r="A484" t="s">
        <v>4139</v>
      </c>
      <c r="B484" t="s">
        <v>4127</v>
      </c>
      <c r="C484" t="s">
        <v>2305</v>
      </c>
      <c r="D484" t="s">
        <v>2385</v>
      </c>
      <c r="E484" t="s">
        <v>4088</v>
      </c>
      <c r="F484" t="s">
        <v>2389</v>
      </c>
      <c r="G484" s="293">
        <v>1020619</v>
      </c>
      <c r="H484" s="293">
        <v>1169816.1499999999</v>
      </c>
      <c r="I484" s="263">
        <v>46415</v>
      </c>
      <c r="J484" s="263">
        <v>46443</v>
      </c>
    </row>
    <row r="485" spans="1:10" x14ac:dyDescent="0.2">
      <c r="A485" t="s">
        <v>4138</v>
      </c>
      <c r="B485" t="s">
        <v>4127</v>
      </c>
      <c r="C485" t="s">
        <v>2305</v>
      </c>
      <c r="D485" t="s">
        <v>2385</v>
      </c>
      <c r="E485" t="s">
        <v>4088</v>
      </c>
      <c r="F485" t="s">
        <v>2387</v>
      </c>
      <c r="G485" s="293">
        <v>401498</v>
      </c>
      <c r="H485" s="293">
        <v>460190.18</v>
      </c>
      <c r="I485" s="263">
        <v>46400</v>
      </c>
      <c r="J485" s="263">
        <v>46414</v>
      </c>
    </row>
    <row r="486" spans="1:10" x14ac:dyDescent="0.2">
      <c r="A486" t="s">
        <v>4137</v>
      </c>
      <c r="B486" t="s">
        <v>4127</v>
      </c>
      <c r="C486" t="s">
        <v>2305</v>
      </c>
      <c r="D486" t="s">
        <v>2385</v>
      </c>
      <c r="E486" t="s">
        <v>4088</v>
      </c>
      <c r="F486" t="s">
        <v>5070</v>
      </c>
      <c r="G486" s="293">
        <v>61324</v>
      </c>
      <c r="H486" s="293">
        <v>70288.53</v>
      </c>
      <c r="I486" s="263">
        <v>46356</v>
      </c>
      <c r="J486" s="263">
        <v>46399</v>
      </c>
    </row>
    <row r="487" spans="1:10" x14ac:dyDescent="0.2">
      <c r="A487" t="s">
        <v>4091</v>
      </c>
      <c r="B487" t="s">
        <v>4081</v>
      </c>
      <c r="C487" t="s">
        <v>2305</v>
      </c>
      <c r="D487" t="s">
        <v>2392</v>
      </c>
      <c r="E487" t="s">
        <v>4090</v>
      </c>
      <c r="F487" t="s">
        <v>2398</v>
      </c>
      <c r="G487" s="293">
        <v>2182264</v>
      </c>
      <c r="H487" s="293">
        <v>2501273.9</v>
      </c>
      <c r="I487" s="263">
        <v>46486</v>
      </c>
      <c r="J487" s="263">
        <v>46527</v>
      </c>
    </row>
    <row r="488" spans="1:10" x14ac:dyDescent="0.2">
      <c r="A488" t="s">
        <v>4142</v>
      </c>
      <c r="B488" t="s">
        <v>4127</v>
      </c>
      <c r="C488" t="s">
        <v>2305</v>
      </c>
      <c r="D488" t="s">
        <v>2392</v>
      </c>
      <c r="E488" t="s">
        <v>4090</v>
      </c>
      <c r="F488" t="s">
        <v>2396</v>
      </c>
      <c r="G488" s="293">
        <v>391287</v>
      </c>
      <c r="H488" s="293">
        <v>448486.51</v>
      </c>
      <c r="I488" s="263">
        <v>46458</v>
      </c>
      <c r="J488" s="263">
        <v>46485</v>
      </c>
    </row>
    <row r="489" spans="1:10" x14ac:dyDescent="0.2">
      <c r="A489" t="s">
        <v>4141</v>
      </c>
      <c r="B489" t="s">
        <v>4127</v>
      </c>
      <c r="C489" t="s">
        <v>2305</v>
      </c>
      <c r="D489" t="s">
        <v>2392</v>
      </c>
      <c r="E489" t="s">
        <v>4090</v>
      </c>
      <c r="F489" t="s">
        <v>2394</v>
      </c>
      <c r="G489" s="293">
        <v>295439</v>
      </c>
      <c r="H489" s="293">
        <v>338627.16</v>
      </c>
      <c r="I489" s="263">
        <v>46444</v>
      </c>
      <c r="J489" s="263">
        <v>46457</v>
      </c>
    </row>
    <row r="490" spans="1:10" x14ac:dyDescent="0.2">
      <c r="A490" t="s">
        <v>4140</v>
      </c>
      <c r="B490" t="s">
        <v>4127</v>
      </c>
      <c r="C490" t="s">
        <v>2305</v>
      </c>
      <c r="D490" t="s">
        <v>2392</v>
      </c>
      <c r="E490" t="s">
        <v>4090</v>
      </c>
      <c r="F490" t="s">
        <v>5071</v>
      </c>
      <c r="G490" s="293">
        <v>33173</v>
      </c>
      <c r="H490" s="293">
        <v>38022.33</v>
      </c>
      <c r="I490" s="263">
        <v>46400</v>
      </c>
      <c r="J490" s="263">
        <v>46443</v>
      </c>
    </row>
    <row r="491" spans="1:10" x14ac:dyDescent="0.2">
      <c r="A491" t="s">
        <v>4095</v>
      </c>
      <c r="B491" t="s">
        <v>4081</v>
      </c>
      <c r="C491" t="s">
        <v>2305</v>
      </c>
      <c r="D491" t="s">
        <v>5072</v>
      </c>
      <c r="E491" t="s">
        <v>4094</v>
      </c>
      <c r="F491" t="s">
        <v>5073</v>
      </c>
      <c r="G491" s="293">
        <v>171263</v>
      </c>
      <c r="H491" s="293">
        <v>198205</v>
      </c>
      <c r="I491" s="263">
        <v>46588</v>
      </c>
      <c r="J491" s="263">
        <v>46720</v>
      </c>
    </row>
    <row r="492" spans="1:10" x14ac:dyDescent="0.2">
      <c r="A492" t="s">
        <v>4154</v>
      </c>
      <c r="B492" t="s">
        <v>4127</v>
      </c>
      <c r="C492" t="s">
        <v>2305</v>
      </c>
      <c r="D492" t="s">
        <v>5072</v>
      </c>
      <c r="E492" t="s">
        <v>4094</v>
      </c>
      <c r="F492" t="s">
        <v>5074</v>
      </c>
      <c r="G492" s="293">
        <v>169840</v>
      </c>
      <c r="H492" s="293">
        <v>194667.72</v>
      </c>
      <c r="I492" s="263">
        <v>46500</v>
      </c>
      <c r="J492" s="263">
        <v>46587</v>
      </c>
    </row>
    <row r="493" spans="1:10" x14ac:dyDescent="0.2">
      <c r="A493" t="s">
        <v>4153</v>
      </c>
      <c r="B493" t="s">
        <v>4127</v>
      </c>
      <c r="C493" t="s">
        <v>2305</v>
      </c>
      <c r="D493" t="s">
        <v>5072</v>
      </c>
      <c r="E493" t="s">
        <v>4094</v>
      </c>
      <c r="F493" t="s">
        <v>5075</v>
      </c>
      <c r="G493" s="293">
        <v>70256</v>
      </c>
      <c r="H493" s="293">
        <v>80526.23</v>
      </c>
      <c r="I493" s="263">
        <v>46472</v>
      </c>
      <c r="J493" s="263">
        <v>46499</v>
      </c>
    </row>
    <row r="494" spans="1:10" x14ac:dyDescent="0.2">
      <c r="A494" t="s">
        <v>4152</v>
      </c>
      <c r="B494" t="s">
        <v>4127</v>
      </c>
      <c r="C494" t="s">
        <v>2305</v>
      </c>
      <c r="D494" t="s">
        <v>5072</v>
      </c>
      <c r="E494" t="s">
        <v>4094</v>
      </c>
      <c r="F494" t="s">
        <v>5076</v>
      </c>
      <c r="G494" s="293">
        <v>15623</v>
      </c>
      <c r="H494" s="293">
        <v>17906.82</v>
      </c>
      <c r="I494" s="263">
        <v>46444</v>
      </c>
      <c r="J494" s="263">
        <v>46471</v>
      </c>
    </row>
    <row r="495" spans="1:10" x14ac:dyDescent="0.2">
      <c r="A495" t="s">
        <v>4097</v>
      </c>
      <c r="B495" t="s">
        <v>4081</v>
      </c>
      <c r="C495" t="s">
        <v>2305</v>
      </c>
      <c r="D495" t="s">
        <v>2399</v>
      </c>
      <c r="E495" t="s">
        <v>4096</v>
      </c>
      <c r="F495" t="s">
        <v>2403</v>
      </c>
      <c r="G495" s="293">
        <v>1193164</v>
      </c>
      <c r="H495" s="293">
        <v>1367584.29</v>
      </c>
      <c r="I495" s="263">
        <v>46503</v>
      </c>
      <c r="J495" s="263">
        <v>46545</v>
      </c>
    </row>
    <row r="496" spans="1:10" x14ac:dyDescent="0.2">
      <c r="A496" t="s">
        <v>4157</v>
      </c>
      <c r="B496" t="s">
        <v>4127</v>
      </c>
      <c r="C496" t="s">
        <v>2305</v>
      </c>
      <c r="D496" t="s">
        <v>2399</v>
      </c>
      <c r="E496" t="s">
        <v>4096</v>
      </c>
      <c r="F496" t="s">
        <v>2401</v>
      </c>
      <c r="G496" s="293">
        <v>503608</v>
      </c>
      <c r="H496" s="293">
        <v>577226.93000000005</v>
      </c>
      <c r="I496" s="263">
        <v>46475</v>
      </c>
      <c r="J496" s="263">
        <v>46500</v>
      </c>
    </row>
    <row r="497" spans="1:10" x14ac:dyDescent="0.2">
      <c r="A497" t="s">
        <v>4156</v>
      </c>
      <c r="B497" t="s">
        <v>4127</v>
      </c>
      <c r="C497" t="s">
        <v>2305</v>
      </c>
      <c r="D497" t="s">
        <v>2399</v>
      </c>
      <c r="E497" t="s">
        <v>4096</v>
      </c>
      <c r="F497" t="s">
        <v>5077</v>
      </c>
      <c r="G497" s="293">
        <v>309113</v>
      </c>
      <c r="H497" s="293">
        <v>354300.07</v>
      </c>
      <c r="I497" s="263">
        <v>46461</v>
      </c>
      <c r="J497" s="263">
        <v>46472</v>
      </c>
    </row>
    <row r="498" spans="1:10" x14ac:dyDescent="0.2">
      <c r="A498" t="s">
        <v>4155</v>
      </c>
      <c r="B498" t="s">
        <v>4127</v>
      </c>
      <c r="C498" t="s">
        <v>2305</v>
      </c>
      <c r="D498" t="s">
        <v>2399</v>
      </c>
      <c r="E498" t="s">
        <v>4096</v>
      </c>
      <c r="F498" t="s">
        <v>5078</v>
      </c>
      <c r="G498" s="293">
        <v>42088</v>
      </c>
      <c r="H498" s="293">
        <v>48240.55</v>
      </c>
      <c r="I498" s="263">
        <v>46416</v>
      </c>
      <c r="J498" s="263">
        <v>46458</v>
      </c>
    </row>
    <row r="499" spans="1:10" x14ac:dyDescent="0.2">
      <c r="A499" t="s">
        <v>4093</v>
      </c>
      <c r="B499" t="s">
        <v>4081</v>
      </c>
      <c r="C499" t="s">
        <v>2305</v>
      </c>
      <c r="D499" t="s">
        <v>2404</v>
      </c>
      <c r="E499" t="s">
        <v>4092</v>
      </c>
      <c r="F499" t="s">
        <v>2410</v>
      </c>
      <c r="G499" s="293">
        <v>2217764</v>
      </c>
      <c r="H499" s="293">
        <v>2541963.39</v>
      </c>
      <c r="I499" s="263">
        <v>46575</v>
      </c>
      <c r="J499" s="263">
        <v>46616</v>
      </c>
    </row>
    <row r="500" spans="1:10" x14ac:dyDescent="0.2">
      <c r="A500" t="s">
        <v>4145</v>
      </c>
      <c r="B500" t="s">
        <v>4127</v>
      </c>
      <c r="C500" t="s">
        <v>2305</v>
      </c>
      <c r="D500" t="s">
        <v>2404</v>
      </c>
      <c r="E500" t="s">
        <v>4092</v>
      </c>
      <c r="F500" t="s">
        <v>2408</v>
      </c>
      <c r="G500" s="293">
        <v>803392</v>
      </c>
      <c r="H500" s="293">
        <v>920834.25</v>
      </c>
      <c r="I500" s="263">
        <v>46531</v>
      </c>
      <c r="J500" s="263">
        <v>46574</v>
      </c>
    </row>
    <row r="501" spans="1:10" x14ac:dyDescent="0.2">
      <c r="A501" t="s">
        <v>4144</v>
      </c>
      <c r="B501" t="s">
        <v>4127</v>
      </c>
      <c r="C501" t="s">
        <v>2305</v>
      </c>
      <c r="D501" t="s">
        <v>2404</v>
      </c>
      <c r="E501" t="s">
        <v>4092</v>
      </c>
      <c r="F501" t="s">
        <v>2406</v>
      </c>
      <c r="G501" s="293">
        <v>634677</v>
      </c>
      <c r="H501" s="293">
        <v>727455.99</v>
      </c>
      <c r="I501" s="263">
        <v>46503</v>
      </c>
      <c r="J501" s="263">
        <v>46528</v>
      </c>
    </row>
    <row r="502" spans="1:10" x14ac:dyDescent="0.2">
      <c r="A502" t="s">
        <v>4143</v>
      </c>
      <c r="B502" t="s">
        <v>4127</v>
      </c>
      <c r="C502" t="s">
        <v>2305</v>
      </c>
      <c r="D502" t="s">
        <v>2404</v>
      </c>
      <c r="E502" t="s">
        <v>4092</v>
      </c>
      <c r="F502" t="s">
        <v>5079</v>
      </c>
      <c r="G502" s="293">
        <v>44018</v>
      </c>
      <c r="H502" s="293">
        <v>50452.68</v>
      </c>
      <c r="I502" s="263">
        <v>46461</v>
      </c>
      <c r="J502" s="263">
        <v>46500</v>
      </c>
    </row>
    <row r="503" spans="1:10" x14ac:dyDescent="0.2">
      <c r="A503" t="s">
        <v>3952</v>
      </c>
      <c r="B503" t="s">
        <v>3948</v>
      </c>
      <c r="C503" t="s">
        <v>2305</v>
      </c>
      <c r="D503" t="s">
        <v>2411</v>
      </c>
      <c r="E503" t="s">
        <v>3949</v>
      </c>
      <c r="F503" t="s">
        <v>2417</v>
      </c>
      <c r="G503" s="293">
        <v>2899148</v>
      </c>
      <c r="H503" s="293">
        <v>3332029.9</v>
      </c>
      <c r="I503" s="263">
        <v>46461</v>
      </c>
      <c r="J503" s="263">
        <v>46688</v>
      </c>
    </row>
    <row r="504" spans="1:10" x14ac:dyDescent="0.2">
      <c r="A504" t="s">
        <v>3954</v>
      </c>
      <c r="B504" t="s">
        <v>3948</v>
      </c>
      <c r="C504" t="s">
        <v>2305</v>
      </c>
      <c r="D504" t="s">
        <v>2411</v>
      </c>
      <c r="E504" t="s">
        <v>3949</v>
      </c>
      <c r="F504" t="s">
        <v>2421</v>
      </c>
      <c r="G504" s="293">
        <v>2552193</v>
      </c>
      <c r="H504" s="293">
        <v>2992561.14</v>
      </c>
      <c r="I504" s="263">
        <v>46840</v>
      </c>
      <c r="J504" s="263">
        <v>46953</v>
      </c>
    </row>
    <row r="505" spans="1:10" x14ac:dyDescent="0.2">
      <c r="A505" t="s">
        <v>3950</v>
      </c>
      <c r="B505" t="s">
        <v>3948</v>
      </c>
      <c r="C505" t="s">
        <v>2305</v>
      </c>
      <c r="D505" t="s">
        <v>2411</v>
      </c>
      <c r="E505" t="s">
        <v>3949</v>
      </c>
      <c r="F505" t="s">
        <v>2413</v>
      </c>
      <c r="G505" s="293">
        <v>2424404</v>
      </c>
      <c r="H505" s="293">
        <v>2757151.99</v>
      </c>
      <c r="I505" s="263">
        <v>46223</v>
      </c>
      <c r="J505" s="263">
        <v>46443</v>
      </c>
    </row>
    <row r="506" spans="1:10" x14ac:dyDescent="0.2">
      <c r="A506" t="s">
        <v>3951</v>
      </c>
      <c r="B506" t="s">
        <v>3948</v>
      </c>
      <c r="C506" t="s">
        <v>2305</v>
      </c>
      <c r="D506" t="s">
        <v>2411</v>
      </c>
      <c r="E506" t="s">
        <v>3949</v>
      </c>
      <c r="F506" t="s">
        <v>2415</v>
      </c>
      <c r="G506" s="293">
        <v>1113464</v>
      </c>
      <c r="H506" s="293">
        <v>1276233.51</v>
      </c>
      <c r="I506" s="263">
        <v>46416</v>
      </c>
      <c r="J506" s="263">
        <v>46458</v>
      </c>
    </row>
    <row r="507" spans="1:10" x14ac:dyDescent="0.2">
      <c r="A507" t="s">
        <v>3953</v>
      </c>
      <c r="B507" t="s">
        <v>3948</v>
      </c>
      <c r="C507" t="s">
        <v>2305</v>
      </c>
      <c r="D507" t="s">
        <v>2411</v>
      </c>
      <c r="E507" t="s">
        <v>3949</v>
      </c>
      <c r="F507" t="s">
        <v>2419</v>
      </c>
      <c r="G507" s="293">
        <v>1080188</v>
      </c>
      <c r="H507" s="293">
        <v>1266569.04</v>
      </c>
      <c r="I507" s="263">
        <v>46689</v>
      </c>
      <c r="J507" s="263">
        <v>46839</v>
      </c>
    </row>
    <row r="508" spans="1:10" x14ac:dyDescent="0.2">
      <c r="A508" t="s">
        <v>4078</v>
      </c>
      <c r="B508" t="s">
        <v>4062</v>
      </c>
      <c r="C508" t="s">
        <v>2305</v>
      </c>
      <c r="D508" t="s">
        <v>5080</v>
      </c>
      <c r="E508" t="s">
        <v>4077</v>
      </c>
      <c r="F508" t="s">
        <v>2424</v>
      </c>
      <c r="G508" s="293">
        <v>1041602</v>
      </c>
      <c r="H508" s="293">
        <v>1167024.42</v>
      </c>
      <c r="I508" s="263">
        <v>45951</v>
      </c>
      <c r="J508" s="263">
        <v>46085</v>
      </c>
    </row>
    <row r="509" spans="1:10" x14ac:dyDescent="0.2">
      <c r="A509" t="s">
        <v>4149</v>
      </c>
      <c r="B509" t="s">
        <v>4127</v>
      </c>
      <c r="C509" t="s">
        <v>2305</v>
      </c>
      <c r="D509" t="s">
        <v>5080</v>
      </c>
      <c r="E509" t="s">
        <v>4077</v>
      </c>
      <c r="F509" t="s">
        <v>5081</v>
      </c>
      <c r="G509" s="293">
        <v>840476</v>
      </c>
      <c r="H509" s="293">
        <v>941680.24</v>
      </c>
      <c r="I509" s="263">
        <v>46142</v>
      </c>
      <c r="J509" s="263">
        <v>46170</v>
      </c>
    </row>
    <row r="510" spans="1:10" x14ac:dyDescent="0.2">
      <c r="A510" t="s">
        <v>4146</v>
      </c>
      <c r="B510" t="s">
        <v>4127</v>
      </c>
      <c r="C510" t="s">
        <v>2305</v>
      </c>
      <c r="D510" t="s">
        <v>5080</v>
      </c>
      <c r="E510" t="s">
        <v>4077</v>
      </c>
      <c r="F510" t="s">
        <v>2426</v>
      </c>
      <c r="G510" s="293">
        <v>545389</v>
      </c>
      <c r="H510" s="293">
        <v>611060.93000000005</v>
      </c>
      <c r="I510" s="263">
        <v>46086</v>
      </c>
      <c r="J510" s="263">
        <v>46113</v>
      </c>
    </row>
    <row r="511" spans="1:10" x14ac:dyDescent="0.2">
      <c r="A511" t="s">
        <v>4151</v>
      </c>
      <c r="B511" t="s">
        <v>4127</v>
      </c>
      <c r="C511" t="s">
        <v>2305</v>
      </c>
      <c r="D511" t="s">
        <v>5080</v>
      </c>
      <c r="E511" t="s">
        <v>4077</v>
      </c>
      <c r="F511" t="s">
        <v>5082</v>
      </c>
      <c r="G511" s="293">
        <v>12851</v>
      </c>
      <c r="H511" s="293">
        <v>14398.43</v>
      </c>
      <c r="I511" s="263">
        <v>46185</v>
      </c>
      <c r="J511" s="263">
        <v>46198</v>
      </c>
    </row>
    <row r="512" spans="1:10" x14ac:dyDescent="0.2">
      <c r="A512" t="s">
        <v>4147</v>
      </c>
      <c r="B512" t="s">
        <v>4127</v>
      </c>
      <c r="C512" t="s">
        <v>2305</v>
      </c>
      <c r="D512" t="s">
        <v>5080</v>
      </c>
      <c r="E512" t="s">
        <v>4077</v>
      </c>
      <c r="F512" t="s">
        <v>5083</v>
      </c>
      <c r="G512" s="293">
        <v>10747</v>
      </c>
      <c r="H512" s="293">
        <v>12041.08</v>
      </c>
      <c r="I512" s="263">
        <v>46114</v>
      </c>
      <c r="J512" s="263">
        <v>46127</v>
      </c>
    </row>
    <row r="513" spans="1:10" x14ac:dyDescent="0.2">
      <c r="A513" t="s">
        <v>4150</v>
      </c>
      <c r="B513" t="s">
        <v>4127</v>
      </c>
      <c r="C513" t="s">
        <v>2305</v>
      </c>
      <c r="D513" t="s">
        <v>5080</v>
      </c>
      <c r="E513" t="s">
        <v>4077</v>
      </c>
      <c r="F513" t="s">
        <v>5084</v>
      </c>
      <c r="G513" s="293">
        <v>10747</v>
      </c>
      <c r="H513" s="293">
        <v>12041.08</v>
      </c>
      <c r="I513" s="263">
        <v>46171</v>
      </c>
      <c r="J513" s="263">
        <v>46184</v>
      </c>
    </row>
    <row r="514" spans="1:10" x14ac:dyDescent="0.2">
      <c r="A514" t="s">
        <v>4148</v>
      </c>
      <c r="B514" t="s">
        <v>4127</v>
      </c>
      <c r="C514" t="s">
        <v>2305</v>
      </c>
      <c r="D514" t="s">
        <v>5080</v>
      </c>
      <c r="E514" t="s">
        <v>4077</v>
      </c>
      <c r="F514" t="s">
        <v>5085</v>
      </c>
      <c r="G514" s="293">
        <v>8584</v>
      </c>
      <c r="H514" s="293">
        <v>9617.6299999999992</v>
      </c>
      <c r="I514" s="263">
        <v>46128</v>
      </c>
      <c r="J514" s="263">
        <v>46141</v>
      </c>
    </row>
    <row r="515" spans="1:10" x14ac:dyDescent="0.2">
      <c r="A515" t="s">
        <v>3732</v>
      </c>
      <c r="B515" t="s">
        <v>3728</v>
      </c>
      <c r="C515" t="s">
        <v>2749</v>
      </c>
      <c r="D515" t="s">
        <v>2746</v>
      </c>
      <c r="E515" t="s">
        <v>3729</v>
      </c>
      <c r="F515" t="s">
        <v>2762</v>
      </c>
      <c r="G515" s="293">
        <v>3356968</v>
      </c>
      <c r="H515" s="293">
        <v>3879697.47</v>
      </c>
      <c r="I515" s="263">
        <v>46246</v>
      </c>
      <c r="J515" s="263">
        <v>46975</v>
      </c>
    </row>
    <row r="516" spans="1:10" x14ac:dyDescent="0.2">
      <c r="A516" t="s">
        <v>3730</v>
      </c>
      <c r="B516" t="s">
        <v>3728</v>
      </c>
      <c r="C516" t="s">
        <v>2749</v>
      </c>
      <c r="D516" t="s">
        <v>2746</v>
      </c>
      <c r="E516" t="s">
        <v>3729</v>
      </c>
      <c r="F516" t="s">
        <v>5086</v>
      </c>
      <c r="G516" s="293">
        <v>40000</v>
      </c>
      <c r="H516" s="293">
        <v>45847.32</v>
      </c>
      <c r="I516" s="263">
        <v>46316</v>
      </c>
      <c r="J516" s="263">
        <v>46344</v>
      </c>
    </row>
    <row r="517" spans="1:10" x14ac:dyDescent="0.2">
      <c r="A517" t="s">
        <v>3733</v>
      </c>
      <c r="B517" t="s">
        <v>3728</v>
      </c>
      <c r="C517" t="s">
        <v>2749</v>
      </c>
      <c r="D517" t="s">
        <v>2746</v>
      </c>
      <c r="E517" t="s">
        <v>3729</v>
      </c>
      <c r="F517" t="s">
        <v>5087</v>
      </c>
      <c r="G517" s="293">
        <v>20000</v>
      </c>
      <c r="H517" s="293">
        <v>22408.26</v>
      </c>
      <c r="I517" s="263">
        <v>46246</v>
      </c>
      <c r="J517" s="263">
        <v>46274</v>
      </c>
    </row>
    <row r="518" spans="1:10" x14ac:dyDescent="0.2">
      <c r="A518" t="s">
        <v>3743</v>
      </c>
      <c r="B518" t="s">
        <v>3742</v>
      </c>
      <c r="C518" t="s">
        <v>2749</v>
      </c>
      <c r="D518" t="s">
        <v>2746</v>
      </c>
      <c r="E518" t="s">
        <v>3729</v>
      </c>
      <c r="F518" t="s">
        <v>5088</v>
      </c>
      <c r="G518" s="293">
        <v>2340000</v>
      </c>
      <c r="H518" s="293">
        <v>2622520.19</v>
      </c>
      <c r="I518" s="263">
        <v>45951</v>
      </c>
      <c r="J518" s="263">
        <v>46300</v>
      </c>
    </row>
    <row r="519" spans="1:10" x14ac:dyDescent="0.2">
      <c r="A519" t="s">
        <v>4292</v>
      </c>
      <c r="B519" t="s">
        <v>4291</v>
      </c>
      <c r="C519" t="s">
        <v>2749</v>
      </c>
      <c r="D519" t="s">
        <v>2746</v>
      </c>
      <c r="E519" t="s">
        <v>3729</v>
      </c>
      <c r="F519" t="s">
        <v>5089</v>
      </c>
      <c r="G519" s="293">
        <v>798455</v>
      </c>
      <c r="H519" s="293">
        <v>894599.36</v>
      </c>
      <c r="I519" s="263">
        <v>45951</v>
      </c>
      <c r="J519" s="263">
        <v>46241</v>
      </c>
    </row>
    <row r="520" spans="1:10" x14ac:dyDescent="0.2">
      <c r="A520" t="s">
        <v>3965</v>
      </c>
      <c r="B520" t="s">
        <v>3963</v>
      </c>
      <c r="C520" t="s">
        <v>2749</v>
      </c>
      <c r="D520" t="s">
        <v>2765</v>
      </c>
      <c r="E520" t="s">
        <v>3964</v>
      </c>
      <c r="F520" t="s">
        <v>5090</v>
      </c>
      <c r="G520" s="293">
        <v>4348563</v>
      </c>
      <c r="H520" s="293">
        <v>4830316.92</v>
      </c>
      <c r="I520" s="263">
        <v>45631</v>
      </c>
      <c r="J520" s="263">
        <v>46329</v>
      </c>
    </row>
    <row r="521" spans="1:10" x14ac:dyDescent="0.2">
      <c r="A521" t="s">
        <v>3967</v>
      </c>
      <c r="B521" t="s">
        <v>3963</v>
      </c>
      <c r="C521" t="s">
        <v>2749</v>
      </c>
      <c r="D521" t="s">
        <v>2809</v>
      </c>
      <c r="E521" t="s">
        <v>3966</v>
      </c>
      <c r="F521" t="s">
        <v>5091</v>
      </c>
      <c r="G521" s="293">
        <v>3319306</v>
      </c>
      <c r="H521" s="293">
        <v>3804532.11</v>
      </c>
      <c r="I521" s="263">
        <v>46330</v>
      </c>
      <c r="J521" s="263">
        <v>46651</v>
      </c>
    </row>
    <row r="522" spans="1:10" x14ac:dyDescent="0.2">
      <c r="A522" t="s">
        <v>3968</v>
      </c>
      <c r="B522" t="s">
        <v>3963</v>
      </c>
      <c r="C522" t="s">
        <v>2749</v>
      </c>
      <c r="D522" t="s">
        <v>2809</v>
      </c>
      <c r="E522" t="s">
        <v>3966</v>
      </c>
      <c r="F522" t="s">
        <v>5092</v>
      </c>
      <c r="G522" s="293">
        <v>662659</v>
      </c>
      <c r="H522" s="293">
        <v>759528.48</v>
      </c>
      <c r="I522" s="263">
        <v>46330</v>
      </c>
      <c r="J522" s="263">
        <v>46651</v>
      </c>
    </row>
    <row r="523" spans="1:10" x14ac:dyDescent="0.2">
      <c r="A523" t="s">
        <v>4294</v>
      </c>
      <c r="B523" t="s">
        <v>4293</v>
      </c>
      <c r="C523" t="s">
        <v>2749</v>
      </c>
      <c r="D523" t="s">
        <v>2809</v>
      </c>
      <c r="E523" t="s">
        <v>3966</v>
      </c>
      <c r="F523" t="s">
        <v>5093</v>
      </c>
      <c r="G523" s="293">
        <v>1484172</v>
      </c>
      <c r="H523" s="293">
        <v>1644646.26</v>
      </c>
      <c r="I523" s="263">
        <v>45569</v>
      </c>
      <c r="J523" s="263">
        <v>46300</v>
      </c>
    </row>
    <row r="524" spans="1:10" x14ac:dyDescent="0.2">
      <c r="A524" t="s">
        <v>3834</v>
      </c>
      <c r="B524" t="s">
        <v>3831</v>
      </c>
      <c r="C524" t="s">
        <v>2749</v>
      </c>
      <c r="D524" t="s">
        <v>2797</v>
      </c>
      <c r="E524" t="s">
        <v>3832</v>
      </c>
      <c r="F524" t="s">
        <v>2802</v>
      </c>
      <c r="G524" s="293">
        <v>1684350</v>
      </c>
      <c r="H524" s="293">
        <v>2020399.72</v>
      </c>
      <c r="I524" s="263">
        <v>47228</v>
      </c>
      <c r="J524" s="263">
        <v>47372</v>
      </c>
    </row>
    <row r="525" spans="1:10" x14ac:dyDescent="0.2">
      <c r="A525" t="s">
        <v>3833</v>
      </c>
      <c r="B525" t="s">
        <v>3831</v>
      </c>
      <c r="C525" t="s">
        <v>2749</v>
      </c>
      <c r="D525" t="s">
        <v>2797</v>
      </c>
      <c r="E525" t="s">
        <v>3832</v>
      </c>
      <c r="F525" t="s">
        <v>2800</v>
      </c>
      <c r="G525" s="293">
        <v>1000000</v>
      </c>
      <c r="H525" s="293">
        <v>1199513</v>
      </c>
      <c r="I525" s="263">
        <v>47073</v>
      </c>
      <c r="J525" s="263">
        <v>47220</v>
      </c>
    </row>
    <row r="526" spans="1:10" x14ac:dyDescent="0.2">
      <c r="A526" t="s">
        <v>3835</v>
      </c>
      <c r="B526" t="s">
        <v>3831</v>
      </c>
      <c r="C526" t="s">
        <v>2749</v>
      </c>
      <c r="D526" t="s">
        <v>2797</v>
      </c>
      <c r="E526" t="s">
        <v>3832</v>
      </c>
      <c r="F526" t="s">
        <v>2804</v>
      </c>
      <c r="G526" s="293">
        <v>900000</v>
      </c>
      <c r="H526" s="293">
        <v>1079561.7</v>
      </c>
      <c r="I526" s="263">
        <v>47058</v>
      </c>
      <c r="J526" s="263">
        <v>47206</v>
      </c>
    </row>
    <row r="527" spans="1:10" x14ac:dyDescent="0.2">
      <c r="A527" t="s">
        <v>3838</v>
      </c>
      <c r="B527" t="s">
        <v>3831</v>
      </c>
      <c r="C527" t="s">
        <v>2749</v>
      </c>
      <c r="D527" t="s">
        <v>2797</v>
      </c>
      <c r="E527" t="s">
        <v>3832</v>
      </c>
      <c r="F527" t="s">
        <v>2808</v>
      </c>
      <c r="G527" s="293">
        <v>335100</v>
      </c>
      <c r="H527" s="293">
        <v>402110.89</v>
      </c>
      <c r="I527" s="263">
        <v>47221</v>
      </c>
      <c r="J527" s="263">
        <v>47393</v>
      </c>
    </row>
    <row r="528" spans="1:10" x14ac:dyDescent="0.2">
      <c r="A528" t="s">
        <v>3837</v>
      </c>
      <c r="B528" t="s">
        <v>3831</v>
      </c>
      <c r="C528" t="s">
        <v>2749</v>
      </c>
      <c r="D528" t="s">
        <v>2797</v>
      </c>
      <c r="E528" t="s">
        <v>3832</v>
      </c>
      <c r="F528" t="s">
        <v>2806</v>
      </c>
      <c r="G528" s="293">
        <v>274900</v>
      </c>
      <c r="H528" s="293">
        <v>329746.12</v>
      </c>
      <c r="I528" s="263">
        <v>47073</v>
      </c>
      <c r="J528" s="263">
        <v>47220</v>
      </c>
    </row>
    <row r="529" spans="1:10" x14ac:dyDescent="0.2">
      <c r="A529" t="s">
        <v>3836</v>
      </c>
      <c r="B529" t="s">
        <v>3831</v>
      </c>
      <c r="C529" t="s">
        <v>2749</v>
      </c>
      <c r="D529" t="s">
        <v>2797</v>
      </c>
      <c r="E529" t="s">
        <v>3832</v>
      </c>
      <c r="F529" t="s">
        <v>5094</v>
      </c>
      <c r="G529" s="293">
        <v>250000</v>
      </c>
      <c r="H529" s="293">
        <v>299878.25</v>
      </c>
      <c r="I529" s="263">
        <v>47207</v>
      </c>
      <c r="J529" s="263">
        <v>47379</v>
      </c>
    </row>
    <row r="530" spans="1:10" x14ac:dyDescent="0.2">
      <c r="A530" t="s">
        <v>4283</v>
      </c>
      <c r="B530" t="s">
        <v>4282</v>
      </c>
      <c r="C530" t="s">
        <v>2749</v>
      </c>
      <c r="D530" t="s">
        <v>2797</v>
      </c>
      <c r="E530" t="s">
        <v>3832</v>
      </c>
      <c r="F530" t="s">
        <v>2879</v>
      </c>
      <c r="G530" s="293">
        <v>1200000</v>
      </c>
      <c r="H530" s="293">
        <v>1439415.6</v>
      </c>
      <c r="I530" s="263">
        <v>47058</v>
      </c>
      <c r="J530" s="263">
        <v>47206</v>
      </c>
    </row>
    <row r="531" spans="1:10" x14ac:dyDescent="0.2">
      <c r="A531" t="s">
        <v>4438</v>
      </c>
      <c r="B531" t="s">
        <v>4437</v>
      </c>
      <c r="C531" t="s">
        <v>2749</v>
      </c>
      <c r="D531" t="s">
        <v>2797</v>
      </c>
      <c r="E531" t="s">
        <v>3832</v>
      </c>
      <c r="F531" t="s">
        <v>2890</v>
      </c>
      <c r="G531" s="293">
        <v>1200000</v>
      </c>
      <c r="H531" s="293">
        <v>1439415.6</v>
      </c>
      <c r="I531" s="263">
        <v>47214</v>
      </c>
      <c r="J531" s="263">
        <v>47255</v>
      </c>
    </row>
    <row r="532" spans="1:10" x14ac:dyDescent="0.2">
      <c r="A532" t="s">
        <v>3814</v>
      </c>
      <c r="B532" t="s">
        <v>3812</v>
      </c>
      <c r="C532" t="s">
        <v>2749</v>
      </c>
      <c r="D532" t="s">
        <v>2785</v>
      </c>
      <c r="E532" t="s">
        <v>3813</v>
      </c>
      <c r="F532" t="s">
        <v>2788</v>
      </c>
      <c r="G532" s="293">
        <v>1600000</v>
      </c>
      <c r="H532" s="293">
        <v>1867334.88</v>
      </c>
      <c r="I532" s="263">
        <v>46619</v>
      </c>
      <c r="J532" s="263">
        <v>46827</v>
      </c>
    </row>
    <row r="533" spans="1:10" x14ac:dyDescent="0.2">
      <c r="A533" t="s">
        <v>3815</v>
      </c>
      <c r="B533" t="s">
        <v>3812</v>
      </c>
      <c r="C533" t="s">
        <v>2749</v>
      </c>
      <c r="D533" t="s">
        <v>2785</v>
      </c>
      <c r="E533" t="s">
        <v>3813</v>
      </c>
      <c r="F533" t="s">
        <v>2790</v>
      </c>
      <c r="G533" s="293">
        <v>1416800</v>
      </c>
      <c r="H533" s="293">
        <v>1630759.52</v>
      </c>
      <c r="I533" s="263">
        <v>46591</v>
      </c>
      <c r="J533" s="263">
        <v>46678</v>
      </c>
    </row>
    <row r="534" spans="1:10" x14ac:dyDescent="0.2">
      <c r="A534" t="s">
        <v>4634</v>
      </c>
      <c r="B534" t="s">
        <v>4633</v>
      </c>
      <c r="C534" t="s">
        <v>2749</v>
      </c>
      <c r="D534" t="s">
        <v>2785</v>
      </c>
      <c r="E534" t="s">
        <v>3813</v>
      </c>
      <c r="F534" t="s">
        <v>2893</v>
      </c>
      <c r="G534" s="293">
        <v>1286600</v>
      </c>
      <c r="H534" s="293">
        <v>1508596.4</v>
      </c>
      <c r="I534" s="263">
        <v>46679</v>
      </c>
      <c r="J534" s="263">
        <v>46855</v>
      </c>
    </row>
    <row r="535" spans="1:10" x14ac:dyDescent="0.2">
      <c r="A535" t="s">
        <v>4299</v>
      </c>
      <c r="B535" t="s">
        <v>4295</v>
      </c>
      <c r="C535" t="s">
        <v>2749</v>
      </c>
      <c r="D535" t="s">
        <v>2880</v>
      </c>
      <c r="E535" t="s">
        <v>4296</v>
      </c>
      <c r="F535" t="s">
        <v>5095</v>
      </c>
      <c r="G535" s="293">
        <v>386511</v>
      </c>
      <c r="H535" s="293">
        <v>456415.43</v>
      </c>
      <c r="I535" s="263">
        <v>46664</v>
      </c>
      <c r="J535" s="263">
        <v>47192</v>
      </c>
    </row>
    <row r="536" spans="1:10" x14ac:dyDescent="0.2">
      <c r="A536" t="s">
        <v>4298</v>
      </c>
      <c r="B536" t="s">
        <v>4295</v>
      </c>
      <c r="C536" t="s">
        <v>2749</v>
      </c>
      <c r="D536" t="s">
        <v>2880</v>
      </c>
      <c r="E536" t="s">
        <v>4296</v>
      </c>
      <c r="F536" t="s">
        <v>2885</v>
      </c>
      <c r="G536" s="293">
        <v>247113</v>
      </c>
      <c r="H536" s="293">
        <v>289256.02</v>
      </c>
      <c r="I536" s="263">
        <v>46633</v>
      </c>
      <c r="J536" s="263">
        <v>46997</v>
      </c>
    </row>
    <row r="537" spans="1:10" x14ac:dyDescent="0.2">
      <c r="A537" t="s">
        <v>4297</v>
      </c>
      <c r="B537" t="s">
        <v>4295</v>
      </c>
      <c r="C537" t="s">
        <v>2749</v>
      </c>
      <c r="D537" t="s">
        <v>2880</v>
      </c>
      <c r="E537" t="s">
        <v>4296</v>
      </c>
      <c r="F537" t="s">
        <v>2883</v>
      </c>
      <c r="G537" s="293">
        <v>70000</v>
      </c>
      <c r="H537" s="293">
        <v>81790.28</v>
      </c>
      <c r="I537" s="263">
        <v>46605</v>
      </c>
      <c r="J537" s="263">
        <v>46969</v>
      </c>
    </row>
    <row r="538" spans="1:10" x14ac:dyDescent="0.2">
      <c r="A538" t="s">
        <v>3975</v>
      </c>
      <c r="B538" t="s">
        <v>3969</v>
      </c>
      <c r="C538" t="s">
        <v>2749</v>
      </c>
      <c r="D538" t="s">
        <v>2774</v>
      </c>
      <c r="E538" t="s">
        <v>3970</v>
      </c>
      <c r="F538" t="s">
        <v>2784</v>
      </c>
      <c r="G538" s="293">
        <v>11872000</v>
      </c>
      <c r="H538" s="293">
        <v>14893464.560000001</v>
      </c>
      <c r="I538" s="263">
        <v>47296</v>
      </c>
      <c r="J538" s="263">
        <v>12080</v>
      </c>
    </row>
    <row r="539" spans="1:10" x14ac:dyDescent="0.2">
      <c r="A539" t="s">
        <v>3971</v>
      </c>
      <c r="B539" t="s">
        <v>3969</v>
      </c>
      <c r="C539" t="s">
        <v>2749</v>
      </c>
      <c r="D539" t="s">
        <v>2774</v>
      </c>
      <c r="E539" t="s">
        <v>3970</v>
      </c>
      <c r="F539" t="s">
        <v>2777</v>
      </c>
      <c r="G539" s="293">
        <v>1780801</v>
      </c>
      <c r="H539" s="293">
        <v>1995232.59</v>
      </c>
      <c r="I539" s="263">
        <v>45951</v>
      </c>
      <c r="J539" s="263">
        <v>46126</v>
      </c>
    </row>
    <row r="540" spans="1:10" x14ac:dyDescent="0.2">
      <c r="A540" t="s">
        <v>3974</v>
      </c>
      <c r="B540" t="s">
        <v>3969</v>
      </c>
      <c r="C540" t="s">
        <v>2749</v>
      </c>
      <c r="D540" t="s">
        <v>2774</v>
      </c>
      <c r="E540" t="s">
        <v>3970</v>
      </c>
      <c r="F540" t="s">
        <v>2782</v>
      </c>
      <c r="G540" s="293">
        <v>700000</v>
      </c>
      <c r="H540" s="293">
        <v>812754.27</v>
      </c>
      <c r="I540" s="263">
        <v>46535</v>
      </c>
      <c r="J540" s="263">
        <v>46829</v>
      </c>
    </row>
    <row r="541" spans="1:10" x14ac:dyDescent="0.2">
      <c r="A541" t="s">
        <v>3973</v>
      </c>
      <c r="B541" t="s">
        <v>3969</v>
      </c>
      <c r="C541" t="s">
        <v>2749</v>
      </c>
      <c r="D541" t="s">
        <v>2774</v>
      </c>
      <c r="E541" t="s">
        <v>3970</v>
      </c>
      <c r="F541" t="s">
        <v>2780</v>
      </c>
      <c r="G541" s="293">
        <v>300000</v>
      </c>
      <c r="H541" s="293">
        <v>343854.9</v>
      </c>
      <c r="I541" s="263">
        <v>46363</v>
      </c>
      <c r="J541" s="263">
        <v>46534</v>
      </c>
    </row>
    <row r="542" spans="1:10" x14ac:dyDescent="0.2">
      <c r="A542" t="s">
        <v>3976</v>
      </c>
      <c r="B542" t="s">
        <v>3969</v>
      </c>
      <c r="C542" t="s">
        <v>2749</v>
      </c>
      <c r="D542" t="s">
        <v>2774</v>
      </c>
      <c r="E542" t="s">
        <v>3970</v>
      </c>
      <c r="F542" t="s">
        <v>5096</v>
      </c>
      <c r="G542" s="293">
        <v>180000</v>
      </c>
      <c r="H542" s="293">
        <v>225810.62</v>
      </c>
      <c r="I542" s="263">
        <v>47296</v>
      </c>
      <c r="J542" s="263">
        <v>12080</v>
      </c>
    </row>
    <row r="543" spans="1:10" x14ac:dyDescent="0.2">
      <c r="A543" t="s">
        <v>3972</v>
      </c>
      <c r="B543" t="s">
        <v>3969</v>
      </c>
      <c r="C543" t="s">
        <v>2749</v>
      </c>
      <c r="D543" t="s">
        <v>2774</v>
      </c>
      <c r="E543" t="s">
        <v>3970</v>
      </c>
      <c r="F543" t="s">
        <v>5097</v>
      </c>
      <c r="G543" s="293">
        <v>50000</v>
      </c>
      <c r="H543" s="293">
        <v>56020.65</v>
      </c>
      <c r="I543" s="263">
        <v>45980</v>
      </c>
      <c r="J543" s="263">
        <v>46241</v>
      </c>
    </row>
    <row r="544" spans="1:10" x14ac:dyDescent="0.2">
      <c r="A544" t="s">
        <v>4251</v>
      </c>
      <c r="B544" t="s">
        <v>4246</v>
      </c>
      <c r="C544" t="s">
        <v>2930</v>
      </c>
      <c r="D544" t="s">
        <v>2928</v>
      </c>
      <c r="E544" t="s">
        <v>4247</v>
      </c>
      <c r="F544" t="s">
        <v>5098</v>
      </c>
      <c r="G544" s="293">
        <v>700000</v>
      </c>
      <c r="H544" s="293">
        <v>839659.1</v>
      </c>
      <c r="I544" s="263">
        <v>47123</v>
      </c>
      <c r="J544" s="263">
        <v>47238</v>
      </c>
    </row>
    <row r="545" spans="1:10" x14ac:dyDescent="0.2">
      <c r="A545" t="s">
        <v>4253</v>
      </c>
      <c r="B545" t="s">
        <v>4246</v>
      </c>
      <c r="C545" t="s">
        <v>2930</v>
      </c>
      <c r="D545" t="s">
        <v>2928</v>
      </c>
      <c r="E545" t="s">
        <v>4247</v>
      </c>
      <c r="F545" t="s">
        <v>5099</v>
      </c>
      <c r="G545" s="293">
        <v>350000</v>
      </c>
      <c r="H545" s="293">
        <v>413222.39</v>
      </c>
      <c r="I545" s="263">
        <v>46906</v>
      </c>
      <c r="J545" s="263">
        <v>47079</v>
      </c>
    </row>
    <row r="546" spans="1:10" x14ac:dyDescent="0.2">
      <c r="A546" t="s">
        <v>4249</v>
      </c>
      <c r="B546" t="s">
        <v>4246</v>
      </c>
      <c r="C546" t="s">
        <v>2930</v>
      </c>
      <c r="D546" t="s">
        <v>2928</v>
      </c>
      <c r="E546" t="s">
        <v>4247</v>
      </c>
      <c r="F546" t="s">
        <v>5100</v>
      </c>
      <c r="G546" s="293">
        <v>350000</v>
      </c>
      <c r="H546" s="293">
        <v>410390.75</v>
      </c>
      <c r="I546" s="263">
        <v>46792</v>
      </c>
      <c r="J546" s="263">
        <v>46905</v>
      </c>
    </row>
    <row r="547" spans="1:10" x14ac:dyDescent="0.2">
      <c r="A547" t="s">
        <v>4250</v>
      </c>
      <c r="B547" t="s">
        <v>4246</v>
      </c>
      <c r="C547" t="s">
        <v>2930</v>
      </c>
      <c r="D547" t="s">
        <v>2928</v>
      </c>
      <c r="E547" t="s">
        <v>4247</v>
      </c>
      <c r="F547" t="s">
        <v>5101</v>
      </c>
      <c r="G547" s="293">
        <v>200000</v>
      </c>
      <c r="H547" s="293">
        <v>224082.6</v>
      </c>
      <c r="I547" s="263">
        <v>45951</v>
      </c>
      <c r="J547" s="263">
        <v>45995</v>
      </c>
    </row>
    <row r="548" spans="1:10" x14ac:dyDescent="0.2">
      <c r="A548" t="s">
        <v>4248</v>
      </c>
      <c r="B548" t="s">
        <v>4246</v>
      </c>
      <c r="C548" t="s">
        <v>2930</v>
      </c>
      <c r="D548" t="s">
        <v>2928</v>
      </c>
      <c r="E548" t="s">
        <v>4247</v>
      </c>
      <c r="F548" t="s">
        <v>5102</v>
      </c>
      <c r="G548" s="293">
        <v>100000</v>
      </c>
      <c r="H548" s="293">
        <v>112041.3</v>
      </c>
      <c r="I548" s="263">
        <v>45951</v>
      </c>
      <c r="J548" s="263">
        <v>45995</v>
      </c>
    </row>
    <row r="549" spans="1:10" x14ac:dyDescent="0.2">
      <c r="A549" t="s">
        <v>4252</v>
      </c>
      <c r="B549" t="s">
        <v>4246</v>
      </c>
      <c r="C549" t="s">
        <v>2930</v>
      </c>
      <c r="D549" t="s">
        <v>2928</v>
      </c>
      <c r="E549" t="s">
        <v>4247</v>
      </c>
      <c r="F549" t="s">
        <v>5103</v>
      </c>
      <c r="G549" s="293">
        <v>100000</v>
      </c>
      <c r="H549" s="293">
        <v>112041.3</v>
      </c>
      <c r="I549" s="263">
        <v>45951</v>
      </c>
      <c r="J549" s="263">
        <v>45995</v>
      </c>
    </row>
    <row r="550" spans="1:10" x14ac:dyDescent="0.2">
      <c r="A550" t="s">
        <v>4193</v>
      </c>
      <c r="B550" t="s">
        <v>4175</v>
      </c>
      <c r="C550" t="s">
        <v>2930</v>
      </c>
      <c r="D550" t="s">
        <v>2936</v>
      </c>
      <c r="E550" t="s">
        <v>4176</v>
      </c>
      <c r="F550" t="s">
        <v>2966</v>
      </c>
      <c r="G550" s="293">
        <v>4350661</v>
      </c>
      <c r="H550" s="293">
        <v>4895027.41</v>
      </c>
      <c r="I550" s="263">
        <v>45951</v>
      </c>
      <c r="J550" s="263">
        <v>46374</v>
      </c>
    </row>
    <row r="551" spans="1:10" x14ac:dyDescent="0.2">
      <c r="A551" t="s">
        <v>4181</v>
      </c>
      <c r="B551" t="s">
        <v>4175</v>
      </c>
      <c r="C551" t="s">
        <v>2930</v>
      </c>
      <c r="D551" t="s">
        <v>2936</v>
      </c>
      <c r="E551" t="s">
        <v>4176</v>
      </c>
      <c r="F551" t="s">
        <v>5104</v>
      </c>
      <c r="G551" s="293">
        <v>3742165</v>
      </c>
      <c r="H551" s="293">
        <v>4309552.67</v>
      </c>
      <c r="I551" s="263">
        <v>46479</v>
      </c>
      <c r="J551" s="263">
        <v>46709</v>
      </c>
    </row>
    <row r="552" spans="1:10" x14ac:dyDescent="0.2">
      <c r="A552" t="s">
        <v>4182</v>
      </c>
      <c r="B552" t="s">
        <v>4175</v>
      </c>
      <c r="C552" t="s">
        <v>2930</v>
      </c>
      <c r="D552" t="s">
        <v>2936</v>
      </c>
      <c r="E552" t="s">
        <v>4176</v>
      </c>
      <c r="F552" t="s">
        <v>5105</v>
      </c>
      <c r="G552" s="293">
        <v>2286964</v>
      </c>
      <c r="H552" s="293">
        <v>2681568.2000000002</v>
      </c>
      <c r="I552" s="263">
        <v>46780</v>
      </c>
      <c r="J552" s="263">
        <v>46952</v>
      </c>
    </row>
    <row r="553" spans="1:10" x14ac:dyDescent="0.2">
      <c r="A553" t="s">
        <v>4177</v>
      </c>
      <c r="B553" t="s">
        <v>4175</v>
      </c>
      <c r="C553" t="s">
        <v>2930</v>
      </c>
      <c r="D553" t="s">
        <v>2936</v>
      </c>
      <c r="E553" t="s">
        <v>4176</v>
      </c>
      <c r="F553" t="s">
        <v>5106</v>
      </c>
      <c r="G553" s="293">
        <v>1469615</v>
      </c>
      <c r="H553" s="293">
        <v>1646575.75</v>
      </c>
      <c r="I553" s="263">
        <v>46010</v>
      </c>
      <c r="J553" s="263">
        <v>46241</v>
      </c>
    </row>
    <row r="554" spans="1:10" x14ac:dyDescent="0.2">
      <c r="A554" t="s">
        <v>4187</v>
      </c>
      <c r="B554" t="s">
        <v>4175</v>
      </c>
      <c r="C554" t="s">
        <v>2930</v>
      </c>
      <c r="D554" t="s">
        <v>2936</v>
      </c>
      <c r="E554" t="s">
        <v>4176</v>
      </c>
      <c r="F554" t="s">
        <v>5107</v>
      </c>
      <c r="G554" s="293">
        <v>1278543</v>
      </c>
      <c r="H554" s="293">
        <v>1457825.01</v>
      </c>
      <c r="I554" s="263">
        <v>46244</v>
      </c>
      <c r="J554" s="263">
        <v>46478</v>
      </c>
    </row>
    <row r="555" spans="1:10" x14ac:dyDescent="0.2">
      <c r="A555" t="s">
        <v>4185</v>
      </c>
      <c r="B555" t="s">
        <v>4175</v>
      </c>
      <c r="C555" t="s">
        <v>2930</v>
      </c>
      <c r="D555" t="s">
        <v>2936</v>
      </c>
      <c r="E555" t="s">
        <v>4176</v>
      </c>
      <c r="F555" t="s">
        <v>5108</v>
      </c>
      <c r="G555" s="293">
        <v>1176369</v>
      </c>
      <c r="H555" s="293">
        <v>1379345.59</v>
      </c>
      <c r="I555" s="263">
        <v>46710</v>
      </c>
      <c r="J555" s="263">
        <v>46945</v>
      </c>
    </row>
    <row r="556" spans="1:10" x14ac:dyDescent="0.2">
      <c r="A556" t="s">
        <v>4197</v>
      </c>
      <c r="B556" t="s">
        <v>4175</v>
      </c>
      <c r="C556" t="s">
        <v>2930</v>
      </c>
      <c r="D556" t="s">
        <v>2936</v>
      </c>
      <c r="E556" t="s">
        <v>4176</v>
      </c>
      <c r="F556" t="s">
        <v>2970</v>
      </c>
      <c r="G556" s="293">
        <v>1135432</v>
      </c>
      <c r="H556" s="293">
        <v>1331345.1100000001</v>
      </c>
      <c r="I556" s="263">
        <v>46681</v>
      </c>
      <c r="J556" s="263">
        <v>46786</v>
      </c>
    </row>
    <row r="557" spans="1:10" x14ac:dyDescent="0.2">
      <c r="A557" t="s">
        <v>4198</v>
      </c>
      <c r="B557" t="s">
        <v>4175</v>
      </c>
      <c r="C557" t="s">
        <v>2930</v>
      </c>
      <c r="D557" t="s">
        <v>2936</v>
      </c>
      <c r="E557" t="s">
        <v>4176</v>
      </c>
      <c r="F557" t="s">
        <v>2974</v>
      </c>
      <c r="G557" s="293">
        <v>1135432</v>
      </c>
      <c r="H557" s="293">
        <v>1331345.1100000001</v>
      </c>
      <c r="I557" s="263">
        <v>46787</v>
      </c>
      <c r="J557" s="263">
        <v>46885</v>
      </c>
    </row>
    <row r="558" spans="1:10" x14ac:dyDescent="0.2">
      <c r="A558" t="s">
        <v>4199</v>
      </c>
      <c r="B558" t="s">
        <v>4175</v>
      </c>
      <c r="C558" t="s">
        <v>2930</v>
      </c>
      <c r="D558" t="s">
        <v>2936</v>
      </c>
      <c r="E558" t="s">
        <v>4176</v>
      </c>
      <c r="F558" t="s">
        <v>2978</v>
      </c>
      <c r="G558" s="293">
        <v>1135432</v>
      </c>
      <c r="H558" s="293">
        <v>1331345.1100000001</v>
      </c>
      <c r="I558" s="263">
        <v>46888</v>
      </c>
      <c r="J558" s="263">
        <v>46987</v>
      </c>
    </row>
    <row r="559" spans="1:10" x14ac:dyDescent="0.2">
      <c r="A559" t="s">
        <v>4196</v>
      </c>
      <c r="B559" t="s">
        <v>4175</v>
      </c>
      <c r="C559" t="s">
        <v>2930</v>
      </c>
      <c r="D559" t="s">
        <v>2936</v>
      </c>
      <c r="E559" t="s">
        <v>4176</v>
      </c>
      <c r="F559" t="s">
        <v>2968</v>
      </c>
      <c r="G559" s="293">
        <v>1135432</v>
      </c>
      <c r="H559" s="293">
        <v>1306971.7</v>
      </c>
      <c r="I559" s="263">
        <v>46581</v>
      </c>
      <c r="J559" s="263">
        <v>46680</v>
      </c>
    </row>
    <row r="560" spans="1:10" x14ac:dyDescent="0.2">
      <c r="A560" t="s">
        <v>4194</v>
      </c>
      <c r="B560" t="s">
        <v>4175</v>
      </c>
      <c r="C560" t="s">
        <v>2930</v>
      </c>
      <c r="D560" t="s">
        <v>2936</v>
      </c>
      <c r="E560" t="s">
        <v>4176</v>
      </c>
      <c r="F560" t="s">
        <v>2976</v>
      </c>
      <c r="G560" s="293">
        <v>1135432</v>
      </c>
      <c r="H560" s="293">
        <v>1301412.8600000001</v>
      </c>
      <c r="I560" s="263">
        <v>46377</v>
      </c>
      <c r="J560" s="263">
        <v>46478</v>
      </c>
    </row>
    <row r="561" spans="1:10" x14ac:dyDescent="0.2">
      <c r="A561" t="s">
        <v>4195</v>
      </c>
      <c r="B561" t="s">
        <v>4175</v>
      </c>
      <c r="C561" t="s">
        <v>2930</v>
      </c>
      <c r="D561" t="s">
        <v>2936</v>
      </c>
      <c r="E561" t="s">
        <v>4176</v>
      </c>
      <c r="F561" t="s">
        <v>2972</v>
      </c>
      <c r="G561" s="293">
        <v>1135432</v>
      </c>
      <c r="H561" s="293">
        <v>1301412.8600000001</v>
      </c>
      <c r="I561" s="263">
        <v>46479</v>
      </c>
      <c r="J561" s="263">
        <v>46580</v>
      </c>
    </row>
    <row r="562" spans="1:10" x14ac:dyDescent="0.2">
      <c r="A562" t="s">
        <v>4178</v>
      </c>
      <c r="B562" t="s">
        <v>4175</v>
      </c>
      <c r="C562" t="s">
        <v>2930</v>
      </c>
      <c r="D562" t="s">
        <v>2936</v>
      </c>
      <c r="E562" t="s">
        <v>4176</v>
      </c>
      <c r="F562" t="s">
        <v>5109</v>
      </c>
      <c r="G562" s="293">
        <v>925945</v>
      </c>
      <c r="H562" s="293">
        <v>1061302.42</v>
      </c>
      <c r="I562" s="263">
        <v>46429</v>
      </c>
      <c r="J562" s="263">
        <v>46601</v>
      </c>
    </row>
    <row r="563" spans="1:10" x14ac:dyDescent="0.2">
      <c r="A563" t="s">
        <v>4188</v>
      </c>
      <c r="B563" t="s">
        <v>4175</v>
      </c>
      <c r="C563" t="s">
        <v>2930</v>
      </c>
      <c r="D563" t="s">
        <v>2936</v>
      </c>
      <c r="E563" t="s">
        <v>4176</v>
      </c>
      <c r="F563" t="s">
        <v>5110</v>
      </c>
      <c r="G563" s="293">
        <v>707716</v>
      </c>
      <c r="H563" s="293">
        <v>848914.54</v>
      </c>
      <c r="I563" s="263">
        <v>47060</v>
      </c>
      <c r="J563" s="263">
        <v>47210</v>
      </c>
    </row>
    <row r="564" spans="1:10" x14ac:dyDescent="0.2">
      <c r="A564" t="s">
        <v>4186</v>
      </c>
      <c r="B564" t="s">
        <v>4175</v>
      </c>
      <c r="C564" t="s">
        <v>2930</v>
      </c>
      <c r="D564" t="s">
        <v>2936</v>
      </c>
      <c r="E564" t="s">
        <v>4176</v>
      </c>
      <c r="F564" t="s">
        <v>5111</v>
      </c>
      <c r="G564" s="293">
        <v>634474</v>
      </c>
      <c r="H564" s="293">
        <v>757423.83</v>
      </c>
      <c r="I564" s="263">
        <v>47003</v>
      </c>
      <c r="J564" s="263">
        <v>47122</v>
      </c>
    </row>
    <row r="565" spans="1:10" x14ac:dyDescent="0.2">
      <c r="A565" t="s">
        <v>4191</v>
      </c>
      <c r="B565" t="s">
        <v>4175</v>
      </c>
      <c r="C565" t="s">
        <v>2930</v>
      </c>
      <c r="D565" t="s">
        <v>2936</v>
      </c>
      <c r="E565" t="s">
        <v>4176</v>
      </c>
      <c r="F565" t="s">
        <v>5112</v>
      </c>
      <c r="G565" s="293">
        <v>427991</v>
      </c>
      <c r="H565" s="293">
        <v>501838.71</v>
      </c>
      <c r="I565" s="263">
        <v>46710</v>
      </c>
      <c r="J565" s="263">
        <v>46945</v>
      </c>
    </row>
    <row r="566" spans="1:10" x14ac:dyDescent="0.2">
      <c r="A566" t="s">
        <v>4179</v>
      </c>
      <c r="B566" t="s">
        <v>4175</v>
      </c>
      <c r="C566" t="s">
        <v>2930</v>
      </c>
      <c r="D566" t="s">
        <v>2936</v>
      </c>
      <c r="E566" t="s">
        <v>4176</v>
      </c>
      <c r="F566" t="s">
        <v>2942</v>
      </c>
      <c r="G566" s="293">
        <v>436581</v>
      </c>
      <c r="H566" s="293">
        <v>497800</v>
      </c>
      <c r="I566" s="263">
        <v>46244</v>
      </c>
      <c r="J566" s="263">
        <v>46478</v>
      </c>
    </row>
    <row r="567" spans="1:10" x14ac:dyDescent="0.2">
      <c r="A567" t="s">
        <v>4189</v>
      </c>
      <c r="B567" t="s">
        <v>4175</v>
      </c>
      <c r="C567" t="s">
        <v>2930</v>
      </c>
      <c r="D567" t="s">
        <v>2936</v>
      </c>
      <c r="E567" t="s">
        <v>4176</v>
      </c>
      <c r="F567" t="s">
        <v>2960</v>
      </c>
      <c r="G567" s="293">
        <v>430160</v>
      </c>
      <c r="H567" s="293">
        <v>495380.93</v>
      </c>
      <c r="I567" s="263">
        <v>46479</v>
      </c>
      <c r="J567" s="263">
        <v>46709</v>
      </c>
    </row>
    <row r="568" spans="1:10" x14ac:dyDescent="0.2">
      <c r="A568" t="s">
        <v>4183</v>
      </c>
      <c r="B568" t="s">
        <v>4175</v>
      </c>
      <c r="C568" t="s">
        <v>2930</v>
      </c>
      <c r="D568" t="s">
        <v>2936</v>
      </c>
      <c r="E568" t="s">
        <v>4176</v>
      </c>
      <c r="F568" t="s">
        <v>2950</v>
      </c>
      <c r="G568" s="293">
        <v>417553</v>
      </c>
      <c r="H568" s="293">
        <v>489599.68</v>
      </c>
      <c r="I568" s="263">
        <v>46710</v>
      </c>
      <c r="J568" s="263">
        <v>46916</v>
      </c>
    </row>
    <row r="569" spans="1:10" x14ac:dyDescent="0.2">
      <c r="A569" t="s">
        <v>4180</v>
      </c>
      <c r="B569" t="s">
        <v>4175</v>
      </c>
      <c r="C569" t="s">
        <v>2930</v>
      </c>
      <c r="D569" t="s">
        <v>2936</v>
      </c>
      <c r="E569" t="s">
        <v>4176</v>
      </c>
      <c r="F569" t="s">
        <v>5113</v>
      </c>
      <c r="G569" s="293">
        <v>387166</v>
      </c>
      <c r="H569" s="293">
        <v>450397.29</v>
      </c>
      <c r="I569" s="263">
        <v>46602</v>
      </c>
      <c r="J569" s="263">
        <v>46779</v>
      </c>
    </row>
    <row r="570" spans="1:10" x14ac:dyDescent="0.2">
      <c r="A570" t="s">
        <v>4192</v>
      </c>
      <c r="B570" t="s">
        <v>4175</v>
      </c>
      <c r="C570" t="s">
        <v>2930</v>
      </c>
      <c r="D570" t="s">
        <v>2936</v>
      </c>
      <c r="E570" t="s">
        <v>4176</v>
      </c>
      <c r="F570" t="s">
        <v>5114</v>
      </c>
      <c r="G570" s="293">
        <v>257063</v>
      </c>
      <c r="H570" s="293">
        <v>308350.40999999997</v>
      </c>
      <c r="I570" s="263">
        <v>47154</v>
      </c>
      <c r="J570" s="263">
        <v>47238</v>
      </c>
    </row>
    <row r="571" spans="1:10" x14ac:dyDescent="0.2">
      <c r="A571" t="s">
        <v>4190</v>
      </c>
      <c r="B571" t="s">
        <v>4175</v>
      </c>
      <c r="C571" t="s">
        <v>2930</v>
      </c>
      <c r="D571" t="s">
        <v>2936</v>
      </c>
      <c r="E571" t="s">
        <v>4176</v>
      </c>
      <c r="F571" t="s">
        <v>5115</v>
      </c>
      <c r="G571" s="293">
        <v>218481</v>
      </c>
      <c r="H571" s="293">
        <v>262070.8</v>
      </c>
      <c r="I571" s="263">
        <v>47060</v>
      </c>
      <c r="J571" s="263">
        <v>47151</v>
      </c>
    </row>
    <row r="572" spans="1:10" x14ac:dyDescent="0.2">
      <c r="A572" t="s">
        <v>4184</v>
      </c>
      <c r="B572" t="s">
        <v>4175</v>
      </c>
      <c r="C572" t="s">
        <v>2930</v>
      </c>
      <c r="D572" t="s">
        <v>2936</v>
      </c>
      <c r="E572" t="s">
        <v>4176</v>
      </c>
      <c r="F572" t="s">
        <v>5116</v>
      </c>
      <c r="G572" s="293">
        <v>200359</v>
      </c>
      <c r="H572" s="293">
        <v>234929.94</v>
      </c>
      <c r="I572" s="263">
        <v>46917</v>
      </c>
      <c r="J572" s="263">
        <v>47002</v>
      </c>
    </row>
    <row r="573" spans="1:10" x14ac:dyDescent="0.2">
      <c r="A573" t="s">
        <v>3910</v>
      </c>
      <c r="B573" t="s">
        <v>3908</v>
      </c>
      <c r="C573" t="s">
        <v>2930</v>
      </c>
      <c r="D573" t="s">
        <v>2979</v>
      </c>
      <c r="E573" t="s">
        <v>3909</v>
      </c>
      <c r="F573" t="s">
        <v>5117</v>
      </c>
      <c r="G573" s="293">
        <v>2270521</v>
      </c>
      <c r="H573" s="293">
        <v>2543921.25</v>
      </c>
      <c r="I573" s="263">
        <v>45951</v>
      </c>
      <c r="J573" s="263">
        <v>46213</v>
      </c>
    </row>
    <row r="574" spans="1:10" x14ac:dyDescent="0.2">
      <c r="A574" t="s">
        <v>3912</v>
      </c>
      <c r="B574" t="s">
        <v>3908</v>
      </c>
      <c r="C574" t="s">
        <v>2930</v>
      </c>
      <c r="D574" t="s">
        <v>2979</v>
      </c>
      <c r="E574" t="s">
        <v>3909</v>
      </c>
      <c r="F574" t="s">
        <v>5118</v>
      </c>
      <c r="G574" s="293">
        <v>1866769</v>
      </c>
      <c r="H574" s="293">
        <v>2091552.26</v>
      </c>
      <c r="I574" s="263">
        <v>45951</v>
      </c>
      <c r="J574" s="263">
        <v>46213</v>
      </c>
    </row>
    <row r="575" spans="1:10" x14ac:dyDescent="0.2">
      <c r="A575" t="s">
        <v>3916</v>
      </c>
      <c r="B575" t="s">
        <v>3908</v>
      </c>
      <c r="C575" t="s">
        <v>2930</v>
      </c>
      <c r="D575" t="s">
        <v>2979</v>
      </c>
      <c r="E575" t="s">
        <v>3909</v>
      </c>
      <c r="F575" t="s">
        <v>5119</v>
      </c>
      <c r="G575" s="293">
        <v>1698857.54</v>
      </c>
      <c r="H575" s="293">
        <v>1903422.07</v>
      </c>
      <c r="I575" s="263">
        <v>45951</v>
      </c>
      <c r="J575" s="263">
        <v>46213</v>
      </c>
    </row>
    <row r="576" spans="1:10" x14ac:dyDescent="0.2">
      <c r="A576" t="s">
        <v>3914</v>
      </c>
      <c r="B576" t="s">
        <v>3908</v>
      </c>
      <c r="C576" t="s">
        <v>2930</v>
      </c>
      <c r="D576" t="s">
        <v>2979</v>
      </c>
      <c r="E576" t="s">
        <v>3909</v>
      </c>
      <c r="F576" t="s">
        <v>5120</v>
      </c>
      <c r="G576" s="293">
        <v>1409512</v>
      </c>
      <c r="H576" s="293">
        <v>1579235.57</v>
      </c>
      <c r="I576" s="263">
        <v>45951</v>
      </c>
      <c r="J576" s="263">
        <v>46213</v>
      </c>
    </row>
    <row r="577" spans="1:10" x14ac:dyDescent="0.2">
      <c r="A577" t="s">
        <v>3911</v>
      </c>
      <c r="B577" t="s">
        <v>3908</v>
      </c>
      <c r="C577" t="s">
        <v>2930</v>
      </c>
      <c r="D577" t="s">
        <v>2979</v>
      </c>
      <c r="E577" t="s">
        <v>3909</v>
      </c>
      <c r="F577" t="s">
        <v>5121</v>
      </c>
      <c r="G577" s="293">
        <v>900000</v>
      </c>
      <c r="H577" s="293">
        <v>1023302.19</v>
      </c>
      <c r="I577" s="263">
        <v>46216</v>
      </c>
      <c r="J577" s="263">
        <v>46450</v>
      </c>
    </row>
    <row r="578" spans="1:10" x14ac:dyDescent="0.2">
      <c r="A578" t="s">
        <v>3913</v>
      </c>
      <c r="B578" t="s">
        <v>3908</v>
      </c>
      <c r="C578" t="s">
        <v>2930</v>
      </c>
      <c r="D578" t="s">
        <v>2979</v>
      </c>
      <c r="E578" t="s">
        <v>3909</v>
      </c>
      <c r="F578" t="s">
        <v>5122</v>
      </c>
      <c r="G578" s="293">
        <v>900000</v>
      </c>
      <c r="H578" s="293">
        <v>1023302.19</v>
      </c>
      <c r="I578" s="263">
        <v>46216</v>
      </c>
      <c r="J578" s="263">
        <v>46450</v>
      </c>
    </row>
    <row r="579" spans="1:10" x14ac:dyDescent="0.2">
      <c r="A579" t="s">
        <v>3915</v>
      </c>
      <c r="B579" t="s">
        <v>3908</v>
      </c>
      <c r="C579" t="s">
        <v>2930</v>
      </c>
      <c r="D579" t="s">
        <v>2979</v>
      </c>
      <c r="E579" t="s">
        <v>3909</v>
      </c>
      <c r="F579" t="s">
        <v>5123</v>
      </c>
      <c r="G579" s="293">
        <v>900000</v>
      </c>
      <c r="H579" s="293">
        <v>1023302.19</v>
      </c>
      <c r="I579" s="263">
        <v>46216</v>
      </c>
      <c r="J579" s="263">
        <v>46450</v>
      </c>
    </row>
    <row r="580" spans="1:10" x14ac:dyDescent="0.2">
      <c r="A580" t="s">
        <v>3917</v>
      </c>
      <c r="B580" t="s">
        <v>3908</v>
      </c>
      <c r="C580" t="s">
        <v>2930</v>
      </c>
      <c r="D580" t="s">
        <v>2979</v>
      </c>
      <c r="E580" t="s">
        <v>3909</v>
      </c>
      <c r="F580" t="s">
        <v>5124</v>
      </c>
      <c r="G580" s="293">
        <v>900000</v>
      </c>
      <c r="H580" s="293">
        <v>1023302.19</v>
      </c>
      <c r="I580" s="263">
        <v>46216</v>
      </c>
      <c r="J580" s="263">
        <v>46450</v>
      </c>
    </row>
    <row r="581" spans="1:10" x14ac:dyDescent="0.2">
      <c r="A581" t="s">
        <v>3919</v>
      </c>
      <c r="B581" t="s">
        <v>3908</v>
      </c>
      <c r="C581" t="s">
        <v>2930</v>
      </c>
      <c r="D581" t="s">
        <v>2979</v>
      </c>
      <c r="E581" t="s">
        <v>3909</v>
      </c>
      <c r="F581" t="s">
        <v>5125</v>
      </c>
      <c r="G581" s="293">
        <v>900000</v>
      </c>
      <c r="H581" s="293">
        <v>1023302.19</v>
      </c>
      <c r="I581" s="263">
        <v>46216</v>
      </c>
      <c r="J581" s="263">
        <v>46450</v>
      </c>
    </row>
    <row r="582" spans="1:10" x14ac:dyDescent="0.2">
      <c r="A582" t="s">
        <v>3918</v>
      </c>
      <c r="B582" t="s">
        <v>3908</v>
      </c>
      <c r="C582" t="s">
        <v>2930</v>
      </c>
      <c r="D582" t="s">
        <v>2979</v>
      </c>
      <c r="E582" t="s">
        <v>3909</v>
      </c>
      <c r="F582" t="s">
        <v>5126</v>
      </c>
      <c r="G582" s="293">
        <v>225020</v>
      </c>
      <c r="H582" s="293">
        <v>252115.33</v>
      </c>
      <c r="I582" s="263">
        <v>45951</v>
      </c>
      <c r="J582" s="263">
        <v>46213</v>
      </c>
    </row>
  </sheetData>
  <autoFilter ref="A1:J582" xr:uid="{CC376A91-495B-45A3-887B-82585A8FE19E}"/>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B78AD-5421-494F-91D0-1F6BCAD963C4}">
  <sheetPr codeName="Sheet2"/>
  <dimension ref="A1:A18"/>
  <sheetViews>
    <sheetView zoomScale="91" zoomScaleNormal="91" workbookViewId="0">
      <selection activeCell="A12" sqref="A12"/>
    </sheetView>
  </sheetViews>
  <sheetFormatPr baseColWidth="10" defaultColWidth="8.83203125" defaultRowHeight="15" x14ac:dyDescent="0.2"/>
  <cols>
    <col min="1" max="1" width="103.5" style="5" customWidth="1"/>
  </cols>
  <sheetData>
    <row r="1" spans="1:1" x14ac:dyDescent="0.2">
      <c r="A1" s="342" t="s">
        <v>0</v>
      </c>
    </row>
    <row r="2" spans="1:1" ht="45" x14ac:dyDescent="0.2">
      <c r="A2" s="342" t="s">
        <v>1</v>
      </c>
    </row>
    <row r="3" spans="1:1" ht="30" x14ac:dyDescent="0.2">
      <c r="A3" s="342" t="s">
        <v>2</v>
      </c>
    </row>
    <row r="4" spans="1:1" ht="45" x14ac:dyDescent="0.2">
      <c r="A4" s="342" t="s">
        <v>3</v>
      </c>
    </row>
    <row r="5" spans="1:1" x14ac:dyDescent="0.2">
      <c r="A5" s="340" t="s">
        <v>4</v>
      </c>
    </row>
    <row r="6" spans="1:1" x14ac:dyDescent="0.2">
      <c r="A6" s="340" t="s">
        <v>5</v>
      </c>
    </row>
    <row r="7" spans="1:1" x14ac:dyDescent="0.2">
      <c r="A7" s="340" t="s">
        <v>6</v>
      </c>
    </row>
    <row r="8" spans="1:1" x14ac:dyDescent="0.2">
      <c r="A8" s="341" t="s">
        <v>7</v>
      </c>
    </row>
    <row r="9" spans="1:1" ht="30" x14ac:dyDescent="0.2">
      <c r="A9" s="342" t="s">
        <v>8</v>
      </c>
    </row>
    <row r="10" spans="1:1" ht="30" x14ac:dyDescent="0.2">
      <c r="A10" s="342" t="s">
        <v>9</v>
      </c>
    </row>
    <row r="11" spans="1:1" x14ac:dyDescent="0.2">
      <c r="A11" s="343" t="s">
        <v>10</v>
      </c>
    </row>
    <row r="12" spans="1:1" x14ac:dyDescent="0.2">
      <c r="A12" s="792" t="s">
        <v>11</v>
      </c>
    </row>
    <row r="13" spans="1:1" x14ac:dyDescent="0.2">
      <c r="A13" s="340" t="s">
        <v>12</v>
      </c>
    </row>
    <row r="14" spans="1:1" ht="30" x14ac:dyDescent="0.2">
      <c r="A14" s="342" t="s">
        <v>13</v>
      </c>
    </row>
    <row r="15" spans="1:1" ht="30" x14ac:dyDescent="0.2">
      <c r="A15" s="342" t="s">
        <v>14</v>
      </c>
    </row>
    <row r="16" spans="1:1" x14ac:dyDescent="0.2">
      <c r="A16" s="340" t="s">
        <v>15</v>
      </c>
    </row>
    <row r="17" spans="1:1" ht="30" x14ac:dyDescent="0.2">
      <c r="A17" s="344" t="s">
        <v>16</v>
      </c>
    </row>
    <row r="18" spans="1:1" ht="30" x14ac:dyDescent="0.2">
      <c r="A18" s="791" t="s">
        <v>17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81D94-E114-45C3-97D0-4A398B00E712}">
  <sheetPr codeName="Sheet3"/>
  <dimension ref="A1:C30"/>
  <sheetViews>
    <sheetView zoomScale="108" zoomScaleNormal="108" workbookViewId="0">
      <selection activeCell="A7" sqref="A7:A16"/>
    </sheetView>
  </sheetViews>
  <sheetFormatPr baseColWidth="10" defaultColWidth="8.83203125" defaultRowHeight="15" x14ac:dyDescent="0.2"/>
  <cols>
    <col min="1" max="1" width="25" customWidth="1"/>
    <col min="2" max="2" width="83" customWidth="1"/>
    <col min="3" max="3" width="26.1640625" customWidth="1"/>
  </cols>
  <sheetData>
    <row r="1" spans="1:3" x14ac:dyDescent="0.2">
      <c r="A1" s="1006" t="s">
        <v>18</v>
      </c>
      <c r="B1" s="844" t="s">
        <v>19</v>
      </c>
      <c r="C1" s="845"/>
    </row>
    <row r="2" spans="1:3" x14ac:dyDescent="0.2">
      <c r="A2" s="1006"/>
      <c r="B2" s="844" t="s">
        <v>20</v>
      </c>
      <c r="C2" s="845"/>
    </row>
    <row r="3" spans="1:3" x14ac:dyDescent="0.2">
      <c r="A3" s="1006"/>
      <c r="B3" s="844" t="s">
        <v>21</v>
      </c>
      <c r="C3" s="845"/>
    </row>
    <row r="4" spans="1:3" x14ac:dyDescent="0.2">
      <c r="A4" s="1006"/>
      <c r="B4" s="844" t="s">
        <v>22</v>
      </c>
      <c r="C4" s="845"/>
    </row>
    <row r="5" spans="1:3" x14ac:dyDescent="0.2">
      <c r="A5" s="1006"/>
      <c r="B5" s="844" t="s">
        <v>23</v>
      </c>
      <c r="C5" s="845"/>
    </row>
    <row r="6" spans="1:3" x14ac:dyDescent="0.2">
      <c r="A6" s="1006"/>
      <c r="B6" s="844" t="s">
        <v>24</v>
      </c>
      <c r="C6" s="845"/>
    </row>
    <row r="7" spans="1:3" x14ac:dyDescent="0.2">
      <c r="A7" s="1007" t="s">
        <v>25</v>
      </c>
      <c r="B7" s="846" t="s">
        <v>26</v>
      </c>
      <c r="C7" s="847"/>
    </row>
    <row r="8" spans="1:3" x14ac:dyDescent="0.2">
      <c r="A8" s="1008"/>
      <c r="B8" s="846" t="s">
        <v>27</v>
      </c>
      <c r="C8" s="847"/>
    </row>
    <row r="9" spans="1:3" x14ac:dyDescent="0.2">
      <c r="A9" s="1008"/>
      <c r="B9" s="846" t="s">
        <v>28</v>
      </c>
      <c r="C9" s="847"/>
    </row>
    <row r="10" spans="1:3" x14ac:dyDescent="0.2">
      <c r="A10" s="1008"/>
      <c r="B10" s="846" t="s">
        <v>29</v>
      </c>
      <c r="C10" s="847"/>
    </row>
    <row r="11" spans="1:3" x14ac:dyDescent="0.2">
      <c r="A11" s="1008"/>
      <c r="B11" s="846" t="s">
        <v>30</v>
      </c>
      <c r="C11" s="847"/>
    </row>
    <row r="12" spans="1:3" ht="30" customHeight="1" x14ac:dyDescent="0.2">
      <c r="A12" s="1008"/>
      <c r="B12" s="848" t="s">
        <v>31</v>
      </c>
      <c r="C12" s="847"/>
    </row>
    <row r="13" spans="1:3" ht="19.25" customHeight="1" x14ac:dyDescent="0.2">
      <c r="A13" s="1008"/>
      <c r="B13" s="848" t="s">
        <v>32</v>
      </c>
      <c r="C13" s="847"/>
    </row>
    <row r="14" spans="1:3" ht="17.5" customHeight="1" x14ac:dyDescent="0.2">
      <c r="A14" s="1008"/>
      <c r="B14" s="848" t="s">
        <v>33</v>
      </c>
      <c r="C14" s="849"/>
    </row>
    <row r="15" spans="1:3" x14ac:dyDescent="0.2">
      <c r="A15" s="1008"/>
      <c r="B15" s="846" t="s">
        <v>34</v>
      </c>
      <c r="C15" s="849"/>
    </row>
    <row r="16" spans="1:3" x14ac:dyDescent="0.2">
      <c r="A16" s="1008"/>
      <c r="B16" s="846" t="s">
        <v>35</v>
      </c>
      <c r="C16" s="849"/>
    </row>
    <row r="17" spans="1:3" x14ac:dyDescent="0.2">
      <c r="A17" s="1009" t="s">
        <v>36</v>
      </c>
      <c r="B17" s="850" t="s">
        <v>37</v>
      </c>
      <c r="C17" s="851"/>
    </row>
    <row r="18" spans="1:3" x14ac:dyDescent="0.2">
      <c r="A18" s="1010"/>
      <c r="B18" s="850" t="s">
        <v>38</v>
      </c>
      <c r="C18" s="851"/>
    </row>
    <row r="19" spans="1:3" x14ac:dyDescent="0.2">
      <c r="A19" s="1010"/>
      <c r="B19" s="850" t="s">
        <v>39</v>
      </c>
      <c r="C19" s="851"/>
    </row>
    <row r="20" spans="1:3" x14ac:dyDescent="0.2">
      <c r="A20" s="1010"/>
      <c r="B20" s="850" t="s">
        <v>40</v>
      </c>
      <c r="C20" s="851"/>
    </row>
    <row r="21" spans="1:3" x14ac:dyDescent="0.2">
      <c r="A21" s="1010"/>
      <c r="B21" s="850" t="s">
        <v>41</v>
      </c>
      <c r="C21" s="851"/>
    </row>
    <row r="22" spans="1:3" x14ac:dyDescent="0.2">
      <c r="A22" s="1010"/>
      <c r="B22" s="850" t="s">
        <v>42</v>
      </c>
      <c r="C22" s="851"/>
    </row>
    <row r="23" spans="1:3" x14ac:dyDescent="0.2">
      <c r="A23" s="1010"/>
      <c r="B23" s="850" t="s">
        <v>43</v>
      </c>
      <c r="C23" s="851"/>
    </row>
    <row r="24" spans="1:3" x14ac:dyDescent="0.2">
      <c r="A24" s="1010"/>
      <c r="B24" s="850" t="s">
        <v>44</v>
      </c>
      <c r="C24" s="851"/>
    </row>
    <row r="25" spans="1:3" x14ac:dyDescent="0.2">
      <c r="A25" s="1010"/>
      <c r="B25" s="850" t="s">
        <v>45</v>
      </c>
      <c r="C25" s="851"/>
    </row>
    <row r="26" spans="1:3" x14ac:dyDescent="0.2">
      <c r="A26" s="1010"/>
      <c r="B26" s="850" t="s">
        <v>29</v>
      </c>
      <c r="C26" s="851"/>
    </row>
    <row r="27" spans="1:3" x14ac:dyDescent="0.2">
      <c r="A27" s="1010"/>
      <c r="B27" s="850" t="s">
        <v>30</v>
      </c>
      <c r="C27" s="851"/>
    </row>
    <row r="28" spans="1:3" ht="28.25" customHeight="1" x14ac:dyDescent="0.2">
      <c r="A28" s="1010"/>
      <c r="B28" s="852" t="s">
        <v>31</v>
      </c>
      <c r="C28" s="851"/>
    </row>
    <row r="29" spans="1:3" ht="32.5" customHeight="1" x14ac:dyDescent="0.2">
      <c r="A29" s="1010"/>
      <c r="B29" s="852" t="s">
        <v>32</v>
      </c>
      <c r="C29" s="851"/>
    </row>
    <row r="30" spans="1:3" ht="21" customHeight="1" x14ac:dyDescent="0.2">
      <c r="A30" s="1010"/>
      <c r="B30" s="852" t="s">
        <v>33</v>
      </c>
      <c r="C30" s="851"/>
    </row>
  </sheetData>
  <mergeCells count="3">
    <mergeCell ref="A1:A6"/>
    <mergeCell ref="A7:A16"/>
    <mergeCell ref="A17:A30"/>
  </mergeCells>
  <dataValidations count="2">
    <dataValidation type="list" allowBlank="1" showInputMessage="1" showErrorMessage="1" sqref="C15" xr:uid="{9C4A6B52-670E-45AB-85EE-22DD8DE16E18}">
      <formula1>"Avoid, Accept, Enhance, Mitigate, Transfer"</formula1>
    </dataValidation>
    <dataValidation type="list" allowBlank="1" showInputMessage="1" showErrorMessage="1" sqref="C10:C14" xr:uid="{6A8A6D2A-3241-4E21-8617-34FCB83339C8}">
      <formula1>"YES, NO"</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CB3E6-5CB6-4A20-8BDC-70F96D7BAADA}">
  <sheetPr codeName="Sheet4" filterMode="1"/>
  <dimension ref="B2:BY482"/>
  <sheetViews>
    <sheetView tabSelected="1" zoomScale="120" zoomScaleNormal="120" workbookViewId="0">
      <pane xSplit="12" ySplit="4" topLeftCell="Y201" activePane="bottomRight" state="frozen"/>
      <selection pane="topRight" activeCell="L1" sqref="L1"/>
      <selection pane="bottomLeft" activeCell="A4" sqref="A4"/>
      <selection pane="bottomRight" activeCell="P208" sqref="P208"/>
    </sheetView>
  </sheetViews>
  <sheetFormatPr baseColWidth="10" defaultColWidth="8.83203125" defaultRowHeight="15" outlineLevelRow="1" outlineLevelCol="2" x14ac:dyDescent="0.2"/>
  <cols>
    <col min="1" max="1" width="1.83203125" style="931" customWidth="1"/>
    <col min="2" max="2" width="12.83203125" style="931" customWidth="1"/>
    <col min="3" max="3" width="15.83203125" style="777" customWidth="1"/>
    <col min="4" max="4" width="12.83203125" style="931" customWidth="1"/>
    <col min="5" max="5" width="20.5" style="931" customWidth="1"/>
    <col min="6" max="6" width="9.5" style="931" hidden="1" customWidth="1" outlineLevel="1"/>
    <col min="7" max="7" width="12.83203125" style="931" hidden="1" customWidth="1" outlineLevel="1"/>
    <col min="8" max="8" width="23.5" hidden="1" customWidth="1" outlineLevel="1"/>
    <col min="9" max="9" width="12.83203125" style="931" customWidth="1" collapsed="1"/>
    <col min="10" max="10" width="12.83203125" style="931" customWidth="1"/>
    <col min="11" max="11" width="21.1640625" style="2" customWidth="1"/>
    <col min="12" max="12" width="60.6640625" style="347" customWidth="1"/>
    <col min="13" max="13" width="23.33203125" style="931" hidden="1" customWidth="1" outlineLevel="1"/>
    <col min="14" max="14" width="12.5" style="931" hidden="1" customWidth="1" outlineLevel="1"/>
    <col min="15" max="15" width="13.33203125" style="931" hidden="1" customWidth="1" outlineLevel="1"/>
    <col min="16" max="16" width="11.6640625" style="931" hidden="1" customWidth="1" outlineLevel="1"/>
    <col min="17" max="17" width="13.5" style="931" hidden="1" customWidth="1" outlineLevel="1"/>
    <col min="18" max="18" width="13" style="931" hidden="1" customWidth="1" outlineLevel="1"/>
    <col min="19" max="19" width="12" style="931" hidden="1" customWidth="1" outlineLevel="1"/>
    <col min="20" max="20" width="15.6640625" style="931" hidden="1" customWidth="1" outlineLevel="1"/>
    <col min="21" max="21" width="12.33203125" style="931" hidden="1" customWidth="1" outlineLevel="1"/>
    <col min="22" max="22" width="12.6640625" style="931" hidden="1" customWidth="1" outlineLevel="1"/>
    <col min="23" max="23" width="15.33203125" style="931" hidden="1" customWidth="1" outlineLevel="1"/>
    <col min="24" max="24" width="15.83203125" style="931" hidden="1" customWidth="1" outlineLevel="1"/>
    <col min="25" max="25" width="13.6640625" style="931" customWidth="1" collapsed="1"/>
    <col min="26" max="26" width="14.33203125" style="931" hidden="1" customWidth="1" outlineLevel="2"/>
    <col min="27" max="27" width="17.83203125" style="931" hidden="1" customWidth="1" outlineLevel="2"/>
    <col min="28" max="29" width="22.6640625" style="931" hidden="1" customWidth="1" outlineLevel="2"/>
    <col min="30" max="30" width="43.83203125" style="347" customWidth="1" collapsed="1"/>
    <col min="31" max="31" width="22.6640625" style="1003" hidden="1" customWidth="1" outlineLevel="1"/>
    <col min="32" max="32" width="17.1640625" style="872" hidden="1" customWidth="1" outlineLevel="1"/>
    <col min="33" max="33" width="49.33203125" style="872" hidden="1" customWidth="1" outlineLevel="1"/>
    <col min="34" max="34" width="20" style="777" hidden="1" customWidth="1" outlineLevel="1"/>
    <col min="35" max="35" width="11.6640625" style="931" hidden="1" customWidth="1" outlineLevel="1"/>
    <col min="36" max="36" width="9.5" style="931" hidden="1" customWidth="1" outlineLevel="1"/>
    <col min="37" max="37" width="9.33203125" style="931" hidden="1" customWidth="1" outlineLevel="1"/>
    <col min="38" max="38" width="9.83203125" style="931" hidden="1" customWidth="1" outlineLevel="1"/>
    <col min="39" max="39" width="9.1640625" style="931" hidden="1" customWidth="1" outlineLevel="1"/>
    <col min="40" max="40" width="10" style="931" hidden="1" customWidth="1" outlineLevel="1"/>
    <col min="41" max="41" width="9.6640625" style="931" hidden="1" customWidth="1" outlineLevel="1"/>
    <col min="42" max="42" width="18.6640625" style="931" hidden="1" customWidth="1" outlineLevel="1"/>
    <col min="43" max="43" width="19.1640625" style="931" hidden="1" customWidth="1" outlineLevel="1"/>
    <col min="44" max="44" width="17.6640625" style="931" hidden="1" customWidth="1" outlineLevel="1"/>
    <col min="45" max="45" width="11.5" style="931" hidden="1" customWidth="1" outlineLevel="1"/>
    <col min="46" max="46" width="19.33203125" style="931" hidden="1" customWidth="1" outlineLevel="1"/>
    <col min="47" max="47" width="20.5" style="931" hidden="1" customWidth="1" outlineLevel="1"/>
    <col min="48" max="49" width="18" style="931" hidden="1" customWidth="1" outlineLevel="1"/>
    <col min="50" max="50" width="20.5" style="931" hidden="1" customWidth="1" outlineLevel="1"/>
    <col min="51" max="51" width="0.33203125" style="931" customWidth="1" collapsed="1"/>
    <col min="52" max="52" width="12.5" style="2" customWidth="1"/>
    <col min="53" max="53" width="27.83203125" style="931" hidden="1" customWidth="1" outlineLevel="1"/>
    <col min="54" max="54" width="41.6640625" style="2" hidden="1" customWidth="1" outlineLevel="1"/>
    <col min="55" max="55" width="20.33203125" style="2" hidden="1" customWidth="1" outlineLevel="1"/>
    <col min="56" max="56" width="20.5" style="931" hidden="1" customWidth="1" outlineLevel="1"/>
    <col min="57" max="58" width="19.6640625" style="931" hidden="1" customWidth="1" outlineLevel="1"/>
    <col min="59" max="59" width="32.6640625" style="931" hidden="1" customWidth="1" outlineLevel="1"/>
    <col min="60" max="60" width="18.5" style="931" hidden="1" customWidth="1" outlineLevel="1"/>
    <col min="61" max="61" width="15.5" style="931" hidden="1" customWidth="1" outlineLevel="1"/>
    <col min="62" max="62" width="16.6640625" style="931" hidden="1" customWidth="1" outlineLevel="1"/>
    <col min="63" max="63" width="15" style="931" hidden="1" customWidth="1" outlineLevel="1"/>
    <col min="64" max="64" width="18.5" style="931" hidden="1" customWidth="1" outlineLevel="1"/>
    <col min="65" max="65" width="16.1640625" style="931" hidden="1" customWidth="1" outlineLevel="1"/>
    <col min="66" max="66" width="16" style="931" hidden="1" customWidth="1" outlineLevel="1"/>
    <col min="67" max="67" width="35" style="91" hidden="1" customWidth="1" outlineLevel="1"/>
    <col min="68" max="68" width="17.6640625" style="91" hidden="1" customWidth="1" outlineLevel="1"/>
    <col min="69" max="69" width="24.5" style="97" hidden="1" customWidth="1" outlineLevel="1"/>
    <col min="70" max="70" width="18" style="97" hidden="1" customWidth="1" outlineLevel="1"/>
    <col min="71" max="71" width="20.1640625" style="97" hidden="1" customWidth="1" outlineLevel="1" collapsed="1"/>
    <col min="72" max="72" width="16.1640625" style="97" hidden="1" customWidth="1" outlineLevel="1"/>
    <col min="73" max="73" width="29.5" hidden="1" customWidth="1" outlineLevel="1"/>
    <col min="74" max="74" width="8.6640625" style="931" hidden="1" customWidth="1" outlineLevel="1"/>
    <col min="75" max="75" width="6.6640625" style="931" hidden="1" customWidth="1" outlineLevel="1"/>
    <col min="76" max="76" width="8.83203125" style="931" hidden="1" customWidth="1" outlineLevel="1"/>
    <col min="77" max="77" width="8.83203125" style="931" collapsed="1"/>
    <col min="78" max="16384" width="8.83203125" style="931"/>
  </cols>
  <sheetData>
    <row r="2" spans="2:75" ht="67" customHeight="1" x14ac:dyDescent="0.2">
      <c r="B2" s="213"/>
      <c r="C2" s="1011" t="s">
        <v>18</v>
      </c>
      <c r="D2" s="1012"/>
      <c r="E2" s="1011"/>
      <c r="F2" s="1011"/>
      <c r="G2" s="1011"/>
      <c r="H2" s="1011"/>
      <c r="I2" s="1011"/>
      <c r="J2" s="1013"/>
      <c r="K2" s="1011"/>
      <c r="L2" s="1014"/>
      <c r="M2" s="1015" t="s">
        <v>46</v>
      </c>
      <c r="N2" s="1016"/>
      <c r="O2" s="1017"/>
      <c r="P2" s="1016"/>
      <c r="Q2" s="1017"/>
      <c r="R2" s="1016"/>
      <c r="S2" s="1017"/>
      <c r="T2" s="1017"/>
      <c r="U2" s="1017"/>
      <c r="V2" s="1017"/>
      <c r="W2" s="1017"/>
      <c r="X2" s="1017"/>
      <c r="Y2" s="1018"/>
      <c r="Z2" s="1017"/>
      <c r="AA2" s="1017"/>
      <c r="AB2" s="1019"/>
      <c r="AC2" s="741"/>
      <c r="AD2" s="1020" t="s">
        <v>47</v>
      </c>
      <c r="AE2" s="1021"/>
      <c r="AF2" s="1022"/>
      <c r="AG2" s="1023"/>
      <c r="AH2" s="1024" t="s">
        <v>5128</v>
      </c>
      <c r="AI2" s="1025"/>
      <c r="AJ2" s="1025"/>
      <c r="AK2" s="1025"/>
      <c r="AL2" s="1026"/>
      <c r="AM2" s="1025"/>
      <c r="AN2" s="1025"/>
      <c r="AO2" s="1027"/>
      <c r="AP2" s="1028"/>
      <c r="AQ2" s="1028"/>
      <c r="AR2" s="1028"/>
      <c r="AS2" s="1025"/>
      <c r="AT2" s="1028"/>
      <c r="AU2" s="1028"/>
      <c r="AV2" s="1028"/>
      <c r="AW2" s="1028"/>
      <c r="AX2" s="1028"/>
      <c r="AY2" s="1029"/>
      <c r="AZ2" s="1030"/>
      <c r="BA2" s="1025"/>
      <c r="BB2" s="1031"/>
      <c r="BC2" s="1032"/>
      <c r="BD2" s="1014" t="s">
        <v>48</v>
      </c>
      <c r="BE2" s="1014"/>
      <c r="BF2" s="1014"/>
      <c r="BG2" s="1014"/>
      <c r="BH2" s="1014"/>
      <c r="BI2" s="740"/>
      <c r="BJ2" s="740"/>
      <c r="BK2" s="740"/>
      <c r="BL2" s="740"/>
      <c r="BM2" s="993"/>
      <c r="BN2" s="327"/>
      <c r="BO2" s="998"/>
      <c r="BP2" s="998"/>
      <c r="BQ2" s="224"/>
      <c r="BR2" s="224"/>
      <c r="BS2" s="224"/>
      <c r="BT2" s="224"/>
      <c r="BU2" s="362"/>
    </row>
    <row r="3" spans="2:75" ht="82" customHeight="1" x14ac:dyDescent="0.2">
      <c r="B3" s="214" t="s">
        <v>49</v>
      </c>
      <c r="C3" s="976" t="s">
        <v>50</v>
      </c>
      <c r="D3" s="992" t="s">
        <v>51</v>
      </c>
      <c r="E3" s="992" t="s">
        <v>22</v>
      </c>
      <c r="F3" s="992" t="s">
        <v>52</v>
      </c>
      <c r="G3" s="992" t="s">
        <v>53</v>
      </c>
      <c r="H3" s="992" t="s">
        <v>54</v>
      </c>
      <c r="I3" s="992" t="s">
        <v>23</v>
      </c>
      <c r="J3" s="992" t="s">
        <v>55</v>
      </c>
      <c r="K3" s="992" t="s">
        <v>56</v>
      </c>
      <c r="L3" s="992" t="s">
        <v>57</v>
      </c>
      <c r="M3" s="215" t="s">
        <v>58</v>
      </c>
      <c r="N3" s="216" t="s">
        <v>59</v>
      </c>
      <c r="O3" s="217" t="s">
        <v>60</v>
      </c>
      <c r="P3" s="215" t="s">
        <v>61</v>
      </c>
      <c r="Q3" s="215" t="s">
        <v>62</v>
      </c>
      <c r="R3" s="215" t="s">
        <v>63</v>
      </c>
      <c r="S3" s="215" t="s">
        <v>64</v>
      </c>
      <c r="T3" s="215" t="s">
        <v>65</v>
      </c>
      <c r="U3" s="218" t="s">
        <v>66</v>
      </c>
      <c r="V3" s="218" t="s">
        <v>67</v>
      </c>
      <c r="W3" s="218" t="s">
        <v>68</v>
      </c>
      <c r="X3" s="218" t="s">
        <v>69</v>
      </c>
      <c r="Y3" s="215" t="s">
        <v>70</v>
      </c>
      <c r="Z3" s="218" t="s">
        <v>71</v>
      </c>
      <c r="AA3" s="218" t="s">
        <v>72</v>
      </c>
      <c r="AB3" s="218" t="s">
        <v>73</v>
      </c>
      <c r="AC3" s="215" t="s">
        <v>74</v>
      </c>
      <c r="AD3" s="992" t="s">
        <v>75</v>
      </c>
      <c r="AE3" s="992" t="s">
        <v>76</v>
      </c>
      <c r="AF3" s="870" t="s">
        <v>77</v>
      </c>
      <c r="AG3" s="992" t="s">
        <v>78</v>
      </c>
      <c r="AH3" s="797" t="s">
        <v>79</v>
      </c>
      <c r="AI3" s="219" t="s">
        <v>80</v>
      </c>
      <c r="AJ3" s="219" t="s">
        <v>81</v>
      </c>
      <c r="AK3" s="219" t="s">
        <v>82</v>
      </c>
      <c r="AL3" s="219" t="s">
        <v>83</v>
      </c>
      <c r="AM3" s="975" t="s">
        <v>84</v>
      </c>
      <c r="AN3" s="975" t="s">
        <v>85</v>
      </c>
      <c r="AO3" s="975" t="s">
        <v>86</v>
      </c>
      <c r="AP3" s="220" t="s">
        <v>87</v>
      </c>
      <c r="AQ3" s="220" t="s">
        <v>88</v>
      </c>
      <c r="AR3" s="221" t="s">
        <v>89</v>
      </c>
      <c r="AS3" s="975" t="s">
        <v>90</v>
      </c>
      <c r="AT3" s="222" t="s">
        <v>64</v>
      </c>
      <c r="AU3" s="222" t="s">
        <v>65</v>
      </c>
      <c r="AV3" s="222" t="s">
        <v>66</v>
      </c>
      <c r="AW3" s="222" t="s">
        <v>67</v>
      </c>
      <c r="AX3" s="222" t="s">
        <v>91</v>
      </c>
      <c r="AY3" s="222" t="s">
        <v>69</v>
      </c>
      <c r="AZ3" s="223" t="s">
        <v>92</v>
      </c>
      <c r="BA3" s="223" t="s">
        <v>93</v>
      </c>
      <c r="BB3" s="224" t="s">
        <v>94</v>
      </c>
      <c r="BC3" s="728" t="s">
        <v>95</v>
      </c>
      <c r="BD3" s="225" t="s">
        <v>96</v>
      </c>
      <c r="BE3" s="226" t="s">
        <v>97</v>
      </c>
      <c r="BF3" s="225" t="s">
        <v>98</v>
      </c>
      <c r="BG3" s="225" t="s">
        <v>99</v>
      </c>
      <c r="BH3" s="225" t="s">
        <v>100</v>
      </c>
      <c r="BI3" s="225" t="s">
        <v>101</v>
      </c>
      <c r="BJ3" s="225" t="s">
        <v>102</v>
      </c>
      <c r="BK3" s="225" t="s">
        <v>103</v>
      </c>
      <c r="BL3" s="225" t="s">
        <v>104</v>
      </c>
      <c r="BM3" s="227" t="s">
        <v>105</v>
      </c>
      <c r="BN3" s="328" t="s">
        <v>106</v>
      </c>
      <c r="BO3" s="225" t="s">
        <v>107</v>
      </c>
      <c r="BP3" s="225" t="s">
        <v>108</v>
      </c>
      <c r="BQ3" s="224" t="s">
        <v>109</v>
      </c>
      <c r="BR3" s="224" t="s">
        <v>110</v>
      </c>
      <c r="BS3" s="224" t="s">
        <v>111</v>
      </c>
      <c r="BT3" s="224" t="s">
        <v>112</v>
      </c>
      <c r="BU3" s="734" t="s">
        <v>113</v>
      </c>
    </row>
    <row r="4" spans="2:75" customFormat="1" ht="98" hidden="1" x14ac:dyDescent="0.2">
      <c r="B4" s="228" t="s">
        <v>114</v>
      </c>
      <c r="C4" s="229" t="s">
        <v>115</v>
      </c>
      <c r="D4" s="229" t="s">
        <v>115</v>
      </c>
      <c r="E4" s="229" t="s">
        <v>115</v>
      </c>
      <c r="F4" s="229" t="s">
        <v>115</v>
      </c>
      <c r="G4" s="229" t="s">
        <v>116</v>
      </c>
      <c r="H4" s="229" t="s">
        <v>117</v>
      </c>
      <c r="I4" s="229" t="s">
        <v>115</v>
      </c>
      <c r="J4" s="229" t="s">
        <v>118</v>
      </c>
      <c r="K4" s="229" t="s">
        <v>115</v>
      </c>
      <c r="L4" s="229" t="s">
        <v>115</v>
      </c>
      <c r="M4" s="229" t="s">
        <v>115</v>
      </c>
      <c r="N4" s="230" t="s">
        <v>115</v>
      </c>
      <c r="O4" s="228" t="s">
        <v>114</v>
      </c>
      <c r="P4" s="229" t="s">
        <v>115</v>
      </c>
      <c r="Q4" s="229" t="s">
        <v>115</v>
      </c>
      <c r="R4" s="229" t="s">
        <v>115</v>
      </c>
      <c r="S4" s="229" t="s">
        <v>114</v>
      </c>
      <c r="T4" s="229" t="s">
        <v>114</v>
      </c>
      <c r="U4" s="229" t="s">
        <v>114</v>
      </c>
      <c r="V4" s="229" t="s">
        <v>114</v>
      </c>
      <c r="W4" s="229" t="s">
        <v>114</v>
      </c>
      <c r="X4" s="229" t="s">
        <v>114</v>
      </c>
      <c r="Y4" s="229" t="s">
        <v>114</v>
      </c>
      <c r="Z4" s="229" t="s">
        <v>116</v>
      </c>
      <c r="AA4" s="229" t="s">
        <v>114</v>
      </c>
      <c r="AB4" s="229" t="s">
        <v>114</v>
      </c>
      <c r="AC4" s="231" t="s">
        <v>118</v>
      </c>
      <c r="AD4" s="229" t="s">
        <v>116</v>
      </c>
      <c r="AE4" s="229"/>
      <c r="AF4" s="229" t="s">
        <v>116</v>
      </c>
      <c r="AG4" s="229"/>
      <c r="AH4" s="229" t="s">
        <v>116</v>
      </c>
      <c r="AI4" s="232" t="s">
        <v>116</v>
      </c>
      <c r="AJ4" s="232" t="s">
        <v>116</v>
      </c>
      <c r="AK4" s="232" t="s">
        <v>116</v>
      </c>
      <c r="AL4" s="232" t="s">
        <v>116</v>
      </c>
      <c r="AM4" s="232" t="s">
        <v>116</v>
      </c>
      <c r="AN4" s="232" t="s">
        <v>116</v>
      </c>
      <c r="AO4" s="232" t="s">
        <v>116</v>
      </c>
      <c r="AP4" s="228" t="s">
        <v>114</v>
      </c>
      <c r="AQ4" s="228" t="s">
        <v>114</v>
      </c>
      <c r="AR4" s="232" t="s">
        <v>114</v>
      </c>
      <c r="AS4" s="233" t="s">
        <v>116</v>
      </c>
      <c r="AT4" s="234" t="s">
        <v>114</v>
      </c>
      <c r="AU4" s="234" t="s">
        <v>114</v>
      </c>
      <c r="AV4" s="234" t="s">
        <v>114</v>
      </c>
      <c r="AW4" s="234" t="s">
        <v>114</v>
      </c>
      <c r="AX4" s="234" t="s">
        <v>114</v>
      </c>
      <c r="AY4" s="234" t="s">
        <v>114</v>
      </c>
      <c r="AZ4" s="232" t="s">
        <v>114</v>
      </c>
      <c r="BA4" s="232" t="s">
        <v>116</v>
      </c>
      <c r="BB4" s="228" t="s">
        <v>116</v>
      </c>
      <c r="BC4" s="235">
        <f>SUBTOTAL(109,BC5:BC281)</f>
        <v>43444.25</v>
      </c>
      <c r="BD4" s="229" t="s">
        <v>115</v>
      </c>
      <c r="BE4" s="229" t="s">
        <v>115</v>
      </c>
      <c r="BF4" s="229" t="s">
        <v>115</v>
      </c>
      <c r="BG4" s="229" t="s">
        <v>115</v>
      </c>
      <c r="BH4" s="229" t="s">
        <v>115</v>
      </c>
      <c r="BI4" s="229" t="s">
        <v>115</v>
      </c>
      <c r="BJ4" s="229" t="s">
        <v>114</v>
      </c>
      <c r="BK4" s="229" t="s">
        <v>119</v>
      </c>
      <c r="BL4" s="229" t="s">
        <v>115</v>
      </c>
      <c r="BM4" s="229" t="s">
        <v>115</v>
      </c>
      <c r="BN4" s="731" t="s">
        <v>115</v>
      </c>
      <c r="BO4" s="229" t="s">
        <v>115</v>
      </c>
      <c r="BP4" s="235">
        <f>SUBTOTAL(109,BP5:BP281)</f>
        <v>43074.666666666672</v>
      </c>
      <c r="BQ4" s="97"/>
      <c r="BR4" s="97"/>
      <c r="BS4" s="97"/>
      <c r="BT4" s="97"/>
      <c r="BU4" s="2" t="s">
        <v>120</v>
      </c>
    </row>
    <row r="5" spans="2:75" customFormat="1" ht="105" hidden="1" x14ac:dyDescent="0.2">
      <c r="B5" s="101" t="str">
        <f t="shared" ref="B5:B34" si="0">IF(BN5="","Proposed",IF(BG5="","Active","Retired"))</f>
        <v>Active</v>
      </c>
      <c r="C5" s="779" t="s">
        <v>121</v>
      </c>
      <c r="D5" s="118" t="s">
        <v>122</v>
      </c>
      <c r="E5" s="103" t="s">
        <v>123</v>
      </c>
      <c r="F5" s="102" t="s">
        <v>124</v>
      </c>
      <c r="G5" s="103" t="s">
        <v>125</v>
      </c>
      <c r="H5" s="101" t="str">
        <f t="shared" ref="H5:H25" si="1">C5</f>
        <v>RO-6-001-001</v>
      </c>
      <c r="I5" s="103" t="s">
        <v>125</v>
      </c>
      <c r="J5" s="103" t="s">
        <v>126</v>
      </c>
      <c r="K5" s="101" t="s">
        <v>127</v>
      </c>
      <c r="L5" s="104" t="s">
        <v>128</v>
      </c>
      <c r="M5" s="104" t="s">
        <v>129</v>
      </c>
      <c r="N5" s="105">
        <v>-49578</v>
      </c>
      <c r="O5" s="106" t="str" cm="1">
        <f t="array" ref="O5">_xlfn.IFS(N5="","",ABS(N5)&lt;='Risk Matrices'!$E$7,'Risk Matrices'!$E$5,ABS(N5)&lt;='Risk Matrices'!$F$7,'Risk Matrices'!$F$5,ABS(N5)&lt;='Risk Matrices'!$G$7,'Risk Matrices'!$G$5,ABS(N5)&lt;='Risk Matrices'!$H$7,'Risk Matrices'!$H$5,ABS(N5)&gt;'Risk Matrices'!$H$7,'Risk Matrices'!$I$5)</f>
        <v>Crisis</v>
      </c>
      <c r="P5" s="101">
        <v>0</v>
      </c>
      <c r="Q5" s="101" t="str" cm="1">
        <f t="array" ref="Q5">_xlfn.IFS(P5="","",ABS(P5)&lt;='Risk Matrices'!$E$8,'Risk Matrices'!$E$5,ABS(P5)&lt;='Risk Matrices'!$F$8,'Risk Matrices'!$F$5,ABS(P5)&lt;='Risk Matrices'!$G$8,'Risk Matrices'!$G$5,ABS(P5)&lt;='Risk Matrices'!$H$8,'Risk Matrices'!$H$5,ABS(P5)&gt;'Risk Matrices'!$H$8,'Risk Matrices'!$I$5)</f>
        <v>Negligible</v>
      </c>
      <c r="R5" s="102" t="s">
        <v>130</v>
      </c>
      <c r="S5" s="106">
        <f t="shared" ref="S5:S24" si="2">IF(M5="",0,IF(M5="Very Low (There is a &lt;10% chance that this event will occur)",1,IF(M5="Low (Risk is likely to occur with a probability of &gt; 10% to &lt; 25%)",2,IF(M5="Moderate (Risk is likely to occur with a probability of &gt; 25% to &lt; 40%)",3,IF(M5="High (Risk is likely to occur with a probability of &gt;40 to &lt;65%)",4,IF(M5="Very High (Risk is likely to occur with a probability of &gt;65%)",5))))))</f>
        <v>4</v>
      </c>
      <c r="T5" s="106" cm="1">
        <f t="array" ref="T5">_xlfn.IFS(O5='Risk Matrices'!$D$28,'Risk Matrices'!$D$29,O5='Risk Matrices'!$E$28,'Risk Matrices'!$E$29,O5='Risk Matrices'!$F$28,'Risk Matrices'!$F$29,O5='Risk Matrices'!$G$28,'Risk Matrices'!$G$29,O5='Risk Matrices'!$H$28,'Risk Matrices'!$H$29)</f>
        <v>5</v>
      </c>
      <c r="U5" s="106">
        <f t="shared" ref="U5:U24" si="3">IF(Q5="",0,IF(Q5="Negligible",1,IF(Q5="Marginal",2,IF(Q5="Significant",3,IF(Q5="Critical",4,IF(Q5="Crisis",5))))))</f>
        <v>1</v>
      </c>
      <c r="V5" s="106">
        <f t="shared" ref="V5:V24" si="4">IF(R5="None",0,IF(R5="Negligible",1,IF(R5="Marginal",2,IF(R5="Significant",3,IF(R5="Critical",4,IF(R5="Crisis",5))))))</f>
        <v>0</v>
      </c>
      <c r="W5" s="106">
        <f t="shared" ref="W5:W24" si="5">MAX(T5,U5,V5)</f>
        <v>5</v>
      </c>
      <c r="X5" s="106">
        <f t="shared" ref="X5:X24" si="6">S5*W5</f>
        <v>20</v>
      </c>
      <c r="Y5" s="107" t="str">
        <f t="shared" ref="Y5:Y24" si="7">IF(X5&lt;=6,"Low",IF(X5&lt;=14,"Moderate",IF(X5&lt;=25,"High")))</f>
        <v>High</v>
      </c>
      <c r="Z5" s="104" t="s">
        <v>131</v>
      </c>
      <c r="AA5" s="108">
        <f>IF(M5="",0,IF(M5="Very Low (There is a &lt;10% chance that this event will occur)",0.05,IF(M5="Low (Risk is likely to occur with a probability of &gt; 10% to &lt; 25%)",0.17,IF(M5="Moderate (Risk is likely to occur with a probability of &gt; 25% to &lt; 40%)",0.32,IF(M5="High (Risk is likely to occur with a probability of &gt;40 to &lt;65%)",0.52,IF(M5="Very High (Risk is likely to occur with a probability of &gt;65%)",0.82))))))</f>
        <v>0.52</v>
      </c>
      <c r="AB5" s="109">
        <f>+AA5*N5</f>
        <v>-25780.560000000001</v>
      </c>
      <c r="AC5" s="119" t="s">
        <v>132</v>
      </c>
      <c r="AD5" s="104" t="s">
        <v>133</v>
      </c>
      <c r="AE5" s="104"/>
      <c r="AF5" s="101" t="s">
        <v>134</v>
      </c>
      <c r="AG5" s="101"/>
      <c r="AH5" s="101" t="s">
        <v>135</v>
      </c>
      <c r="AI5" s="881">
        <v>0.05</v>
      </c>
      <c r="AJ5" s="101">
        <v>-27000</v>
      </c>
      <c r="AK5" s="101">
        <v>-76000</v>
      </c>
      <c r="AL5" s="101">
        <v>-100000</v>
      </c>
      <c r="AM5" s="101">
        <v>0</v>
      </c>
      <c r="AN5" s="101">
        <v>0</v>
      </c>
      <c r="AO5" s="101">
        <v>0</v>
      </c>
      <c r="AP5" s="112" t="str">
        <f>IF(OR(ISBLANK(AI5),AI5=0),"INSERT LIKELIHOOD",IF(ABS(AI5)&lt;='Risk Matrices'!$D$22,'Risk Matrices'!$C$21,IF(ABS(AI5)&lt;='Risk Matrices'!$D$19,'Risk Matrices'!$C$18,IF(ABS(AI5)&lt;='Risk Matrices'!$D$16,'Risk Matrices'!$C$15,IF(ABS(AI5)&lt;='Risk Matrices'!$D$13,'Risk Matrices'!$C$12,'Risk Matrices'!$C$10)))))</f>
        <v>Very Low</v>
      </c>
      <c r="AQ5" s="112" t="str">
        <f>IF(OR(ISBLANK(AK5),AK5=0),"None",IF(ABS(AK5)&lt;='Risk Matrices'!$E$7,'Risk Matrices'!$E$5,IF(ABS(AK5)&lt;='Risk Matrices'!$G$7,'Risk Matrices'!$G$5,IF(ABS(AK5)&lt;='Risk Matrices'!$H$7,'Risk Matrices'!$H$5,'Risk Matrices'!$I$5))))</f>
        <v>Crisis</v>
      </c>
      <c r="AR5" s="112" t="str">
        <f>IF(AN5="","",IF(ABS(AN5)&lt;='Risk Matrices'!$E$8,"Negligible",IF(ABS(AN5)&lt;='Risk Matrices'!$F$8,"Marginal",IF(ABS(AN5)&lt;='Risk Matrices'!$G$8,"Significant",IF(ABS(AN5)&lt;='Risk Matrices'!$H$8,"Critical","Crisis")))))</f>
        <v>Negligible</v>
      </c>
      <c r="AS5" s="103" t="s">
        <v>130</v>
      </c>
      <c r="AT5" s="298">
        <f>IF(OR(ISBLANK(AI5),AI5=0),0,VLOOKUP(AP5,'Risk Matrices'!$B$30:$C$34,2,0))</f>
        <v>1</v>
      </c>
      <c r="AU5" s="298">
        <f>IF(OR(ISBLANK(AK5),AK5=0),0,HLOOKUP(AQ5,'Risk Matrices'!$D$28:$H$29,2,0))</f>
        <v>5</v>
      </c>
      <c r="AV5" s="298">
        <f>IF(OR(ISBLANK(AR5),AR5=0),0,HLOOKUP(AR5,'Risk Matrices'!$D$28:$H$29,2,0))</f>
        <v>1</v>
      </c>
      <c r="AW5" s="298">
        <f>IF(AS5="None",0,HLOOKUP(AS5,'Risk Matrices'!$D$28:$H$29,2,0))</f>
        <v>0</v>
      </c>
      <c r="AX5" s="106">
        <f t="shared" ref="AX5:AX24" si="8">MAX(AU5,AV5,AW5)</f>
        <v>5</v>
      </c>
      <c r="AY5" s="106">
        <f t="shared" ref="AY5:AY24" si="9">AT5*AX5</f>
        <v>5</v>
      </c>
      <c r="AZ5" s="107" t="str">
        <f>IF(B5="Retired","Retired",IF(OR(ISBLANK(AY5),AY5=0),"TBD",IF(AY5&lt;='Risk Matrices'!$D$40,'Risk Matrices'!$B$40,IF(AY5&lt;='Risk Matrices'!$D$39,'Risk Matrices'!$B$39,'Risk Matrices'!$B$38))))</f>
        <v>Low</v>
      </c>
      <c r="BA5" s="104"/>
      <c r="BB5" s="122" t="s">
        <v>136</v>
      </c>
      <c r="BC5" s="109">
        <f t="shared" ref="BC5:BC24" si="10">IF(B5="Active",AI5*AK5,B5)</f>
        <v>-3800</v>
      </c>
      <c r="BD5" s="116">
        <v>45342</v>
      </c>
      <c r="BE5" s="104"/>
      <c r="BF5" s="104"/>
      <c r="BG5" s="104"/>
      <c r="BH5" s="104"/>
      <c r="BI5" s="104"/>
      <c r="BJ5" s="874">
        <f t="shared" ref="BJ5:BJ24" si="11">AI5*(SUM(AJ5:AL5)/3)</f>
        <v>-3383.3333333333339</v>
      </c>
      <c r="BK5" s="101"/>
      <c r="BL5" s="101"/>
      <c r="BM5" s="116">
        <v>44285</v>
      </c>
      <c r="BN5" s="330">
        <v>44466</v>
      </c>
      <c r="BO5" s="333"/>
      <c r="BP5" s="94">
        <f t="shared" ref="BP5:BP24" si="12">AI5*((AJ5+4*AK5+AL5)/6)</f>
        <v>-3591.6666666666665</v>
      </c>
      <c r="BQ5" s="97" t="str">
        <f t="shared" ref="BQ5:BQ24" si="13">CONCATENATE(AJ5," - ",AK5," - ",AL5)</f>
        <v>-27000 - -76000 - -100000</v>
      </c>
      <c r="BR5" s="97" t="str">
        <f t="shared" ref="BR5:BR24" si="14">CONCATENATE(AM5," - ",AN5," - ",AO5)</f>
        <v>0 - 0 - 0</v>
      </c>
      <c r="BS5" s="715">
        <f t="shared" ref="BS5:BS24" si="15">BJ5</f>
        <v>-3383.3333333333339</v>
      </c>
      <c r="BT5" s="736">
        <f t="shared" ref="BT5:BT24" si="16">AI5*(AM5+AN5+AO5)/3</f>
        <v>0</v>
      </c>
      <c r="BU5" s="735" t="s">
        <v>137</v>
      </c>
      <c r="BV5" s="873">
        <v>45382</v>
      </c>
      <c r="BW5">
        <f t="shared" ref="BW5:BW24" si="17">BV5-BN5</f>
        <v>916</v>
      </c>
    </row>
    <row r="6" spans="2:75" customFormat="1" ht="60" hidden="1" x14ac:dyDescent="0.2">
      <c r="B6" s="101" t="str">
        <f t="shared" si="0"/>
        <v>Active</v>
      </c>
      <c r="C6" s="779" t="s">
        <v>138</v>
      </c>
      <c r="D6" s="118" t="s">
        <v>122</v>
      </c>
      <c r="E6" s="103" t="s">
        <v>123</v>
      </c>
      <c r="F6" s="102" t="s">
        <v>124</v>
      </c>
      <c r="G6" s="103" t="s">
        <v>125</v>
      </c>
      <c r="H6" s="101" t="str">
        <f t="shared" si="1"/>
        <v>RO-6-001-002</v>
      </c>
      <c r="I6" s="103" t="s">
        <v>125</v>
      </c>
      <c r="J6" s="103" t="s">
        <v>126</v>
      </c>
      <c r="K6" s="101" t="s">
        <v>139</v>
      </c>
      <c r="L6" s="104" t="s">
        <v>140</v>
      </c>
      <c r="M6" s="104" t="s">
        <v>141</v>
      </c>
      <c r="N6" s="105">
        <v>-6000</v>
      </c>
      <c r="O6" s="106" t="str" cm="1">
        <f t="array" ref="O6">_xlfn.IFS(N6="","",ABS(N6)&lt;='Risk Matrices'!$E$7,'Risk Matrices'!$E$5,ABS(N6)&lt;='Risk Matrices'!$F$7,'Risk Matrices'!$F$5,ABS(N6)&lt;='Risk Matrices'!$G$7,'Risk Matrices'!$G$5,ABS(N6)&lt;='Risk Matrices'!$H$7,'Risk Matrices'!$H$5,ABS(N6)&gt;'Risk Matrices'!$H$7,'Risk Matrices'!$I$5)</f>
        <v>Critical</v>
      </c>
      <c r="P6" s="101">
        <v>0</v>
      </c>
      <c r="Q6" s="101" t="str" cm="1">
        <f t="array" ref="Q6">_xlfn.IFS(P6="","",ABS(P6)&lt;='Risk Matrices'!$E$8,'Risk Matrices'!$E$5,ABS(P6)&lt;='Risk Matrices'!$F$8,'Risk Matrices'!$F$5,ABS(P6)&lt;='Risk Matrices'!$G$8,'Risk Matrices'!$G$5,ABS(P6)&lt;='Risk Matrices'!$H$8,'Risk Matrices'!$H$5,ABS(P6)&gt;'Risk Matrices'!$H$8,'Risk Matrices'!$I$5)</f>
        <v>Negligible</v>
      </c>
      <c r="R6" s="102" t="s">
        <v>130</v>
      </c>
      <c r="S6" s="101">
        <f t="shared" si="2"/>
        <v>3</v>
      </c>
      <c r="T6" s="106" cm="1">
        <f t="array" ref="T6">_xlfn.IFS(O6='Risk Matrices'!$D$28,'Risk Matrices'!$D$29,O6='Risk Matrices'!$E$28,'Risk Matrices'!$E$29,O6='Risk Matrices'!$F$28,'Risk Matrices'!$F$29,O6='Risk Matrices'!$G$28,'Risk Matrices'!$G$29,O6='Risk Matrices'!$H$28,'Risk Matrices'!$H$29)</f>
        <v>4</v>
      </c>
      <c r="U6" s="101">
        <f t="shared" si="3"/>
        <v>1</v>
      </c>
      <c r="V6" s="106">
        <f t="shared" si="4"/>
        <v>0</v>
      </c>
      <c r="W6" s="106">
        <f t="shared" si="5"/>
        <v>4</v>
      </c>
      <c r="X6" s="101">
        <f t="shared" si="6"/>
        <v>12</v>
      </c>
      <c r="Y6" s="107" t="str">
        <f t="shared" si="7"/>
        <v>Moderate</v>
      </c>
      <c r="Z6" s="104" t="s">
        <v>142</v>
      </c>
      <c r="AA6" s="108">
        <f>IF(M6="",0,IF(M6="Very Low (There is a &lt;10% chance that this event will occur)",0.05,IF(M6="Low (Risk is likely to occur with a probability of &gt; 10% to &lt; 25%)",0.17,IF(M6="Moderate (Risk is likely to occur with a probability of &gt; 25% to &lt; 40%)",0.32,IF(M6="High (Risk is likely to occur with a probability of &gt;40 to &lt;65%)",0.52,IF(M6="Very High (Risk is likely to occur with a probability of &gt;65%)",0.82))))))</f>
        <v>0.32</v>
      </c>
      <c r="AB6" s="109">
        <f>+AA6*N6</f>
        <v>-1920</v>
      </c>
      <c r="AC6" s="119" t="s">
        <v>143</v>
      </c>
      <c r="AD6" s="104" t="s">
        <v>144</v>
      </c>
      <c r="AE6" s="104"/>
      <c r="AF6" s="103" t="s">
        <v>145</v>
      </c>
      <c r="AG6" s="103"/>
      <c r="AH6" s="101" t="s">
        <v>146</v>
      </c>
      <c r="AI6" s="881">
        <v>0.05</v>
      </c>
      <c r="AJ6" s="101">
        <v>-13000</v>
      </c>
      <c r="AK6" s="101">
        <v>-13000</v>
      </c>
      <c r="AL6" s="101">
        <v>-13000</v>
      </c>
      <c r="AM6" s="101">
        <v>0</v>
      </c>
      <c r="AN6" s="101">
        <v>0</v>
      </c>
      <c r="AO6" s="101">
        <v>0</v>
      </c>
      <c r="AP6" s="112" t="str">
        <f>IF(OR(ISBLANK(AI6),AI6=0),"INSERT LIKELIHOOD",IF(ABS(AI6)&lt;='Risk Matrices'!$D$22,'Risk Matrices'!$C$21,IF(ABS(AI6)&lt;='Risk Matrices'!$D$19,'Risk Matrices'!$C$18,IF(ABS(AI6)&lt;='Risk Matrices'!$D$16,'Risk Matrices'!$C$15,IF(ABS(AI6)&lt;='Risk Matrices'!$D$13,'Risk Matrices'!$C$12,'Risk Matrices'!$C$10)))))</f>
        <v>Very Low</v>
      </c>
      <c r="AQ6" s="112" t="str">
        <f>IF(OR(ISBLANK(AK6),AK6=0),"None",IF(ABS(AK6)&lt;='Risk Matrices'!$E$7,'Risk Matrices'!$E$5,IF(ABS(AK6)&lt;='Risk Matrices'!$G$7,'Risk Matrices'!$G$5,IF(ABS(AK6)&lt;='Risk Matrices'!$H$7,'Risk Matrices'!$H$5,'Risk Matrices'!$I$5))))</f>
        <v>Critical</v>
      </c>
      <c r="AR6" s="112" t="str">
        <f>IF(AN6="","",IF(ABS(AN6)&lt;='Risk Matrices'!$E$8,"Negligible",IF(ABS(AN6)&lt;='Risk Matrices'!$F$8,"Marginal",IF(ABS(AN6)&lt;='Risk Matrices'!$G$8,"Significant",IF(ABS(AN6)&lt;='Risk Matrices'!$H$8,"Critical","Crisis")))))</f>
        <v>Negligible</v>
      </c>
      <c r="AS6" s="103" t="s">
        <v>130</v>
      </c>
      <c r="AT6" s="298">
        <f>IF(OR(ISBLANK(AI6),AI6=0),0,VLOOKUP(AP6,'Risk Matrices'!$B$30:$C$34,2,0))</f>
        <v>1</v>
      </c>
      <c r="AU6" s="298">
        <f>IF(OR(ISBLANK(AK6),AK6=0),0,HLOOKUP(AQ6,'Risk Matrices'!$D$28:$H$29,2,0))</f>
        <v>4</v>
      </c>
      <c r="AV6" s="298">
        <f>IF(OR(ISBLANK(AR6),AR6=0),0,HLOOKUP(AR6,'Risk Matrices'!$D$28:$H$29,2,0))</f>
        <v>1</v>
      </c>
      <c r="AW6" s="298">
        <f>IF(AS6="None",0,HLOOKUP(AS6,'Risk Matrices'!$D$28:$H$29,2,0))</f>
        <v>0</v>
      </c>
      <c r="AX6" s="106">
        <f t="shared" si="8"/>
        <v>4</v>
      </c>
      <c r="AY6" s="106">
        <f t="shared" si="9"/>
        <v>4</v>
      </c>
      <c r="AZ6" s="107" t="str">
        <f>IF(B6="Retired","Retired",IF(OR(ISBLANK(AY6),AY6=0),"TBD",IF(AY6&lt;='Risk Matrices'!$D$40,'Risk Matrices'!$B$40,IF(AY6&lt;='Risk Matrices'!$D$39,'Risk Matrices'!$B$39,'Risk Matrices'!$B$38))))</f>
        <v>Low</v>
      </c>
      <c r="BA6" s="104"/>
      <c r="BB6" s="122" t="s">
        <v>147</v>
      </c>
      <c r="BC6" s="109">
        <f t="shared" si="10"/>
        <v>-650</v>
      </c>
      <c r="BD6" s="116">
        <v>45342</v>
      </c>
      <c r="BE6" s="104"/>
      <c r="BF6" s="104"/>
      <c r="BG6" s="104"/>
      <c r="BH6" s="104"/>
      <c r="BI6" s="104"/>
      <c r="BJ6" s="874">
        <f t="shared" si="11"/>
        <v>-650</v>
      </c>
      <c r="BK6" s="101"/>
      <c r="BL6" s="101"/>
      <c r="BM6" s="116">
        <v>44316</v>
      </c>
      <c r="BN6" s="330">
        <v>44466</v>
      </c>
      <c r="BO6" s="333" t="s">
        <v>148</v>
      </c>
      <c r="BP6" s="94">
        <f t="shared" si="12"/>
        <v>-650</v>
      </c>
      <c r="BQ6" s="97" t="str">
        <f t="shared" si="13"/>
        <v>-13000 - -13000 - -13000</v>
      </c>
      <c r="BR6" s="97" t="str">
        <f t="shared" si="14"/>
        <v>0 - 0 - 0</v>
      </c>
      <c r="BS6" s="715">
        <f t="shared" si="15"/>
        <v>-650</v>
      </c>
      <c r="BT6" s="736">
        <f t="shared" si="16"/>
        <v>0</v>
      </c>
      <c r="BU6" s="735" t="s">
        <v>149</v>
      </c>
      <c r="BV6" s="873">
        <v>45412</v>
      </c>
      <c r="BW6">
        <f t="shared" si="17"/>
        <v>946</v>
      </c>
    </row>
    <row r="7" spans="2:75" customFormat="1" ht="60" hidden="1" x14ac:dyDescent="0.2">
      <c r="B7" s="101" t="str">
        <f t="shared" si="0"/>
        <v>Active</v>
      </c>
      <c r="C7" s="779" t="s">
        <v>150</v>
      </c>
      <c r="D7" s="101" t="s">
        <v>151</v>
      </c>
      <c r="E7" s="103" t="s">
        <v>123</v>
      </c>
      <c r="F7" s="102" t="s">
        <v>124</v>
      </c>
      <c r="G7" s="103" t="s">
        <v>125</v>
      </c>
      <c r="H7" s="101" t="str">
        <f t="shared" si="1"/>
        <v>RT-6-001-001</v>
      </c>
      <c r="I7" s="103" t="s">
        <v>125</v>
      </c>
      <c r="J7" s="103" t="s">
        <v>126</v>
      </c>
      <c r="K7" s="103" t="s">
        <v>152</v>
      </c>
      <c r="L7" s="104" t="s">
        <v>153</v>
      </c>
      <c r="M7" s="103" t="s">
        <v>141</v>
      </c>
      <c r="N7" s="105">
        <v>30000</v>
      </c>
      <c r="O7" s="106" t="str" cm="1">
        <f t="array" ref="O7">_xlfn.IFS(N7="","",ABS(N7)&lt;='Risk Matrices'!$E$7,'Risk Matrices'!$E$5,ABS(N7)&lt;='Risk Matrices'!$F$7,'Risk Matrices'!$F$5,ABS(N7)&lt;='Risk Matrices'!$G$7,'Risk Matrices'!$G$5,ABS(N7)&lt;='Risk Matrices'!$H$7,'Risk Matrices'!$H$5,ABS(N7)&gt;'Risk Matrices'!$H$7,'Risk Matrices'!$I$5)</f>
        <v>Critical</v>
      </c>
      <c r="P7" s="106">
        <v>12</v>
      </c>
      <c r="Q7" s="101" t="str" cm="1">
        <f t="array" ref="Q7">_xlfn.IFS(P7="","",ABS(P7)&lt;='Risk Matrices'!$E$8,'Risk Matrices'!$E$5,ABS(P7)&lt;='Risk Matrices'!$F$8,'Risk Matrices'!$F$5,ABS(P7)&lt;='Risk Matrices'!$G$8,'Risk Matrices'!$G$5,ABS(P7)&lt;='Risk Matrices'!$H$8,'Risk Matrices'!$H$5,ABS(P7)&gt;'Risk Matrices'!$H$8,'Risk Matrices'!$I$5)</f>
        <v>Significant</v>
      </c>
      <c r="R7" s="102" t="s">
        <v>130</v>
      </c>
      <c r="S7" s="106">
        <f t="shared" si="2"/>
        <v>3</v>
      </c>
      <c r="T7" s="106" cm="1">
        <f t="array" ref="T7">_xlfn.IFS(O7='Risk Matrices'!$D$28,'Risk Matrices'!$D$29,O7='Risk Matrices'!$E$28,'Risk Matrices'!$E$29,O7='Risk Matrices'!$F$28,'Risk Matrices'!$F$29,O7='Risk Matrices'!$G$28,'Risk Matrices'!$G$29,O7='Risk Matrices'!$H$28,'Risk Matrices'!$H$29)</f>
        <v>4</v>
      </c>
      <c r="U7" s="106">
        <f t="shared" si="3"/>
        <v>3</v>
      </c>
      <c r="V7" s="106">
        <f t="shared" si="4"/>
        <v>0</v>
      </c>
      <c r="W7" s="106">
        <f t="shared" si="5"/>
        <v>4</v>
      </c>
      <c r="X7" s="106">
        <f t="shared" si="6"/>
        <v>12</v>
      </c>
      <c r="Y7" s="107" t="str">
        <f t="shared" si="7"/>
        <v>Moderate</v>
      </c>
      <c r="Z7" s="104" t="s">
        <v>154</v>
      </c>
      <c r="AA7" s="108">
        <f>IF(M7="",0,IF(M7="Very Low (There is a &lt;10% chance that this event will occur)",0.05,IF(M7="Low (Risk is likely to occur with a probability of &gt; 10% to &lt; 25%)",0.17,IF(M7="Moderate (Risk is likely to occur with a probability of &gt; 25% to &lt; 40%)",0.32,IF(M7="High (Risk is likely to occur with a probability of &gt;40 to &lt;65%)",0.52,IF(M7="Very High (Risk is likely to occur with a probability of &gt;65%)",0.82))))))</f>
        <v>0.32</v>
      </c>
      <c r="AB7" s="109">
        <f>+AA7*N7</f>
        <v>9600</v>
      </c>
      <c r="AC7" s="109" t="s">
        <v>155</v>
      </c>
      <c r="AD7" s="104" t="s">
        <v>156</v>
      </c>
      <c r="AE7" s="751"/>
      <c r="AF7" s="103" t="s">
        <v>145</v>
      </c>
      <c r="AG7" s="980"/>
      <c r="AH7" s="101" t="s">
        <v>157</v>
      </c>
      <c r="AI7" s="112">
        <v>0.1</v>
      </c>
      <c r="AJ7" s="106">
        <v>30000</v>
      </c>
      <c r="AK7" s="106">
        <v>30000</v>
      </c>
      <c r="AL7" s="106">
        <v>30000</v>
      </c>
      <c r="AM7" s="106">
        <v>6</v>
      </c>
      <c r="AN7" s="106">
        <v>6</v>
      </c>
      <c r="AO7" s="106">
        <v>6</v>
      </c>
      <c r="AP7" s="112" t="str">
        <f>IF(OR(ISBLANK(AI7),AI7=0),"INSERT LIKELIHOOD",IF(ABS(AI7)&lt;='Risk Matrices'!$D$22,'Risk Matrices'!$C$21,IF(ABS(AI7)&lt;='Risk Matrices'!$D$19,'Risk Matrices'!$C$18,IF(ABS(AI7)&lt;='Risk Matrices'!$D$16,'Risk Matrices'!$C$15,IF(ABS(AI7)&lt;='Risk Matrices'!$D$13,'Risk Matrices'!$C$12,'Risk Matrices'!$C$10)))))</f>
        <v>Very Low</v>
      </c>
      <c r="AQ7" s="112" t="str">
        <f>IF(OR(ISBLANK(AK7),AK7=0),"None",IF(ABS(AK7)&lt;='Risk Matrices'!$E$7,'Risk Matrices'!$E$5,IF(ABS(AK7)&lt;='Risk Matrices'!$G$7,'Risk Matrices'!$G$5,IF(ABS(AK7)&lt;='Risk Matrices'!$H$7,'Risk Matrices'!$H$5,'Risk Matrices'!$I$5))))</f>
        <v>Critical</v>
      </c>
      <c r="AR7" s="112" t="str">
        <f>IF(AN7="","",IF(ABS(AN7)&lt;='Risk Matrices'!$E$8,"Negligible",IF(ABS(AN7)&lt;='Risk Matrices'!$F$8,"Marginal",IF(ABS(AN7)&lt;='Risk Matrices'!$G$8,"Significant",IF(ABS(AN7)&lt;='Risk Matrices'!$H$8,"Critical","Crisis")))))</f>
        <v>Marginal</v>
      </c>
      <c r="AS7" s="103" t="s">
        <v>130</v>
      </c>
      <c r="AT7" s="298">
        <f>IF(OR(ISBLANK(AI7),AI7=0),0,VLOOKUP(AP7,'Risk Matrices'!$B$30:$C$34,2,0))</f>
        <v>1</v>
      </c>
      <c r="AU7" s="298">
        <f>IF(OR(ISBLANK(AK7),AK7=0),0,HLOOKUP(AQ7,'Risk Matrices'!$D$28:$H$29,2,0))</f>
        <v>4</v>
      </c>
      <c r="AV7" s="298">
        <f>IF(OR(ISBLANK(AR7),AR7=0),0,HLOOKUP(AR7,'Risk Matrices'!$D$28:$H$29,2,0))</f>
        <v>2</v>
      </c>
      <c r="AW7" s="298">
        <f>IF(AS7="None",0,HLOOKUP(AS7,'Risk Matrices'!$D$28:$H$29,2,0))</f>
        <v>0</v>
      </c>
      <c r="AX7" s="106">
        <f t="shared" si="8"/>
        <v>4</v>
      </c>
      <c r="AY7" s="106">
        <f t="shared" si="9"/>
        <v>4</v>
      </c>
      <c r="AZ7" s="107" t="str">
        <f>IF(B7="Retired","Retired",IF(OR(ISBLANK(AY7),AY7=0),"TBD",IF(AY7&lt;='Risk Matrices'!$D$40,'Risk Matrices'!$B$40,IF(AY7&lt;='Risk Matrices'!$D$39,'Risk Matrices'!$B$39,'Risk Matrices'!$B$38))))</f>
        <v>Low</v>
      </c>
      <c r="BA7" s="112"/>
      <c r="BB7" s="197" t="s">
        <v>158</v>
      </c>
      <c r="BC7" s="109">
        <f t="shared" si="10"/>
        <v>3000</v>
      </c>
      <c r="BD7" s="116">
        <v>45342</v>
      </c>
      <c r="BE7" s="114"/>
      <c r="BF7" s="115"/>
      <c r="BG7" s="115"/>
      <c r="BH7" s="115"/>
      <c r="BI7" s="115"/>
      <c r="BJ7" s="874">
        <f t="shared" si="11"/>
        <v>3000</v>
      </c>
      <c r="BK7" s="101"/>
      <c r="BL7" s="101"/>
      <c r="BM7" s="116">
        <v>44012</v>
      </c>
      <c r="BN7" s="330">
        <v>44134</v>
      </c>
      <c r="BO7" s="333" t="s">
        <v>159</v>
      </c>
      <c r="BP7" s="94">
        <f t="shared" si="12"/>
        <v>3000</v>
      </c>
      <c r="BQ7" s="97" t="str">
        <f t="shared" si="13"/>
        <v>30000 - 30000 - 30000</v>
      </c>
      <c r="BR7" s="97" t="str">
        <f t="shared" si="14"/>
        <v>6 - 6 - 6</v>
      </c>
      <c r="BS7" s="715">
        <f t="shared" si="15"/>
        <v>3000</v>
      </c>
      <c r="BT7" s="736">
        <f t="shared" si="16"/>
        <v>0.6</v>
      </c>
      <c r="BU7" s="735" t="s">
        <v>160</v>
      </c>
      <c r="BV7" s="873">
        <v>45382</v>
      </c>
      <c r="BW7">
        <f t="shared" si="17"/>
        <v>1248</v>
      </c>
    </row>
    <row r="8" spans="2:75" customFormat="1" ht="48" hidden="1" x14ac:dyDescent="0.2">
      <c r="B8" s="101" t="str">
        <f t="shared" si="0"/>
        <v>Active</v>
      </c>
      <c r="C8" s="779" t="s">
        <v>161</v>
      </c>
      <c r="D8" s="101" t="s">
        <v>151</v>
      </c>
      <c r="E8" s="103" t="s">
        <v>123</v>
      </c>
      <c r="F8" s="102" t="s">
        <v>124</v>
      </c>
      <c r="G8" s="103" t="s">
        <v>125</v>
      </c>
      <c r="H8" s="101" t="str">
        <f t="shared" si="1"/>
        <v>RT-6-001-002</v>
      </c>
      <c r="I8" s="103" t="s">
        <v>125</v>
      </c>
      <c r="J8" s="103" t="s">
        <v>126</v>
      </c>
      <c r="K8" s="103" t="s">
        <v>162</v>
      </c>
      <c r="L8" s="104" t="s">
        <v>163</v>
      </c>
      <c r="M8" s="103" t="s">
        <v>164</v>
      </c>
      <c r="N8" s="105">
        <v>18000</v>
      </c>
      <c r="O8" s="106" t="str" cm="1">
        <f t="array" ref="O8">_xlfn.IFS(N8="","",ABS(N8)&lt;='Risk Matrices'!$E$7,'Risk Matrices'!$E$5,ABS(N8)&lt;='Risk Matrices'!$F$7,'Risk Matrices'!$F$5,ABS(N8)&lt;='Risk Matrices'!$G$7,'Risk Matrices'!$G$5,ABS(N8)&lt;='Risk Matrices'!$H$7,'Risk Matrices'!$H$5,ABS(N8)&gt;'Risk Matrices'!$H$7,'Risk Matrices'!$I$5)</f>
        <v>Critical</v>
      </c>
      <c r="P8" s="106">
        <v>6</v>
      </c>
      <c r="Q8" s="101" t="str" cm="1">
        <f t="array" ref="Q8">_xlfn.IFS(P8="","",ABS(P8)&lt;='Risk Matrices'!$E$8,'Risk Matrices'!$E$5,ABS(P8)&lt;='Risk Matrices'!$F$8,'Risk Matrices'!$F$5,ABS(P8)&lt;='Risk Matrices'!$G$8,'Risk Matrices'!$G$5,ABS(P8)&lt;='Risk Matrices'!$H$8,'Risk Matrices'!$H$5,ABS(P8)&gt;'Risk Matrices'!$H$8,'Risk Matrices'!$I$5)</f>
        <v>Marginal</v>
      </c>
      <c r="R8" s="102" t="s">
        <v>130</v>
      </c>
      <c r="S8" s="106">
        <f t="shared" si="2"/>
        <v>2</v>
      </c>
      <c r="T8" s="106" cm="1">
        <f t="array" ref="T8">_xlfn.IFS(O8='Risk Matrices'!$D$28,'Risk Matrices'!$D$29,O8='Risk Matrices'!$E$28,'Risk Matrices'!$E$29,O8='Risk Matrices'!$F$28,'Risk Matrices'!$F$29,O8='Risk Matrices'!$G$28,'Risk Matrices'!$G$29,O8='Risk Matrices'!$H$28,'Risk Matrices'!$H$29)</f>
        <v>4</v>
      </c>
      <c r="U8" s="106">
        <f t="shared" si="3"/>
        <v>2</v>
      </c>
      <c r="V8" s="106">
        <f t="shared" si="4"/>
        <v>0</v>
      </c>
      <c r="W8" s="106">
        <f t="shared" si="5"/>
        <v>4</v>
      </c>
      <c r="X8" s="106">
        <f t="shared" si="6"/>
        <v>8</v>
      </c>
      <c r="Y8" s="107" t="str">
        <f t="shared" si="7"/>
        <v>Moderate</v>
      </c>
      <c r="Z8" s="104" t="s">
        <v>165</v>
      </c>
      <c r="AA8" s="108">
        <f>IF(M8="",0,IF(M8="Very Low (There is a &lt;10% chance that this event will occur)",0.05,IF(M8="Low (Risk is likely to occur with a probability of &gt; 10% to &lt; 25%)",0.17,IF(M8="Moderate (Risk is likely to occur with a probability of &gt; 25% to &lt; 40%)",0.32,IF(M8="High (Risk is likely to occur with a probability of &gt;40 to &lt;65%)",0.52,IF(M8="Very High (Risk is likely to occur with a probability of &gt;65%)",0.82))))))</f>
        <v>0.17</v>
      </c>
      <c r="AB8" s="109">
        <f>+AA8*N8</f>
        <v>3060</v>
      </c>
      <c r="AC8" s="109" t="s">
        <v>155</v>
      </c>
      <c r="AD8" s="104" t="s">
        <v>166</v>
      </c>
      <c r="AE8" s="104"/>
      <c r="AF8" s="103" t="s">
        <v>167</v>
      </c>
      <c r="AG8" s="103"/>
      <c r="AH8" s="101" t="s">
        <v>146</v>
      </c>
      <c r="AI8" s="112">
        <v>0.3</v>
      </c>
      <c r="AJ8" s="106">
        <v>8475</v>
      </c>
      <c r="AK8" s="106">
        <v>16950</v>
      </c>
      <c r="AL8" s="106">
        <v>33900</v>
      </c>
      <c r="AM8" s="106">
        <v>3</v>
      </c>
      <c r="AN8" s="106">
        <v>6</v>
      </c>
      <c r="AO8" s="106">
        <v>12</v>
      </c>
      <c r="AP8" s="112" t="str">
        <f>IF(OR(ISBLANK(AI8),AI8=0),"INSERT LIKELIHOOD",IF(ABS(AI8)&lt;='Risk Matrices'!$D$22,'Risk Matrices'!$C$21,IF(ABS(AI8)&lt;='Risk Matrices'!$D$19,'Risk Matrices'!$C$18,IF(ABS(AI8)&lt;='Risk Matrices'!$D$16,'Risk Matrices'!$C$15,IF(ABS(AI8)&lt;='Risk Matrices'!$D$13,'Risk Matrices'!$C$12,'Risk Matrices'!$C$10)))))</f>
        <v>Moderate</v>
      </c>
      <c r="AQ8" s="112" t="str">
        <f>IF(OR(ISBLANK(AK8),AK8=0),"None",IF(ABS(AK8)&lt;='Risk Matrices'!$E$7,'Risk Matrices'!$E$5,IF(ABS(AK8)&lt;='Risk Matrices'!$G$7,'Risk Matrices'!$G$5,IF(ABS(AK8)&lt;='Risk Matrices'!$H$7,'Risk Matrices'!$H$5,'Risk Matrices'!$I$5))))</f>
        <v>Critical</v>
      </c>
      <c r="AR8" s="112" t="str">
        <f>IF(AN8="","",IF(ABS(AN8)&lt;='Risk Matrices'!$E$8,"Negligible",IF(ABS(AN8)&lt;='Risk Matrices'!$F$8,"Marginal",IF(ABS(AN8)&lt;='Risk Matrices'!$G$8,"Significant",IF(ABS(AN8)&lt;='Risk Matrices'!$H$8,"Critical","Crisis")))))</f>
        <v>Marginal</v>
      </c>
      <c r="AS8" s="103" t="s">
        <v>130</v>
      </c>
      <c r="AT8" s="298">
        <f>IF(OR(ISBLANK(AI8),AI8=0),0,VLOOKUP(AP8,'Risk Matrices'!$B$30:$C$34,2,0))</f>
        <v>3</v>
      </c>
      <c r="AU8" s="298">
        <f>IF(OR(ISBLANK(AK8),AK8=0),0,HLOOKUP(AQ8,'Risk Matrices'!$D$28:$H$29,2,0))</f>
        <v>4</v>
      </c>
      <c r="AV8" s="298">
        <f>IF(OR(ISBLANK(AR8),AR8=0),0,HLOOKUP(AR8,'Risk Matrices'!$D$28:$H$29,2,0))</f>
        <v>2</v>
      </c>
      <c r="AW8" s="298">
        <f>IF(AS8="None",0,HLOOKUP(AS8,'Risk Matrices'!$D$28:$H$29,2,0))</f>
        <v>0</v>
      </c>
      <c r="AX8" s="106">
        <f t="shared" si="8"/>
        <v>4</v>
      </c>
      <c r="AY8" s="106">
        <f t="shared" si="9"/>
        <v>12</v>
      </c>
      <c r="AZ8" s="107" t="str">
        <f>IF(B8="Retired","Retired",IF(OR(ISBLANK(AY8),AY8=0),"TBD",IF(AY8&lt;='Risk Matrices'!$D$40,'Risk Matrices'!$B$40,IF(AY8&lt;='Risk Matrices'!$D$39,'Risk Matrices'!$B$39,'Risk Matrices'!$B$38))))</f>
        <v>Moderate</v>
      </c>
      <c r="BA8" s="112"/>
      <c r="BB8" s="250" t="s">
        <v>168</v>
      </c>
      <c r="BC8" s="109">
        <f t="shared" si="10"/>
        <v>5085</v>
      </c>
      <c r="BD8" s="116">
        <v>45397</v>
      </c>
      <c r="BE8" s="114"/>
      <c r="BF8" s="115" t="s">
        <v>169</v>
      </c>
      <c r="BG8" s="115"/>
      <c r="BH8" s="115"/>
      <c r="BI8" s="115"/>
      <c r="BJ8" s="874">
        <f t="shared" si="11"/>
        <v>5932.5</v>
      </c>
      <c r="BK8" s="101"/>
      <c r="BL8" s="101"/>
      <c r="BM8" s="116">
        <v>44467</v>
      </c>
      <c r="BN8" s="330">
        <v>44467</v>
      </c>
      <c r="BO8" s="332"/>
      <c r="BP8" s="94">
        <f t="shared" si="12"/>
        <v>5508.75</v>
      </c>
      <c r="BQ8" s="97" t="str">
        <f t="shared" si="13"/>
        <v>8475 - 16950 - 33900</v>
      </c>
      <c r="BR8" s="97" t="str">
        <f t="shared" si="14"/>
        <v>3 - 6 - 12</v>
      </c>
      <c r="BS8" s="715">
        <f t="shared" si="15"/>
        <v>5932.5</v>
      </c>
      <c r="BT8" s="736">
        <f t="shared" si="16"/>
        <v>2.1</v>
      </c>
      <c r="BU8" s="735" t="s">
        <v>170</v>
      </c>
      <c r="BV8" s="873">
        <v>45382</v>
      </c>
      <c r="BW8">
        <f t="shared" si="17"/>
        <v>915</v>
      </c>
    </row>
    <row r="9" spans="2:75" customFormat="1" ht="48" hidden="1" x14ac:dyDescent="0.2">
      <c r="B9" s="101" t="str">
        <f t="shared" si="0"/>
        <v>Active</v>
      </c>
      <c r="C9" s="779" t="s">
        <v>171</v>
      </c>
      <c r="D9" s="101" t="s">
        <v>151</v>
      </c>
      <c r="E9" s="103" t="s">
        <v>123</v>
      </c>
      <c r="F9" s="102" t="s">
        <v>124</v>
      </c>
      <c r="G9" s="103" t="s">
        <v>125</v>
      </c>
      <c r="H9" s="101" t="str">
        <f t="shared" si="1"/>
        <v>RT-6-001-003</v>
      </c>
      <c r="I9" s="103" t="s">
        <v>125</v>
      </c>
      <c r="J9" s="103" t="s">
        <v>126</v>
      </c>
      <c r="K9" s="103" t="s">
        <v>172</v>
      </c>
      <c r="L9" s="104" t="s">
        <v>173</v>
      </c>
      <c r="M9" s="103" t="s">
        <v>141</v>
      </c>
      <c r="N9" s="106">
        <v>16950</v>
      </c>
      <c r="O9" s="106" t="str" cm="1">
        <f t="array" ref="O9">_xlfn.IFS(N9="","",ABS(N9)&lt;='Risk Matrices'!$E$7,'Risk Matrices'!$E$5,ABS(N9)&lt;='Risk Matrices'!$F$7,'Risk Matrices'!$F$5,ABS(N9)&lt;='Risk Matrices'!$G$7,'Risk Matrices'!$G$5,ABS(N9)&lt;='Risk Matrices'!$H$7,'Risk Matrices'!$H$5,ABS(N9)&gt;'Risk Matrices'!$H$7,'Risk Matrices'!$I$5)</f>
        <v>Critical</v>
      </c>
      <c r="P9" s="106">
        <v>6</v>
      </c>
      <c r="Q9" s="101" t="str" cm="1">
        <f t="array" ref="Q9">_xlfn.IFS(P9="","",ABS(P9)&lt;='Risk Matrices'!$E$8,'Risk Matrices'!$E$5,ABS(P9)&lt;='Risk Matrices'!$F$8,'Risk Matrices'!$F$5,ABS(P9)&lt;='Risk Matrices'!$G$8,'Risk Matrices'!$G$5,ABS(P9)&lt;='Risk Matrices'!$H$8,'Risk Matrices'!$H$5,ABS(P9)&gt;'Risk Matrices'!$H$8,'Risk Matrices'!$I$5)</f>
        <v>Marginal</v>
      </c>
      <c r="R9" s="102" t="s">
        <v>130</v>
      </c>
      <c r="S9" s="106">
        <f t="shared" si="2"/>
        <v>3</v>
      </c>
      <c r="T9" s="106" cm="1">
        <f t="array" ref="T9">_xlfn.IFS(O9='Risk Matrices'!$D$28,'Risk Matrices'!$D$29,O9='Risk Matrices'!$E$28,'Risk Matrices'!$E$29,O9='Risk Matrices'!$F$28,'Risk Matrices'!$F$29,O9='Risk Matrices'!$G$28,'Risk Matrices'!$G$29,O9='Risk Matrices'!$H$28,'Risk Matrices'!$H$29)</f>
        <v>4</v>
      </c>
      <c r="U9" s="106">
        <f t="shared" si="3"/>
        <v>2</v>
      </c>
      <c r="V9" s="106">
        <f t="shared" si="4"/>
        <v>0</v>
      </c>
      <c r="W9" s="106">
        <f t="shared" si="5"/>
        <v>4</v>
      </c>
      <c r="X9" s="106">
        <f t="shared" si="6"/>
        <v>12</v>
      </c>
      <c r="Y9" s="107" t="str">
        <f t="shared" si="7"/>
        <v>Moderate</v>
      </c>
      <c r="Z9" s="104"/>
      <c r="AA9" s="108"/>
      <c r="AB9" s="109"/>
      <c r="AC9" s="109" t="s">
        <v>155</v>
      </c>
      <c r="AD9" s="104" t="s">
        <v>174</v>
      </c>
      <c r="AE9" s="104"/>
      <c r="AF9" s="103" t="s">
        <v>175</v>
      </c>
      <c r="AG9" s="103"/>
      <c r="AH9" s="101" t="s">
        <v>146</v>
      </c>
      <c r="AI9" s="112">
        <v>0.2</v>
      </c>
      <c r="AJ9" s="106">
        <v>8475</v>
      </c>
      <c r="AK9" s="106">
        <v>16950</v>
      </c>
      <c r="AL9" s="106">
        <v>33900</v>
      </c>
      <c r="AM9" s="106">
        <v>3</v>
      </c>
      <c r="AN9" s="106">
        <v>6</v>
      </c>
      <c r="AO9" s="106">
        <v>12</v>
      </c>
      <c r="AP9" s="112" t="str">
        <f>IF(OR(ISBLANK(AI9),AI9=0),"INSERT LIKELIHOOD",IF(ABS(AI9)&lt;='Risk Matrices'!$D$22,'Risk Matrices'!$C$21,IF(ABS(AI9)&lt;='Risk Matrices'!$D$19,'Risk Matrices'!$C$18,IF(ABS(AI9)&lt;='Risk Matrices'!$D$16,'Risk Matrices'!$C$15,IF(ABS(AI9)&lt;='Risk Matrices'!$D$13,'Risk Matrices'!$C$12,'Risk Matrices'!$C$10)))))</f>
        <v>Low</v>
      </c>
      <c r="AQ9" s="112" t="str">
        <f>IF(OR(ISBLANK(AK9),AK9=0),"None",IF(ABS(AK9)&lt;='Risk Matrices'!$E$7,'Risk Matrices'!$E$5,IF(ABS(AK9)&lt;='Risk Matrices'!$G$7,'Risk Matrices'!$G$5,IF(ABS(AK9)&lt;='Risk Matrices'!$H$7,'Risk Matrices'!$H$5,'Risk Matrices'!$I$5))))</f>
        <v>Critical</v>
      </c>
      <c r="AR9" s="112" t="str">
        <f>IF(AN9="","",IF(ABS(AN9)&lt;='Risk Matrices'!$E$8,"Negligible",IF(ABS(AN9)&lt;='Risk Matrices'!$F$8,"Marginal",IF(ABS(AN9)&lt;='Risk Matrices'!$G$8,"Significant",IF(ABS(AN9)&lt;='Risk Matrices'!$H$8,"Critical","Crisis")))))</f>
        <v>Marginal</v>
      </c>
      <c r="AS9" s="103" t="s">
        <v>130</v>
      </c>
      <c r="AT9" s="298">
        <f>IF(OR(ISBLANK(AI9),AI9=0),0,VLOOKUP(AP9,'Risk Matrices'!$B$30:$C$34,2,0))</f>
        <v>2</v>
      </c>
      <c r="AU9" s="298">
        <f>IF(OR(ISBLANK(AK9),AK9=0),0,HLOOKUP(AQ9,'Risk Matrices'!$D$28:$H$29,2,0))</f>
        <v>4</v>
      </c>
      <c r="AV9" s="298">
        <f>IF(OR(ISBLANK(AR9),AR9=0),0,HLOOKUP(AR9,'Risk Matrices'!$D$28:$H$29,2,0))</f>
        <v>2</v>
      </c>
      <c r="AW9" s="298">
        <f>IF(AS9="None",0,HLOOKUP(AS9,'Risk Matrices'!$D$28:$H$29,2,0))</f>
        <v>0</v>
      </c>
      <c r="AX9" s="106">
        <f t="shared" si="8"/>
        <v>4</v>
      </c>
      <c r="AY9" s="106">
        <f t="shared" si="9"/>
        <v>8</v>
      </c>
      <c r="AZ9" s="107" t="str">
        <f>IF(B9="Retired","Retired",IF(OR(ISBLANK(AY9),AY9=0),"TBD",IF(AY9&lt;='Risk Matrices'!$D$40,'Risk Matrices'!$B$40,IF(AY9&lt;='Risk Matrices'!$D$39,'Risk Matrices'!$B$39,'Risk Matrices'!$B$38))))</f>
        <v>Moderate</v>
      </c>
      <c r="BA9" s="112"/>
      <c r="BB9" s="95" t="s">
        <v>176</v>
      </c>
      <c r="BC9" s="109">
        <f t="shared" si="10"/>
        <v>3390</v>
      </c>
      <c r="BD9" s="116">
        <v>45342</v>
      </c>
      <c r="BE9" s="114"/>
      <c r="BF9" s="115" t="s">
        <v>169</v>
      </c>
      <c r="BG9" s="115"/>
      <c r="BH9" s="115"/>
      <c r="BI9" s="115"/>
      <c r="BJ9" s="874">
        <f t="shared" si="11"/>
        <v>3955</v>
      </c>
      <c r="BK9" s="101"/>
      <c r="BL9" s="101"/>
      <c r="BM9" s="116">
        <v>45000</v>
      </c>
      <c r="BN9" s="330">
        <v>45000</v>
      </c>
      <c r="BO9" s="332"/>
      <c r="BP9" s="94">
        <f t="shared" si="12"/>
        <v>3672.5</v>
      </c>
      <c r="BQ9" s="97" t="str">
        <f t="shared" si="13"/>
        <v>8475 - 16950 - 33900</v>
      </c>
      <c r="BR9" s="97" t="str">
        <f t="shared" si="14"/>
        <v>3 - 6 - 12</v>
      </c>
      <c r="BS9" s="715">
        <f t="shared" si="15"/>
        <v>3955</v>
      </c>
      <c r="BT9" s="736">
        <f t="shared" si="16"/>
        <v>1.4000000000000001</v>
      </c>
      <c r="BU9" s="735" t="s">
        <v>177</v>
      </c>
      <c r="BV9" s="873">
        <v>45382</v>
      </c>
      <c r="BW9">
        <f t="shared" si="17"/>
        <v>382</v>
      </c>
    </row>
    <row r="10" spans="2:75" customFormat="1" ht="255" hidden="1" x14ac:dyDescent="0.2">
      <c r="B10" s="101" t="str">
        <f t="shared" si="0"/>
        <v>Active</v>
      </c>
      <c r="C10" s="779" t="s">
        <v>178</v>
      </c>
      <c r="D10" s="101" t="s">
        <v>151</v>
      </c>
      <c r="E10" s="103" t="s">
        <v>123</v>
      </c>
      <c r="F10" s="102" t="s">
        <v>124</v>
      </c>
      <c r="G10" s="103" t="s">
        <v>125</v>
      </c>
      <c r="H10" s="101" t="str">
        <f t="shared" si="1"/>
        <v>RT-6-001-004</v>
      </c>
      <c r="I10" s="106" t="s">
        <v>179</v>
      </c>
      <c r="J10" s="103" t="s">
        <v>126</v>
      </c>
      <c r="K10" s="157" t="s">
        <v>180</v>
      </c>
      <c r="L10" s="113" t="s">
        <v>181</v>
      </c>
      <c r="M10" s="103" t="s">
        <v>129</v>
      </c>
      <c r="N10" s="105">
        <v>10000</v>
      </c>
      <c r="O10" s="106" t="str" cm="1">
        <f t="array" ref="O10">_xlfn.IFS(N10="","",ABS(N10)&lt;='Risk Matrices'!$E$7,'Risk Matrices'!$E$5,ABS(N10)&lt;='Risk Matrices'!$F$7,'Risk Matrices'!$F$5,ABS(N10)&lt;='Risk Matrices'!$G$7,'Risk Matrices'!$G$5,ABS(N10)&lt;='Risk Matrices'!$H$7,'Risk Matrices'!$H$5,ABS(N10)&gt;'Risk Matrices'!$H$7,'Risk Matrices'!$I$5)</f>
        <v>Critical</v>
      </c>
      <c r="P10" s="106">
        <v>6</v>
      </c>
      <c r="Q10" s="101" t="str" cm="1">
        <f t="array" ref="Q10">_xlfn.IFS(P10="","",ABS(P10)&lt;='Risk Matrices'!$E$8,'Risk Matrices'!$E$5,ABS(P10)&lt;='Risk Matrices'!$F$8,'Risk Matrices'!$F$5,ABS(P10)&lt;='Risk Matrices'!$G$8,'Risk Matrices'!$G$5,ABS(P10)&lt;='Risk Matrices'!$H$8,'Risk Matrices'!$H$5,ABS(P10)&gt;'Risk Matrices'!$H$8,'Risk Matrices'!$I$5)</f>
        <v>Marginal</v>
      </c>
      <c r="R10" s="102" t="s">
        <v>130</v>
      </c>
      <c r="S10" s="106">
        <f t="shared" si="2"/>
        <v>4</v>
      </c>
      <c r="T10" s="106" cm="1">
        <f t="array" ref="T10">_xlfn.IFS(O10='Risk Matrices'!$D$28,'Risk Matrices'!$D$29,O10='Risk Matrices'!$E$28,'Risk Matrices'!$E$29,O10='Risk Matrices'!$F$28,'Risk Matrices'!$F$29,O10='Risk Matrices'!$G$28,'Risk Matrices'!$G$29,O10='Risk Matrices'!$H$28,'Risk Matrices'!$H$29)</f>
        <v>4</v>
      </c>
      <c r="U10" s="106">
        <f t="shared" si="3"/>
        <v>2</v>
      </c>
      <c r="V10" s="106">
        <f t="shared" si="4"/>
        <v>0</v>
      </c>
      <c r="W10" s="106">
        <f t="shared" si="5"/>
        <v>4</v>
      </c>
      <c r="X10" s="106">
        <f t="shared" si="6"/>
        <v>16</v>
      </c>
      <c r="Y10" s="107" t="str">
        <f t="shared" si="7"/>
        <v>High</v>
      </c>
      <c r="Z10" s="104"/>
      <c r="AA10" s="108">
        <f>IF(M10="",0,IF(M10="Very Low (There is a &lt;10% chance that this event will occur)",0.05,IF(M10="Low (Risk is likely to occur with a probability of &gt; 10% to &lt; 25%)",0.17,IF(M10="Moderate (Risk is likely to occur with a probability of &gt; 25% to &lt; 40%)",0.32,IF(M10="High (Risk is likely to occur with a probability of &gt;40 to &lt;65%)",0.52,IF(M10="Very High (Risk is likely to occur with a probability of &gt;65%)",0.82))))))</f>
        <v>0.52</v>
      </c>
      <c r="AB10" s="109">
        <f>+AA10*N10</f>
        <v>5200</v>
      </c>
      <c r="AC10" s="109" t="s">
        <v>155</v>
      </c>
      <c r="AD10" s="110" t="s">
        <v>182</v>
      </c>
      <c r="AE10" s="742"/>
      <c r="AF10" s="103" t="s">
        <v>167</v>
      </c>
      <c r="AG10" s="103"/>
      <c r="AH10" s="101" t="s">
        <v>135</v>
      </c>
      <c r="AI10" s="112">
        <v>0.25</v>
      </c>
      <c r="AJ10" s="888">
        <v>20000</v>
      </c>
      <c r="AK10" s="888">
        <v>40000</v>
      </c>
      <c r="AL10" s="888">
        <v>60000</v>
      </c>
      <c r="AM10" s="106">
        <v>3</v>
      </c>
      <c r="AN10" s="106">
        <v>6</v>
      </c>
      <c r="AO10" s="106">
        <v>12</v>
      </c>
      <c r="AP10" s="112" t="str">
        <f>IF(OR(ISBLANK(AI10),AI10=0),"INSERT LIKELIHOOD",IF(ABS(AI10)&lt;='Risk Matrices'!$D$22,'Risk Matrices'!$C$21,IF(ABS(AI10)&lt;='Risk Matrices'!$D$19,'Risk Matrices'!$C$18,IF(ABS(AI10)&lt;='Risk Matrices'!$D$16,'Risk Matrices'!$C$15,IF(ABS(AI10)&lt;='Risk Matrices'!$D$13,'Risk Matrices'!$C$12,'Risk Matrices'!$C$10)))))</f>
        <v>Low</v>
      </c>
      <c r="AQ10" s="112" t="str">
        <f>IF(OR(ISBLANK(AK10),AK10=0),"None",IF(ABS(AK10)&lt;='Risk Matrices'!$E$7,'Risk Matrices'!$E$5,IF(ABS(AK10)&lt;='Risk Matrices'!$G$7,'Risk Matrices'!$G$5,IF(ABS(AK10)&lt;='Risk Matrices'!$H$7,'Risk Matrices'!$H$5,'Risk Matrices'!$I$5))))</f>
        <v>Crisis</v>
      </c>
      <c r="AR10" s="112" t="str">
        <f>IF(AN10="","",IF(ABS(AN10)&lt;='Risk Matrices'!$E$8,"Negligible",IF(ABS(AN10)&lt;='Risk Matrices'!$F$8,"Marginal",IF(ABS(AN10)&lt;='Risk Matrices'!$G$8,"Significant",IF(ABS(AN10)&lt;='Risk Matrices'!$H$8,"Critical","Crisis")))))</f>
        <v>Marginal</v>
      </c>
      <c r="AS10" s="103" t="s">
        <v>130</v>
      </c>
      <c r="AT10" s="700">
        <f>IF(OR(ISBLANK(AI10),AI10=0),0,VLOOKUP(AP10,'Risk Matrices'!$B$30:$C$34,2,0))</f>
        <v>2</v>
      </c>
      <c r="AU10" s="700">
        <f>IF(OR(ISBLANK(AK10),AK10=0),0,HLOOKUP(AQ10,'Risk Matrices'!$D$28:$H$29,2,0))</f>
        <v>5</v>
      </c>
      <c r="AV10" s="700">
        <f>IF(OR(ISBLANK(AR10),AR10=0),0,HLOOKUP(AR10,'Risk Matrices'!$D$28:$H$29,2,0))</f>
        <v>2</v>
      </c>
      <c r="AW10" s="298">
        <f>IF(AS10="None",0,HLOOKUP(AS10,'Risk Matrices'!$D$28:$H$29,2,0))</f>
        <v>0</v>
      </c>
      <c r="AX10" s="699">
        <f t="shared" si="8"/>
        <v>5</v>
      </c>
      <c r="AY10" s="699">
        <f t="shared" si="9"/>
        <v>10</v>
      </c>
      <c r="AZ10" s="107" t="str">
        <f>IF(B10="Retired","Retired",IF(OR(ISBLANK(AY10),AY10=0),"TBD",IF(AY10&lt;='Risk Matrices'!$D$40,'Risk Matrices'!$B$40,IF(AY10&lt;='Risk Matrices'!$D$39,'Risk Matrices'!$B$39,'Risk Matrices'!$B$38))))</f>
        <v>Moderate</v>
      </c>
      <c r="BA10" s="112"/>
      <c r="BB10" s="905" t="s">
        <v>183</v>
      </c>
      <c r="BC10" s="109">
        <f t="shared" si="10"/>
        <v>10000</v>
      </c>
      <c r="BD10" s="185">
        <v>45219</v>
      </c>
      <c r="BE10" s="114"/>
      <c r="BF10" s="115"/>
      <c r="BG10" s="115"/>
      <c r="BH10" s="115"/>
      <c r="BI10" s="115"/>
      <c r="BJ10" s="874">
        <f t="shared" si="11"/>
        <v>10000</v>
      </c>
      <c r="BK10" s="101"/>
      <c r="BL10" s="101"/>
      <c r="BM10" s="116">
        <v>44012</v>
      </c>
      <c r="BN10" s="330">
        <v>44134</v>
      </c>
      <c r="BO10" s="333" t="s">
        <v>184</v>
      </c>
      <c r="BP10" s="94">
        <f t="shared" si="12"/>
        <v>10000</v>
      </c>
      <c r="BQ10" s="97" t="str">
        <f t="shared" si="13"/>
        <v>20000 - 40000 - 60000</v>
      </c>
      <c r="BR10" s="97" t="str">
        <f t="shared" si="14"/>
        <v>3 - 6 - 12</v>
      </c>
      <c r="BS10" s="715">
        <f t="shared" si="15"/>
        <v>10000</v>
      </c>
      <c r="BT10" s="736">
        <f t="shared" si="16"/>
        <v>1.75</v>
      </c>
      <c r="BU10" s="735" t="s">
        <v>185</v>
      </c>
      <c r="BV10" s="873">
        <v>45382</v>
      </c>
      <c r="BW10">
        <f t="shared" si="17"/>
        <v>1248</v>
      </c>
    </row>
    <row r="11" spans="2:75" customFormat="1" ht="50" hidden="1" customHeight="1" x14ac:dyDescent="0.2">
      <c r="B11" s="101" t="str">
        <f t="shared" si="0"/>
        <v>Active</v>
      </c>
      <c r="C11" s="779" t="s">
        <v>186</v>
      </c>
      <c r="D11" s="101" t="s">
        <v>151</v>
      </c>
      <c r="E11" s="103" t="s">
        <v>123</v>
      </c>
      <c r="F11" s="102" t="s">
        <v>124</v>
      </c>
      <c r="G11" s="103" t="s">
        <v>125</v>
      </c>
      <c r="H11" s="101" t="str">
        <f t="shared" si="1"/>
        <v>RT-6-001-005</v>
      </c>
      <c r="I11" s="103" t="s">
        <v>125</v>
      </c>
      <c r="J11" s="103" t="s">
        <v>126</v>
      </c>
      <c r="K11" s="101" t="s">
        <v>187</v>
      </c>
      <c r="L11" s="104" t="s">
        <v>188</v>
      </c>
      <c r="M11" s="103" t="s">
        <v>129</v>
      </c>
      <c r="N11" s="105">
        <v>50448</v>
      </c>
      <c r="O11" s="106" t="str" cm="1">
        <f t="array" ref="O11">_xlfn.IFS(N11="","",ABS(N11)&lt;='Risk Matrices'!$E$7,'Risk Matrices'!$E$5,ABS(N11)&lt;='Risk Matrices'!$F$7,'Risk Matrices'!$F$5,ABS(N11)&lt;='Risk Matrices'!$G$7,'Risk Matrices'!$G$5,ABS(N11)&lt;='Risk Matrices'!$H$7,'Risk Matrices'!$H$5,ABS(N11)&gt;'Risk Matrices'!$H$7,'Risk Matrices'!$I$5)</f>
        <v>Crisis</v>
      </c>
      <c r="P11" s="101">
        <v>0</v>
      </c>
      <c r="Q11" s="101" t="str" cm="1">
        <f t="array" ref="Q11">_xlfn.IFS(P11="","",ABS(P11)&lt;='Risk Matrices'!$E$8,'Risk Matrices'!$E$5,ABS(P11)&lt;='Risk Matrices'!$F$8,'Risk Matrices'!$F$5,ABS(P11)&lt;='Risk Matrices'!$G$8,'Risk Matrices'!$G$5,ABS(P11)&lt;='Risk Matrices'!$H$8,'Risk Matrices'!$H$5,ABS(P11)&gt;'Risk Matrices'!$H$8,'Risk Matrices'!$I$5)</f>
        <v>Negligible</v>
      </c>
      <c r="R11" s="102" t="s">
        <v>130</v>
      </c>
      <c r="S11" s="106">
        <f t="shared" si="2"/>
        <v>4</v>
      </c>
      <c r="T11" s="106" cm="1">
        <f t="array" ref="T11">_xlfn.IFS(O11='Risk Matrices'!$D$28,'Risk Matrices'!$D$29,O11='Risk Matrices'!$E$28,'Risk Matrices'!$E$29,O11='Risk Matrices'!$F$28,'Risk Matrices'!$F$29,O11='Risk Matrices'!$G$28,'Risk Matrices'!$G$29,O11='Risk Matrices'!$H$28,'Risk Matrices'!$H$29)</f>
        <v>5</v>
      </c>
      <c r="U11" s="106">
        <f t="shared" si="3"/>
        <v>1</v>
      </c>
      <c r="V11" s="106">
        <f t="shared" si="4"/>
        <v>0</v>
      </c>
      <c r="W11" s="106">
        <f t="shared" si="5"/>
        <v>5</v>
      </c>
      <c r="X11" s="106">
        <f t="shared" si="6"/>
        <v>20</v>
      </c>
      <c r="Y11" s="107" t="str">
        <f t="shared" si="7"/>
        <v>High</v>
      </c>
      <c r="Z11" s="104" t="s">
        <v>189</v>
      </c>
      <c r="AA11" s="108">
        <f>IF(M11="",0,IF(M11="Very Low (There is a &lt;10% chance that this event will occur)",0.05,IF(M11="Low (Risk is likely to occur with a probability of &gt; 10% to &lt; 25%)",0.17,IF(M11="Moderate (Risk is likely to occur with a probability of &gt; 25% to &lt; 40%)",0.32,IF(M11="High (Risk is likely to occur with a probability of &gt;40 to &lt;65%)",0.52,IF(M11="Very High (Risk is likely to occur with a probability of &gt;65%)",0.82))))))</f>
        <v>0.52</v>
      </c>
      <c r="AB11" s="109">
        <f>+AA11*N11</f>
        <v>26232.959999999999</v>
      </c>
      <c r="AC11" s="109" t="s">
        <v>155</v>
      </c>
      <c r="AD11" s="104" t="s">
        <v>190</v>
      </c>
      <c r="AE11" s="104"/>
      <c r="AF11" s="103" t="s">
        <v>145</v>
      </c>
      <c r="AG11" s="103"/>
      <c r="AH11" s="101" t="s">
        <v>146</v>
      </c>
      <c r="AI11" s="112">
        <v>0.4</v>
      </c>
      <c r="AJ11" s="105">
        <v>50448</v>
      </c>
      <c r="AK11" s="105">
        <v>50448</v>
      </c>
      <c r="AL11" s="105">
        <v>50448</v>
      </c>
      <c r="AM11" s="101">
        <v>0</v>
      </c>
      <c r="AN11" s="101">
        <v>0</v>
      </c>
      <c r="AO11" s="101">
        <v>0</v>
      </c>
      <c r="AP11" s="112" t="str">
        <f>IF(OR(ISBLANK(AI11),AI11=0),"INSERT LIKELIHOOD",IF(ABS(AI11)&lt;='Risk Matrices'!$D$22,'Risk Matrices'!$C$21,IF(ABS(AI11)&lt;='Risk Matrices'!$D$19,'Risk Matrices'!$C$18,IF(ABS(AI11)&lt;='Risk Matrices'!$D$16,'Risk Matrices'!$C$15,IF(ABS(AI11)&lt;='Risk Matrices'!$D$13,'Risk Matrices'!$C$12,'Risk Matrices'!$C$10)))))</f>
        <v>Moderate</v>
      </c>
      <c r="AQ11" s="112" t="str">
        <f>IF(OR(ISBLANK(AK11),AK11=0),"None",IF(ABS(AK11)&lt;='Risk Matrices'!$E$7,'Risk Matrices'!$E$5,IF(ABS(AK11)&lt;='Risk Matrices'!$G$7,'Risk Matrices'!$G$5,IF(ABS(AK11)&lt;='Risk Matrices'!$H$7,'Risk Matrices'!$H$5,'Risk Matrices'!$I$5))))</f>
        <v>Crisis</v>
      </c>
      <c r="AR11" s="112" t="str">
        <f>IF(AN11="","",IF(ABS(AN11)&lt;='Risk Matrices'!$E$8,"Negligible",IF(ABS(AN11)&lt;='Risk Matrices'!$F$8,"Marginal",IF(ABS(AN11)&lt;='Risk Matrices'!$G$8,"Significant",IF(ABS(AN11)&lt;='Risk Matrices'!$H$8,"Critical","Crisis")))))</f>
        <v>Negligible</v>
      </c>
      <c r="AS11" s="103" t="s">
        <v>130</v>
      </c>
      <c r="AT11" s="298">
        <f>IF(OR(ISBLANK(AI11),AI11=0),0,VLOOKUP(AP11,'Risk Matrices'!$B$30:$C$34,2,0))</f>
        <v>3</v>
      </c>
      <c r="AU11" s="298">
        <f>IF(OR(ISBLANK(AK11),AK11=0),0,HLOOKUP(AQ11,'Risk Matrices'!$D$28:$H$29,2,0))</f>
        <v>5</v>
      </c>
      <c r="AV11" s="298">
        <f>IF(OR(ISBLANK(AR11),AR11=0),0,HLOOKUP(AR11,'Risk Matrices'!$D$28:$H$29,2,0))</f>
        <v>1</v>
      </c>
      <c r="AW11" s="298">
        <f>IF(AS11="None",0,HLOOKUP(AS11,'Risk Matrices'!$D$28:$H$29,2,0))</f>
        <v>0</v>
      </c>
      <c r="AX11" s="106">
        <f t="shared" si="8"/>
        <v>5</v>
      </c>
      <c r="AY11" s="106">
        <f t="shared" si="9"/>
        <v>15</v>
      </c>
      <c r="AZ11" s="107" t="str">
        <f>IF(B11="Retired","Retired",IF(OR(ISBLANK(AY11),AY11=0),"TBD",IF(AY11&lt;='Risk Matrices'!$D$40,'Risk Matrices'!$B$40,IF(AY11&lt;='Risk Matrices'!$D$39,'Risk Matrices'!$B$39,'Risk Matrices'!$B$38))))</f>
        <v>High</v>
      </c>
      <c r="BA11" s="104"/>
      <c r="BB11" s="113" t="s">
        <v>191</v>
      </c>
      <c r="BC11" s="109">
        <f t="shared" si="10"/>
        <v>20179.2</v>
      </c>
      <c r="BD11" s="116">
        <v>45342</v>
      </c>
      <c r="BE11" s="104"/>
      <c r="BF11" s="104"/>
      <c r="BG11" s="104"/>
      <c r="BH11" s="104"/>
      <c r="BI11" s="104"/>
      <c r="BJ11" s="874">
        <f t="shared" si="11"/>
        <v>20179.2</v>
      </c>
      <c r="BK11" s="101"/>
      <c r="BL11" s="101"/>
      <c r="BM11" s="116">
        <v>44012</v>
      </c>
      <c r="BN11" s="330">
        <v>44134</v>
      </c>
      <c r="BO11" s="333"/>
      <c r="BP11" s="94">
        <f t="shared" si="12"/>
        <v>20179.2</v>
      </c>
      <c r="BQ11" s="97" t="str">
        <f t="shared" si="13"/>
        <v>50448 - 50448 - 50448</v>
      </c>
      <c r="BR11" s="97" t="str">
        <f t="shared" si="14"/>
        <v>0 - 0 - 0</v>
      </c>
      <c r="BS11" s="715">
        <f t="shared" si="15"/>
        <v>20179.2</v>
      </c>
      <c r="BT11" s="736">
        <f t="shared" si="16"/>
        <v>0</v>
      </c>
      <c r="BU11" s="735" t="s">
        <v>192</v>
      </c>
      <c r="BV11" s="873">
        <v>45504</v>
      </c>
      <c r="BW11">
        <f t="shared" si="17"/>
        <v>1370</v>
      </c>
    </row>
    <row r="12" spans="2:75" customFormat="1" ht="80" hidden="1" customHeight="1" x14ac:dyDescent="0.2">
      <c r="B12" s="101" t="str">
        <f t="shared" si="0"/>
        <v>Active</v>
      </c>
      <c r="C12" s="779" t="s">
        <v>193</v>
      </c>
      <c r="D12" s="101" t="s">
        <v>151</v>
      </c>
      <c r="E12" s="103" t="s">
        <v>123</v>
      </c>
      <c r="F12" s="102" t="s">
        <v>124</v>
      </c>
      <c r="G12" s="103" t="s">
        <v>125</v>
      </c>
      <c r="H12" s="101" t="str">
        <f t="shared" si="1"/>
        <v>RT-6-001-006</v>
      </c>
      <c r="I12" s="106" t="s">
        <v>194</v>
      </c>
      <c r="J12" s="103" t="s">
        <v>126</v>
      </c>
      <c r="K12" s="120" t="s">
        <v>195</v>
      </c>
      <c r="L12" s="104" t="s">
        <v>196</v>
      </c>
      <c r="M12" s="103" t="s">
        <v>197</v>
      </c>
      <c r="N12" s="105">
        <v>30000</v>
      </c>
      <c r="O12" s="106" t="str" cm="1">
        <f t="array" ref="O12">_xlfn.IFS(N12="","",ABS(N12)&lt;='Risk Matrices'!$E$7,'Risk Matrices'!$E$5,ABS(N12)&lt;='Risk Matrices'!$F$7,'Risk Matrices'!$F$5,ABS(N12)&lt;='Risk Matrices'!$G$7,'Risk Matrices'!$G$5,ABS(N12)&lt;='Risk Matrices'!$H$7,'Risk Matrices'!$H$5,ABS(N12)&gt;'Risk Matrices'!$H$7,'Risk Matrices'!$I$5)</f>
        <v>Critical</v>
      </c>
      <c r="P12" s="106">
        <v>12</v>
      </c>
      <c r="Q12" s="101" t="str" cm="1">
        <f t="array" ref="Q12">_xlfn.IFS(P12="","",ABS(P12)&lt;='Risk Matrices'!$E$8,'Risk Matrices'!$E$5,ABS(P12)&lt;='Risk Matrices'!$F$8,'Risk Matrices'!$F$5,ABS(P12)&lt;='Risk Matrices'!$G$8,'Risk Matrices'!$G$5,ABS(P12)&lt;='Risk Matrices'!$H$8,'Risk Matrices'!$H$5,ABS(P12)&gt;'Risk Matrices'!$H$8,'Risk Matrices'!$I$5)</f>
        <v>Significant</v>
      </c>
      <c r="R12" s="102" t="s">
        <v>130</v>
      </c>
      <c r="S12" s="106">
        <f t="shared" si="2"/>
        <v>5</v>
      </c>
      <c r="T12" s="106" cm="1">
        <f t="array" ref="T12">_xlfn.IFS(O12='Risk Matrices'!$D$28,'Risk Matrices'!$D$29,O12='Risk Matrices'!$E$28,'Risk Matrices'!$E$29,O12='Risk Matrices'!$F$28,'Risk Matrices'!$F$29,O12='Risk Matrices'!$G$28,'Risk Matrices'!$G$29,O12='Risk Matrices'!$H$28,'Risk Matrices'!$H$29)</f>
        <v>4</v>
      </c>
      <c r="U12" s="106">
        <f t="shared" si="3"/>
        <v>3</v>
      </c>
      <c r="V12" s="106">
        <f t="shared" si="4"/>
        <v>0</v>
      </c>
      <c r="W12" s="106">
        <f t="shared" si="5"/>
        <v>4</v>
      </c>
      <c r="X12" s="106">
        <f t="shared" si="6"/>
        <v>20</v>
      </c>
      <c r="Y12" s="107" t="str">
        <f t="shared" si="7"/>
        <v>High</v>
      </c>
      <c r="Z12" s="104" t="s">
        <v>198</v>
      </c>
      <c r="AA12" s="108">
        <f>IF(M12="",0,IF(M12="Very Low (There is a &lt;10% chance that this event will occur)",0.05,IF(M12="Low (Risk is likely to occur with a probability of &gt; 10% to &lt; 25%)",0.17,IF(M12="Moderate (Risk is likely to occur with a probability of &gt; 25% to &lt; 40%)",0.32,IF(M12="High (Risk is likely to occur with a probability of &gt;40 to &lt;65%)",0.52,IF(M12="Very High (Risk is likely to occur with a probability of &gt;65%)",0.82))))))</f>
        <v>0.82</v>
      </c>
      <c r="AB12" s="109">
        <f>+AA12*N12</f>
        <v>24600</v>
      </c>
      <c r="AC12" s="109" t="s">
        <v>155</v>
      </c>
      <c r="AD12" s="104" t="s">
        <v>199</v>
      </c>
      <c r="AE12" s="104"/>
      <c r="AF12" s="101" t="s">
        <v>200</v>
      </c>
      <c r="AG12" s="101"/>
      <c r="AH12" s="101" t="s">
        <v>135</v>
      </c>
      <c r="AI12" s="112">
        <v>0.1</v>
      </c>
      <c r="AJ12" s="106">
        <v>8600</v>
      </c>
      <c r="AK12" s="106">
        <v>18200</v>
      </c>
      <c r="AL12" s="106">
        <v>27800</v>
      </c>
      <c r="AM12" s="106">
        <v>3</v>
      </c>
      <c r="AN12" s="106">
        <v>6</v>
      </c>
      <c r="AO12" s="106">
        <v>9</v>
      </c>
      <c r="AP12" s="112" t="str">
        <f>IF(OR(ISBLANK(AI12),AI12=0),"INSERT LIKELIHOOD",IF(ABS(AI12)&lt;='Risk Matrices'!$D$22,'Risk Matrices'!$C$21,IF(ABS(AI12)&lt;='Risk Matrices'!$D$19,'Risk Matrices'!$C$18,IF(ABS(AI12)&lt;='Risk Matrices'!$D$16,'Risk Matrices'!$C$15,IF(ABS(AI12)&lt;='Risk Matrices'!$D$13,'Risk Matrices'!$C$12,'Risk Matrices'!$C$10)))))</f>
        <v>Very Low</v>
      </c>
      <c r="AQ12" s="112" t="str">
        <f>IF(OR(ISBLANK(AK12),AK12=0),"None",IF(ABS(AK12)&lt;='Risk Matrices'!$E$7,'Risk Matrices'!$E$5,IF(ABS(AK12)&lt;='Risk Matrices'!$G$7,'Risk Matrices'!$G$5,IF(ABS(AK12)&lt;='Risk Matrices'!$H$7,'Risk Matrices'!$H$5,'Risk Matrices'!$I$5))))</f>
        <v>Critical</v>
      </c>
      <c r="AR12" s="112" t="str">
        <f>IF(AN12="","",IF(ABS(AN12)&lt;='Risk Matrices'!$E$8,"Negligible",IF(ABS(AN12)&lt;='Risk Matrices'!$F$8,"Marginal",IF(ABS(AN12)&lt;='Risk Matrices'!$G$8,"Significant",IF(ABS(AN12)&lt;='Risk Matrices'!$H$8,"Critical","Crisis")))))</f>
        <v>Marginal</v>
      </c>
      <c r="AS12" s="103" t="s">
        <v>130</v>
      </c>
      <c r="AT12" s="298">
        <f>IF(OR(ISBLANK(AI12),AI12=0),0,VLOOKUP(AP12,'Risk Matrices'!$B$30:$C$34,2,0))</f>
        <v>1</v>
      </c>
      <c r="AU12" s="298">
        <f>IF(OR(ISBLANK(AK12),AK12=0),0,HLOOKUP(AQ12,'Risk Matrices'!$D$28:$H$29,2,0))</f>
        <v>4</v>
      </c>
      <c r="AV12" s="298">
        <f>IF(OR(ISBLANK(AR12),AR12=0),0,HLOOKUP(AR12,'Risk Matrices'!$D$28:$H$29,2,0))</f>
        <v>2</v>
      </c>
      <c r="AW12" s="298">
        <f>IF(AS12="None",0,HLOOKUP(AS12,'Risk Matrices'!$D$28:$H$29,2,0))</f>
        <v>0</v>
      </c>
      <c r="AX12" s="106">
        <f t="shared" si="8"/>
        <v>4</v>
      </c>
      <c r="AY12" s="106">
        <f t="shared" si="9"/>
        <v>4</v>
      </c>
      <c r="AZ12" s="107" t="str">
        <f>IF(B12="Retired","Retired",IF(OR(ISBLANK(AY12),AY12=0),"TBD",IF(AY12&lt;='Risk Matrices'!$D$40,'Risk Matrices'!$B$40,IF(AY12&lt;='Risk Matrices'!$D$39,'Risk Matrices'!$B$39,'Risk Matrices'!$B$38))))</f>
        <v>Low</v>
      </c>
      <c r="BA12" s="112"/>
      <c r="BB12" s="122" t="s">
        <v>201</v>
      </c>
      <c r="BC12" s="109">
        <f t="shared" si="10"/>
        <v>1820</v>
      </c>
      <c r="BD12" s="185">
        <v>45219</v>
      </c>
      <c r="BE12" s="114"/>
      <c r="BF12" s="115"/>
      <c r="BG12" s="115"/>
      <c r="BH12" s="115"/>
      <c r="BI12" s="115"/>
      <c r="BJ12" s="874">
        <f t="shared" si="11"/>
        <v>1820</v>
      </c>
      <c r="BK12" s="101"/>
      <c r="BL12" s="101"/>
      <c r="BM12" s="116">
        <v>44012</v>
      </c>
      <c r="BN12" s="330">
        <v>44134</v>
      </c>
      <c r="BO12" s="333"/>
      <c r="BP12" s="94">
        <f t="shared" si="12"/>
        <v>1820</v>
      </c>
      <c r="BQ12" s="97" t="str">
        <f t="shared" si="13"/>
        <v>8600 - 18200 - 27800</v>
      </c>
      <c r="BR12" s="97" t="str">
        <f t="shared" si="14"/>
        <v>3 - 6 - 9</v>
      </c>
      <c r="BS12" s="715">
        <f t="shared" si="15"/>
        <v>1820</v>
      </c>
      <c r="BT12" s="736">
        <f t="shared" si="16"/>
        <v>0.6</v>
      </c>
      <c r="BU12" s="735" t="s">
        <v>202</v>
      </c>
      <c r="BV12" s="873">
        <v>45382</v>
      </c>
      <c r="BW12">
        <f t="shared" si="17"/>
        <v>1248</v>
      </c>
    </row>
    <row r="13" spans="2:75" customFormat="1" ht="45" hidden="1" x14ac:dyDescent="0.2">
      <c r="B13" s="101" t="str">
        <f t="shared" si="0"/>
        <v>Active</v>
      </c>
      <c r="C13" s="779" t="s">
        <v>203</v>
      </c>
      <c r="D13" s="101" t="s">
        <v>151</v>
      </c>
      <c r="E13" s="103" t="s">
        <v>123</v>
      </c>
      <c r="F13" s="102" t="s">
        <v>124</v>
      </c>
      <c r="G13" s="103" t="s">
        <v>125</v>
      </c>
      <c r="H13" s="101" t="str">
        <f t="shared" si="1"/>
        <v>RT-6-001-007</v>
      </c>
      <c r="I13" s="103" t="s">
        <v>125</v>
      </c>
      <c r="J13" s="103" t="s">
        <v>126</v>
      </c>
      <c r="K13" s="101" t="s">
        <v>204</v>
      </c>
      <c r="L13" s="123" t="s">
        <v>205</v>
      </c>
      <c r="M13" s="104" t="s">
        <v>206</v>
      </c>
      <c r="N13" s="105">
        <v>2000</v>
      </c>
      <c r="O13" s="106" t="str" cm="1">
        <f t="array" ref="O13">_xlfn.IFS(N13="","",ABS(N13)&lt;='Risk Matrices'!$E$7,'Risk Matrices'!$E$5,ABS(N13)&lt;='Risk Matrices'!$F$7,'Risk Matrices'!$F$5,ABS(N13)&lt;='Risk Matrices'!$G$7,'Risk Matrices'!$G$5,ABS(N13)&lt;='Risk Matrices'!$H$7,'Risk Matrices'!$H$5,ABS(N13)&gt;'Risk Matrices'!$H$7,'Risk Matrices'!$I$5)</f>
        <v>Significant</v>
      </c>
      <c r="P13" s="101">
        <v>0</v>
      </c>
      <c r="Q13" s="101" t="str" cm="1">
        <f t="array" ref="Q13">_xlfn.IFS(P13="","",ABS(P13)&lt;='Risk Matrices'!$E$8,'Risk Matrices'!$E$5,ABS(P13)&lt;='Risk Matrices'!$F$8,'Risk Matrices'!$F$5,ABS(P13)&lt;='Risk Matrices'!$G$8,'Risk Matrices'!$G$5,ABS(P13)&lt;='Risk Matrices'!$H$8,'Risk Matrices'!$H$5,ABS(P13)&gt;'Risk Matrices'!$H$8,'Risk Matrices'!$I$5)</f>
        <v>Negligible</v>
      </c>
      <c r="R13" s="104" t="s">
        <v>207</v>
      </c>
      <c r="S13" s="106">
        <f t="shared" si="2"/>
        <v>2</v>
      </c>
      <c r="T13" s="106" cm="1">
        <f t="array" ref="T13">_xlfn.IFS(O13='Risk Matrices'!$D$28,'Risk Matrices'!$D$29,O13='Risk Matrices'!$E$28,'Risk Matrices'!$E$29,O13='Risk Matrices'!$F$28,'Risk Matrices'!$F$29,O13='Risk Matrices'!$G$28,'Risk Matrices'!$G$29,O13='Risk Matrices'!$H$28,'Risk Matrices'!$H$29)</f>
        <v>3</v>
      </c>
      <c r="U13" s="106">
        <f t="shared" si="3"/>
        <v>1</v>
      </c>
      <c r="V13" s="106">
        <f t="shared" si="4"/>
        <v>1</v>
      </c>
      <c r="W13" s="106">
        <f t="shared" si="5"/>
        <v>3</v>
      </c>
      <c r="X13" s="106">
        <f t="shared" si="6"/>
        <v>6</v>
      </c>
      <c r="Y13" s="107" t="str">
        <f t="shared" si="7"/>
        <v>Low</v>
      </c>
      <c r="Z13" s="123" t="s">
        <v>208</v>
      </c>
      <c r="AA13" s="108">
        <f>IF(M13="",0,IF(M13="Very Low (There is a &lt;10% chance that this event will occur)",0.05,IF(M13="Low (Risk is likely to occur with a probability of &gt; 10% to &lt; 25%)",0.17,IF(M13="Moderate (Risk is likely to occur with a probability of &gt; 25% to &lt; 40%)",0.32,IF(M13="High (Risk is likely to occur with a probability of &gt;40 to &lt;65%)",0.52,IF(M13="Very High (Risk is likely to occur with a probability of &gt;65%)",0.82))))))</f>
        <v>0.17</v>
      </c>
      <c r="AB13" s="109">
        <f>+AA13*N13</f>
        <v>340</v>
      </c>
      <c r="AC13" s="109" t="s">
        <v>143</v>
      </c>
      <c r="AD13" s="179" t="s">
        <v>209</v>
      </c>
      <c r="AE13" s="179"/>
      <c r="AF13" s="101" t="s">
        <v>167</v>
      </c>
      <c r="AG13" s="101"/>
      <c r="AH13" s="101" t="s">
        <v>146</v>
      </c>
      <c r="AI13" s="878">
        <v>0.3</v>
      </c>
      <c r="AJ13" s="101">
        <v>2400</v>
      </c>
      <c r="AK13" s="101">
        <v>9700</v>
      </c>
      <c r="AL13" s="101">
        <v>24170</v>
      </c>
      <c r="AM13" s="101">
        <v>0</v>
      </c>
      <c r="AN13" s="101">
        <v>0</v>
      </c>
      <c r="AO13" s="101">
        <v>0</v>
      </c>
      <c r="AP13" s="112" t="str">
        <f>IF(OR(ISBLANK(AI13),AI13=0),"INSERT LIKELIHOOD",IF(ABS(AI13)&lt;='Risk Matrices'!$D$22,'Risk Matrices'!$C$21,IF(ABS(AI13)&lt;='Risk Matrices'!$D$19,'Risk Matrices'!$C$18,IF(ABS(AI13)&lt;='Risk Matrices'!$D$16,'Risk Matrices'!$C$15,IF(ABS(AI13)&lt;='Risk Matrices'!$D$13,'Risk Matrices'!$C$12,'Risk Matrices'!$C$10)))))</f>
        <v>Moderate</v>
      </c>
      <c r="AQ13" s="112" t="str">
        <f>IF(OR(ISBLANK(AK13),AK13=0),"None",IF(ABS(AK13)&lt;='Risk Matrices'!$E$7,'Risk Matrices'!$E$5,IF(ABS(AK13)&lt;='Risk Matrices'!$G$7,'Risk Matrices'!$G$5,IF(ABS(AK13)&lt;='Risk Matrices'!$H$7,'Risk Matrices'!$H$5,'Risk Matrices'!$I$5))))</f>
        <v>Critical</v>
      </c>
      <c r="AR13" s="112" t="str">
        <f>IF(AN13="","",IF(ABS(AN13)&lt;='Risk Matrices'!$E$8,"Negligible",IF(ABS(AN13)&lt;='Risk Matrices'!$F$8,"Marginal",IF(ABS(AN13)&lt;='Risk Matrices'!$G$8,"Significant",IF(ABS(AN13)&lt;='Risk Matrices'!$H$8,"Critical","Crisis")))))</f>
        <v>Negligible</v>
      </c>
      <c r="AS13" s="103" t="s">
        <v>130</v>
      </c>
      <c r="AT13" s="298">
        <f>IF(OR(ISBLANK(AI13),AI13=0),0,VLOOKUP(AP13,'Risk Matrices'!$B$30:$C$34,2,0))</f>
        <v>3</v>
      </c>
      <c r="AU13" s="298">
        <f>IF(OR(ISBLANK(AK13),AK13=0),0,HLOOKUP(AQ13,'Risk Matrices'!$D$28:$H$29,2,0))</f>
        <v>4</v>
      </c>
      <c r="AV13" s="298">
        <f>IF(OR(ISBLANK(AR13),AR13=0),0,HLOOKUP(AR13,'Risk Matrices'!$D$28:$H$29,2,0))</f>
        <v>1</v>
      </c>
      <c r="AW13" s="298">
        <f>IF(AS13="None",0,HLOOKUP(AS13,'Risk Matrices'!$D$28:$H$29,2,0))</f>
        <v>0</v>
      </c>
      <c r="AX13" s="106">
        <f t="shared" si="8"/>
        <v>4</v>
      </c>
      <c r="AY13" s="106">
        <f t="shared" si="9"/>
        <v>12</v>
      </c>
      <c r="AZ13" s="107" t="str">
        <f>IF(B13="Retired","Retired",IF(OR(ISBLANK(AY13),AY13=0),"TBD",IF(AY13&lt;='Risk Matrices'!$D$40,'Risk Matrices'!$B$40,IF(AY13&lt;='Risk Matrices'!$D$39,'Risk Matrices'!$B$39,'Risk Matrices'!$B$38))))</f>
        <v>Moderate</v>
      </c>
      <c r="BA13" s="104"/>
      <c r="BB13" s="146" t="s">
        <v>210</v>
      </c>
      <c r="BC13" s="109">
        <f t="shared" si="10"/>
        <v>2910</v>
      </c>
      <c r="BD13" s="116">
        <v>45342</v>
      </c>
      <c r="BE13" s="104"/>
      <c r="BF13" s="104"/>
      <c r="BG13" s="104"/>
      <c r="BH13" s="104"/>
      <c r="BI13" s="104"/>
      <c r="BJ13" s="874">
        <f t="shared" si="11"/>
        <v>3627</v>
      </c>
      <c r="BK13" s="101"/>
      <c r="BL13" s="101"/>
      <c r="BM13" s="116">
        <v>44247</v>
      </c>
      <c r="BN13" s="330">
        <v>44466</v>
      </c>
      <c r="BO13" s="333"/>
      <c r="BP13" s="94">
        <f t="shared" si="12"/>
        <v>3268.5</v>
      </c>
      <c r="BQ13" s="97" t="str">
        <f t="shared" si="13"/>
        <v>2400 - 9700 - 24170</v>
      </c>
      <c r="BR13" s="97" t="str">
        <f t="shared" si="14"/>
        <v>0 - 0 - 0</v>
      </c>
      <c r="BS13" s="715">
        <f t="shared" si="15"/>
        <v>3627</v>
      </c>
      <c r="BT13" s="736">
        <f t="shared" si="16"/>
        <v>0</v>
      </c>
      <c r="BU13" s="735" t="s">
        <v>211</v>
      </c>
      <c r="BV13" s="873">
        <v>45382</v>
      </c>
      <c r="BW13">
        <f t="shared" si="17"/>
        <v>916</v>
      </c>
    </row>
    <row r="14" spans="2:75" customFormat="1" ht="144" hidden="1" x14ac:dyDescent="0.2">
      <c r="B14" s="101" t="str">
        <f t="shared" si="0"/>
        <v>Active</v>
      </c>
      <c r="C14" s="779" t="s">
        <v>212</v>
      </c>
      <c r="D14" s="102" t="s">
        <v>151</v>
      </c>
      <c r="E14" s="103" t="s">
        <v>123</v>
      </c>
      <c r="F14" s="102" t="s">
        <v>124</v>
      </c>
      <c r="G14" s="103" t="s">
        <v>125</v>
      </c>
      <c r="H14" s="101" t="str">
        <f t="shared" si="1"/>
        <v>RT-6-001-008</v>
      </c>
      <c r="I14" s="103" t="s">
        <v>125</v>
      </c>
      <c r="J14" s="103" t="s">
        <v>126</v>
      </c>
      <c r="K14" s="103" t="s">
        <v>213</v>
      </c>
      <c r="L14" s="101" t="s">
        <v>214</v>
      </c>
      <c r="M14" s="103" t="s">
        <v>129</v>
      </c>
      <c r="N14" s="105">
        <v>1000</v>
      </c>
      <c r="O14" s="106" t="str" cm="1">
        <f t="array" ref="O14">_xlfn.IFS(N14="","",ABS(N14)&lt;='Risk Matrices'!$E$7,'Risk Matrices'!$E$5,ABS(N14)&lt;='Risk Matrices'!$F$7,'Risk Matrices'!$F$5,ABS(N14)&lt;='Risk Matrices'!$G$7,'Risk Matrices'!$G$5,ABS(N14)&lt;='Risk Matrices'!$H$7,'Risk Matrices'!$H$5,ABS(N14)&gt;'Risk Matrices'!$H$7,'Risk Matrices'!$I$5)</f>
        <v>Marginal</v>
      </c>
      <c r="P14" s="106">
        <v>6</v>
      </c>
      <c r="Q14" s="101" t="str" cm="1">
        <f t="array" ref="Q14">_xlfn.IFS(P14="","",ABS(P14)&lt;='Risk Matrices'!$E$8,'Risk Matrices'!$E$5,ABS(P14)&lt;='Risk Matrices'!$F$8,'Risk Matrices'!$F$5,ABS(P14)&lt;='Risk Matrices'!$G$8,'Risk Matrices'!$G$5,ABS(P14)&lt;='Risk Matrices'!$H$8,'Risk Matrices'!$H$5,ABS(P14)&gt;'Risk Matrices'!$H$8,'Risk Matrices'!$I$5)</f>
        <v>Marginal</v>
      </c>
      <c r="R14" s="102" t="s">
        <v>130</v>
      </c>
      <c r="S14" s="106">
        <f t="shared" si="2"/>
        <v>4</v>
      </c>
      <c r="T14" s="106" cm="1">
        <f t="array" ref="T14">_xlfn.IFS(O14='Risk Matrices'!$D$28,'Risk Matrices'!$D$29,O14='Risk Matrices'!$E$28,'Risk Matrices'!$E$29,O14='Risk Matrices'!$F$28,'Risk Matrices'!$F$29,O14='Risk Matrices'!$G$28,'Risk Matrices'!$G$29,O14='Risk Matrices'!$H$28,'Risk Matrices'!$H$29)</f>
        <v>2</v>
      </c>
      <c r="U14" s="106">
        <f t="shared" si="3"/>
        <v>2</v>
      </c>
      <c r="V14" s="106">
        <f t="shared" si="4"/>
        <v>0</v>
      </c>
      <c r="W14" s="106">
        <f t="shared" si="5"/>
        <v>2</v>
      </c>
      <c r="X14" s="106">
        <f t="shared" si="6"/>
        <v>8</v>
      </c>
      <c r="Y14" s="107" t="str">
        <f t="shared" si="7"/>
        <v>Moderate</v>
      </c>
      <c r="Z14" s="124" t="s">
        <v>215</v>
      </c>
      <c r="AA14" s="108">
        <f>IF(M14="",0,IF(M14="Very Low (There is a &lt;10% chance that this event will occur)",0.05,IF(M14="Low (Risk is likely to occur with a probability of &gt; 10% to &lt; 25%)",0.17,IF(M14="Moderate (Risk is likely to occur with a probability of &gt; 25% to &lt; 40%)",0.32,IF(M14="High (Risk is likely to occur with a probability of &gt;40 to &lt;65%)",0.52,IF(M14="Very High (Risk is likely to occur with a probability of &gt;65%)",0.82))))))</f>
        <v>0.52</v>
      </c>
      <c r="AB14" s="109">
        <f>+AA14*N14</f>
        <v>520</v>
      </c>
      <c r="AC14" s="109" t="s">
        <v>155</v>
      </c>
      <c r="AD14" s="720" t="s">
        <v>216</v>
      </c>
      <c r="AE14" s="749"/>
      <c r="AF14" s="103" t="s">
        <v>145</v>
      </c>
      <c r="AG14" s="186"/>
      <c r="AH14" s="101" t="s">
        <v>146</v>
      </c>
      <c r="AI14" s="112">
        <v>0.1</v>
      </c>
      <c r="AJ14" s="106">
        <v>8475</v>
      </c>
      <c r="AK14" s="106">
        <v>33900</v>
      </c>
      <c r="AL14" s="106">
        <v>50850</v>
      </c>
      <c r="AM14" s="106">
        <v>3</v>
      </c>
      <c r="AN14" s="106">
        <v>12</v>
      </c>
      <c r="AO14" s="106">
        <v>18</v>
      </c>
      <c r="AP14" s="112" t="str">
        <f>IF(OR(ISBLANK(AI14),AI14=0),"INSERT LIKELIHOOD",IF(ABS(AI14)&lt;='Risk Matrices'!$D$22,'Risk Matrices'!$C$21,IF(ABS(AI14)&lt;='Risk Matrices'!$D$19,'Risk Matrices'!$C$18,IF(ABS(AI14)&lt;='Risk Matrices'!$D$16,'Risk Matrices'!$C$15,IF(ABS(AI14)&lt;='Risk Matrices'!$D$13,'Risk Matrices'!$C$12,'Risk Matrices'!$C$10)))))</f>
        <v>Very Low</v>
      </c>
      <c r="AQ14" s="112" t="str">
        <f>IF(OR(ISBLANK(AK14),AK14=0),"None",IF(ABS(AK14)&lt;='Risk Matrices'!$E$7,'Risk Matrices'!$E$5,IF(ABS(AK14)&lt;='Risk Matrices'!$G$7,'Risk Matrices'!$G$5,IF(ABS(AK14)&lt;='Risk Matrices'!$H$7,'Risk Matrices'!$H$5,'Risk Matrices'!$I$5))))</f>
        <v>Crisis</v>
      </c>
      <c r="AR14" s="112" t="str">
        <f>IF(AN14="","",IF(ABS(AN14)&lt;='Risk Matrices'!$E$8,"Negligible",IF(ABS(AN14)&lt;='Risk Matrices'!$F$8,"Marginal",IF(ABS(AN14)&lt;='Risk Matrices'!$G$8,"Significant",IF(ABS(AN14)&lt;='Risk Matrices'!$H$8,"Critical","Crisis")))))</f>
        <v>Significant</v>
      </c>
      <c r="AS14" s="103" t="s">
        <v>130</v>
      </c>
      <c r="AT14" s="298">
        <f>IF(OR(ISBLANK(AI14),AI14=0),0,VLOOKUP(AP14,'Risk Matrices'!$B$30:$C$34,2,0))</f>
        <v>1</v>
      </c>
      <c r="AU14" s="298">
        <f>IF(OR(ISBLANK(AK14),AK14=0),0,HLOOKUP(AQ14,'Risk Matrices'!$D$28:$H$29,2,0))</f>
        <v>5</v>
      </c>
      <c r="AV14" s="298">
        <f>IF(OR(ISBLANK(AR14),AR14=0),0,HLOOKUP(AR14,'Risk Matrices'!$D$28:$H$29,2,0))</f>
        <v>3</v>
      </c>
      <c r="AW14" s="298">
        <f>IF(AS14="None",0,HLOOKUP(AS14,'Risk Matrices'!$D$28:$H$29,2,0))</f>
        <v>0</v>
      </c>
      <c r="AX14" s="106">
        <f t="shared" si="8"/>
        <v>5</v>
      </c>
      <c r="AY14" s="106">
        <f t="shared" si="9"/>
        <v>5</v>
      </c>
      <c r="AZ14" s="107" t="str">
        <f>IF(B14="Retired","Retired",IF(OR(ISBLANK(AY14),AY14=0),"TBD",IF(AY14&lt;='Risk Matrices'!$D$40,'Risk Matrices'!$B$40,IF(AY14&lt;='Risk Matrices'!$D$39,'Risk Matrices'!$B$39,'Risk Matrices'!$B$38))))</f>
        <v>Low</v>
      </c>
      <c r="BA14" s="112"/>
      <c r="BB14" s="122" t="s">
        <v>217</v>
      </c>
      <c r="BC14" s="109">
        <f t="shared" si="10"/>
        <v>3390</v>
      </c>
      <c r="BD14" s="116">
        <v>45342</v>
      </c>
      <c r="BE14" s="114"/>
      <c r="BF14" s="115"/>
      <c r="BG14" s="115"/>
      <c r="BH14" s="115"/>
      <c r="BI14" s="115"/>
      <c r="BJ14" s="874">
        <f t="shared" si="11"/>
        <v>3107.5</v>
      </c>
      <c r="BK14" s="101"/>
      <c r="BL14" s="101"/>
      <c r="BM14" s="116">
        <v>43860</v>
      </c>
      <c r="BN14" s="330">
        <v>43891</v>
      </c>
      <c r="BO14" s="333" t="s">
        <v>218</v>
      </c>
      <c r="BP14" s="94">
        <f t="shared" si="12"/>
        <v>3248.75</v>
      </c>
      <c r="BQ14" s="97" t="str">
        <f t="shared" si="13"/>
        <v>8475 - 33900 - 50850</v>
      </c>
      <c r="BR14" s="97" t="str">
        <f t="shared" si="14"/>
        <v>3 - 12 - 18</v>
      </c>
      <c r="BS14" s="715">
        <f t="shared" si="15"/>
        <v>3107.5</v>
      </c>
      <c r="BT14" s="736">
        <f t="shared" si="16"/>
        <v>1.1000000000000001</v>
      </c>
      <c r="BU14" s="735" t="s">
        <v>219</v>
      </c>
      <c r="BV14" s="873">
        <v>45382</v>
      </c>
      <c r="BW14">
        <f t="shared" si="17"/>
        <v>1491</v>
      </c>
    </row>
    <row r="15" spans="2:75" customFormat="1" ht="45" hidden="1" x14ac:dyDescent="0.2">
      <c r="B15" s="101" t="str">
        <f t="shared" si="0"/>
        <v>Active</v>
      </c>
      <c r="C15" s="779" t="s">
        <v>220</v>
      </c>
      <c r="D15" s="101" t="s">
        <v>151</v>
      </c>
      <c r="E15" s="103" t="s">
        <v>123</v>
      </c>
      <c r="F15" s="102" t="s">
        <v>124</v>
      </c>
      <c r="G15" s="103" t="s">
        <v>125</v>
      </c>
      <c r="H15" s="101" t="str">
        <f t="shared" si="1"/>
        <v>RT-6-001-009</v>
      </c>
      <c r="I15" s="103" t="s">
        <v>125</v>
      </c>
      <c r="J15" s="103" t="s">
        <v>126</v>
      </c>
      <c r="K15" s="101" t="s">
        <v>221</v>
      </c>
      <c r="L15" s="123" t="s">
        <v>222</v>
      </c>
      <c r="M15" s="104" t="s">
        <v>141</v>
      </c>
      <c r="N15" s="105">
        <v>41000</v>
      </c>
      <c r="O15" s="106" t="str" cm="1">
        <f t="array" ref="O15">_xlfn.IFS(N15="","",ABS(N15)&lt;='Risk Matrices'!$E$7,'Risk Matrices'!$E$5,ABS(N15)&lt;='Risk Matrices'!$F$7,'Risk Matrices'!$F$5,ABS(N15)&lt;='Risk Matrices'!$G$7,'Risk Matrices'!$G$5,ABS(N15)&lt;='Risk Matrices'!$H$7,'Risk Matrices'!$H$5,ABS(N15)&gt;'Risk Matrices'!$H$7,'Risk Matrices'!$I$5)</f>
        <v>Crisis</v>
      </c>
      <c r="P15" s="101">
        <v>12</v>
      </c>
      <c r="Q15" s="101" t="str" cm="1">
        <f t="array" ref="Q15">_xlfn.IFS(P15="","",ABS(P15)&lt;='Risk Matrices'!$E$8,'Risk Matrices'!$E$5,ABS(P15)&lt;='Risk Matrices'!$F$8,'Risk Matrices'!$F$5,ABS(P15)&lt;='Risk Matrices'!$G$8,'Risk Matrices'!$G$5,ABS(P15)&lt;='Risk Matrices'!$H$8,'Risk Matrices'!$H$5,ABS(P15)&gt;'Risk Matrices'!$H$8,'Risk Matrices'!$I$5)</f>
        <v>Significant</v>
      </c>
      <c r="R15" s="102" t="s">
        <v>130</v>
      </c>
      <c r="S15" s="106">
        <f t="shared" si="2"/>
        <v>3</v>
      </c>
      <c r="T15" s="106" cm="1">
        <f t="array" ref="T15">_xlfn.IFS(O15='Risk Matrices'!$D$28,'Risk Matrices'!$D$29,O15='Risk Matrices'!$E$28,'Risk Matrices'!$E$29,O15='Risk Matrices'!$F$28,'Risk Matrices'!$F$29,O15='Risk Matrices'!$G$28,'Risk Matrices'!$G$29,O15='Risk Matrices'!$H$28,'Risk Matrices'!$H$29)</f>
        <v>5</v>
      </c>
      <c r="U15" s="106">
        <f t="shared" si="3"/>
        <v>3</v>
      </c>
      <c r="V15" s="106">
        <f t="shared" si="4"/>
        <v>0</v>
      </c>
      <c r="W15" s="106">
        <f t="shared" si="5"/>
        <v>5</v>
      </c>
      <c r="X15" s="106">
        <f t="shared" si="6"/>
        <v>15</v>
      </c>
      <c r="Y15" s="107" t="str">
        <f t="shared" si="7"/>
        <v>High</v>
      </c>
      <c r="Z15" s="123"/>
      <c r="AA15" s="108">
        <v>0.32</v>
      </c>
      <c r="AB15" s="109">
        <v>13120</v>
      </c>
      <c r="AC15" s="109" t="s">
        <v>155</v>
      </c>
      <c r="AD15" s="104" t="s">
        <v>223</v>
      </c>
      <c r="AE15" s="104"/>
      <c r="AF15" s="103" t="s">
        <v>167</v>
      </c>
      <c r="AG15" s="103"/>
      <c r="AH15" s="101"/>
      <c r="AI15" s="878">
        <v>0.2</v>
      </c>
      <c r="AJ15" s="101">
        <v>5000</v>
      </c>
      <c r="AK15" s="101">
        <v>10000</v>
      </c>
      <c r="AL15" s="101">
        <v>40000</v>
      </c>
      <c r="AM15" s="101">
        <v>6</v>
      </c>
      <c r="AN15" s="101">
        <v>9</v>
      </c>
      <c r="AO15" s="101">
        <v>12</v>
      </c>
      <c r="AP15" s="112" t="str">
        <f>IF(OR(ISBLANK(AI15),AI15=0),"INSERT LIKELIHOOD",IF(ABS(AI15)&lt;='Risk Matrices'!$D$22,'Risk Matrices'!$C$21,IF(ABS(AI15)&lt;='Risk Matrices'!$D$19,'Risk Matrices'!$C$18,IF(ABS(AI15)&lt;='Risk Matrices'!$D$16,'Risk Matrices'!$C$15,IF(ABS(AI15)&lt;='Risk Matrices'!$D$13,'Risk Matrices'!$C$12,'Risk Matrices'!$C$10)))))</f>
        <v>Low</v>
      </c>
      <c r="AQ15" s="112" t="str">
        <f>IF(OR(ISBLANK(AK15),AK15=0),"None",IF(ABS(AK15)&lt;='Risk Matrices'!$E$7,'Risk Matrices'!$E$5,IF(ABS(AK15)&lt;='Risk Matrices'!$G$7,'Risk Matrices'!$G$5,IF(ABS(AK15)&lt;='Risk Matrices'!$H$7,'Risk Matrices'!$H$5,'Risk Matrices'!$I$5))))</f>
        <v>Critical</v>
      </c>
      <c r="AR15" s="112" t="str">
        <f>IF(AN15="","",IF(ABS(AN15)&lt;='Risk Matrices'!$E$8,"Negligible",IF(ABS(AN15)&lt;='Risk Matrices'!$F$8,"Marginal",IF(ABS(AN15)&lt;='Risk Matrices'!$G$8,"Significant",IF(ABS(AN15)&lt;='Risk Matrices'!$H$8,"Critical","Crisis")))))</f>
        <v>Significant</v>
      </c>
      <c r="AS15" s="103" t="s">
        <v>130</v>
      </c>
      <c r="AT15" s="298">
        <f>IF(OR(ISBLANK(AI15),AI15=0),0,VLOOKUP(AP15,'Risk Matrices'!$B$30:$C$34,2,0))</f>
        <v>2</v>
      </c>
      <c r="AU15" s="298">
        <f>IF(OR(ISBLANK(AK15),AK15=0),0,HLOOKUP(AQ15,'Risk Matrices'!$D$28:$H$29,2,0))</f>
        <v>4</v>
      </c>
      <c r="AV15" s="298">
        <f>IF(OR(ISBLANK(AR15),AR15=0),0,HLOOKUP(AR15,'Risk Matrices'!$D$28:$H$29,2,0))</f>
        <v>3</v>
      </c>
      <c r="AW15" s="298">
        <f>IF(AS15="None",0,HLOOKUP(AS15,'Risk Matrices'!$D$28:$H$29,2,0))</f>
        <v>0</v>
      </c>
      <c r="AX15" s="106">
        <f t="shared" si="8"/>
        <v>4</v>
      </c>
      <c r="AY15" s="106">
        <f t="shared" si="9"/>
        <v>8</v>
      </c>
      <c r="AZ15" s="107" t="str">
        <f>IF(B15="Retired","Retired",IF(OR(ISBLANK(AY15),AY15=0),"TBD",IF(AY15&lt;='Risk Matrices'!$D$40,'Risk Matrices'!$B$40,IF(AY15&lt;='Risk Matrices'!$D$39,'Risk Matrices'!$B$39,'Risk Matrices'!$B$38))))</f>
        <v>Moderate</v>
      </c>
      <c r="BA15" s="104"/>
      <c r="BB15" s="122"/>
      <c r="BC15" s="109">
        <f t="shared" si="10"/>
        <v>2000</v>
      </c>
      <c r="BD15" s="116">
        <v>45342</v>
      </c>
      <c r="BE15" s="104"/>
      <c r="BF15" s="104"/>
      <c r="BG15" s="104"/>
      <c r="BH15" s="104"/>
      <c r="BI15" s="104"/>
      <c r="BJ15" s="874">
        <f t="shared" si="11"/>
        <v>3666.6666666666665</v>
      </c>
      <c r="BK15" s="101"/>
      <c r="BL15" s="101"/>
      <c r="BM15" s="116">
        <v>45280</v>
      </c>
      <c r="BN15" s="116">
        <v>45280</v>
      </c>
      <c r="BO15" s="333"/>
      <c r="BP15" s="94">
        <f t="shared" si="12"/>
        <v>2833.3333333333335</v>
      </c>
      <c r="BQ15" s="97" t="str">
        <f t="shared" si="13"/>
        <v>5000 - 10000 - 40000</v>
      </c>
      <c r="BR15" s="97" t="str">
        <f t="shared" si="14"/>
        <v>6 - 9 - 12</v>
      </c>
      <c r="BS15" s="715">
        <f t="shared" si="15"/>
        <v>3666.6666666666665</v>
      </c>
      <c r="BT15" s="736">
        <f t="shared" si="16"/>
        <v>1.8</v>
      </c>
      <c r="BU15" s="735"/>
      <c r="BV15" s="873">
        <v>45382</v>
      </c>
      <c r="BW15">
        <f t="shared" si="17"/>
        <v>102</v>
      </c>
    </row>
    <row r="16" spans="2:75" customFormat="1" ht="75" hidden="1" x14ac:dyDescent="0.2">
      <c r="B16" s="101" t="str">
        <f t="shared" si="0"/>
        <v>Active</v>
      </c>
      <c r="C16" s="779" t="s">
        <v>224</v>
      </c>
      <c r="D16" s="101" t="s">
        <v>151</v>
      </c>
      <c r="E16" s="103" t="s">
        <v>123</v>
      </c>
      <c r="F16" s="102" t="s">
        <v>124</v>
      </c>
      <c r="G16" s="103" t="s">
        <v>125</v>
      </c>
      <c r="H16" s="101" t="str">
        <f t="shared" si="1"/>
        <v>RT-6-001-010</v>
      </c>
      <c r="I16" s="103" t="s">
        <v>125</v>
      </c>
      <c r="J16" s="102" t="s">
        <v>126</v>
      </c>
      <c r="K16" s="101" t="s">
        <v>225</v>
      </c>
      <c r="L16" s="770" t="s">
        <v>226</v>
      </c>
      <c r="M16" s="104" t="s">
        <v>206</v>
      </c>
      <c r="N16" s="105">
        <v>10000</v>
      </c>
      <c r="O16" s="106" t="str" cm="1">
        <f t="array" ref="O16">_xlfn.IFS(N16="","",ABS(N16)&lt;='Risk Matrices'!$E$7,'Risk Matrices'!$E$5,ABS(N16)&lt;='Risk Matrices'!$F$7,'Risk Matrices'!$F$5,ABS(N16)&lt;='Risk Matrices'!$G$7,'Risk Matrices'!$G$5,ABS(N16)&lt;='Risk Matrices'!$H$7,'Risk Matrices'!$H$5,ABS(N16)&gt;'Risk Matrices'!$H$7,'Risk Matrices'!$I$5)</f>
        <v>Critical</v>
      </c>
      <c r="P16" s="101">
        <v>0</v>
      </c>
      <c r="Q16" s="101" t="str" cm="1">
        <f t="array" ref="Q16">_xlfn.IFS(P16="","",ABS(P16)&lt;='Risk Matrices'!$E$8,'Risk Matrices'!$E$5,ABS(P16)&lt;='Risk Matrices'!$F$8,'Risk Matrices'!$F$5,ABS(P16)&lt;='Risk Matrices'!$G$8,'Risk Matrices'!$G$5,ABS(P16)&lt;='Risk Matrices'!$H$8,'Risk Matrices'!$H$5,ABS(P16)&gt;'Risk Matrices'!$H$8,'Risk Matrices'!$I$5)</f>
        <v>Negligible</v>
      </c>
      <c r="R16" s="102" t="s">
        <v>130</v>
      </c>
      <c r="S16" s="106">
        <f t="shared" si="2"/>
        <v>2</v>
      </c>
      <c r="T16" s="106" cm="1">
        <f t="array" ref="T16">_xlfn.IFS(O16='Risk Matrices'!$D$28,'Risk Matrices'!$D$29,O16='Risk Matrices'!$E$28,'Risk Matrices'!$E$29,O16='Risk Matrices'!$F$28,'Risk Matrices'!$F$29,O16='Risk Matrices'!$G$28,'Risk Matrices'!$G$29,O16='Risk Matrices'!$H$28,'Risk Matrices'!$H$29)</f>
        <v>4</v>
      </c>
      <c r="U16" s="106">
        <f t="shared" si="3"/>
        <v>1</v>
      </c>
      <c r="V16" s="106">
        <f t="shared" si="4"/>
        <v>0</v>
      </c>
      <c r="W16" s="106">
        <f t="shared" si="5"/>
        <v>4</v>
      </c>
      <c r="X16" s="106">
        <f t="shared" si="6"/>
        <v>8</v>
      </c>
      <c r="Y16" s="107" t="str">
        <f t="shared" si="7"/>
        <v>Moderate</v>
      </c>
      <c r="Z16" s="104" t="s">
        <v>227</v>
      </c>
      <c r="AA16" s="108">
        <f t="shared" ref="AA16:AA22" si="18">IF(M16="",0,IF(M16="Very Low (There is a &lt;10% chance that this event will occur)",0.05,IF(M16="Low (Risk is likely to occur with a probability of &gt; 10% to &lt; 25%)",0.17,IF(M16="Moderate (Risk is likely to occur with a probability of &gt; 25% to &lt; 40%)",0.32,IF(M16="High (Risk is likely to occur with a probability of &gt;40 to &lt;65%)",0.52,IF(M16="Very High (Risk is likely to occur with a probability of &gt;65%)",0.82))))))</f>
        <v>0.17</v>
      </c>
      <c r="AB16" s="109">
        <f t="shared" ref="AB16:AB24" si="19">+AA16*N16</f>
        <v>1700.0000000000002</v>
      </c>
      <c r="AC16" s="109" t="s">
        <v>155</v>
      </c>
      <c r="AD16" s="104" t="s">
        <v>228</v>
      </c>
      <c r="AE16" s="104"/>
      <c r="AF16" s="103" t="s">
        <v>175</v>
      </c>
      <c r="AG16" s="103"/>
      <c r="AH16" s="101" t="s">
        <v>229</v>
      </c>
      <c r="AI16" s="112">
        <v>0.1</v>
      </c>
      <c r="AJ16" s="101">
        <v>4800</v>
      </c>
      <c r="AK16" s="101">
        <v>4800</v>
      </c>
      <c r="AL16" s="101">
        <v>4800</v>
      </c>
      <c r="AM16" s="101">
        <v>2</v>
      </c>
      <c r="AN16" s="101">
        <v>4</v>
      </c>
      <c r="AO16" s="101">
        <v>6</v>
      </c>
      <c r="AP16" s="112" t="str">
        <f>IF(OR(ISBLANK(AI16),AI16=0),"INSERT LIKELIHOOD",IF(ABS(AI16)&lt;='Risk Matrices'!$D$22,'Risk Matrices'!$C$21,IF(ABS(AI16)&lt;='Risk Matrices'!$D$19,'Risk Matrices'!$C$18,IF(ABS(AI16)&lt;='Risk Matrices'!$D$16,'Risk Matrices'!$C$15,IF(ABS(AI16)&lt;='Risk Matrices'!$D$13,'Risk Matrices'!$C$12,'Risk Matrices'!$C$10)))))</f>
        <v>Very Low</v>
      </c>
      <c r="AQ16" s="112" t="str">
        <f>IF(OR(ISBLANK(AK16),AK16=0),"None",IF(ABS(AK16)&lt;='Risk Matrices'!$E$7,'Risk Matrices'!$E$5,IF(ABS(AK16)&lt;='Risk Matrices'!$G$7,'Risk Matrices'!$G$5,IF(ABS(AK16)&lt;='Risk Matrices'!$H$7,'Risk Matrices'!$H$5,'Risk Matrices'!$I$5))))</f>
        <v>Significant</v>
      </c>
      <c r="AR16" s="112" t="str">
        <f>IF(AN16="","",IF(ABS(AN16)&lt;='Risk Matrices'!$E$8,"Negligible",IF(ABS(AN16)&lt;='Risk Matrices'!$F$8,"Marginal",IF(ABS(AN16)&lt;='Risk Matrices'!$G$8,"Significant",IF(ABS(AN16)&lt;='Risk Matrices'!$H$8,"Critical","Crisis")))))</f>
        <v>Marginal</v>
      </c>
      <c r="AS16" s="103" t="s">
        <v>130</v>
      </c>
      <c r="AT16" s="298">
        <f>IF(OR(ISBLANK(AI16),AI16=0),0,VLOOKUP(AP16,'Risk Matrices'!$B$30:$C$34,2,0))</f>
        <v>1</v>
      </c>
      <c r="AU16" s="298">
        <f>IF(OR(ISBLANK(AK16),AK16=0),0,HLOOKUP(AQ16,'Risk Matrices'!$D$28:$H$29,2,0))</f>
        <v>3</v>
      </c>
      <c r="AV16" s="298">
        <f>IF(OR(ISBLANK(AR16),AR16=0),0,HLOOKUP(AR16,'Risk Matrices'!$D$28:$H$29,2,0))</f>
        <v>2</v>
      </c>
      <c r="AW16" s="298">
        <f>IF(AS16="None",0,HLOOKUP(AS16,'Risk Matrices'!$D$28:$H$29,2,0))</f>
        <v>0</v>
      </c>
      <c r="AX16" s="106">
        <f t="shared" si="8"/>
        <v>3</v>
      </c>
      <c r="AY16" s="106">
        <f t="shared" si="9"/>
        <v>3</v>
      </c>
      <c r="AZ16" s="107" t="str">
        <f>IF(B16="Retired","Retired",IF(OR(ISBLANK(AY16),AY16=0),"TBD",IF(AY16&lt;='Risk Matrices'!$D$40,'Risk Matrices'!$B$40,IF(AY16&lt;='Risk Matrices'!$D$39,'Risk Matrices'!$B$39,'Risk Matrices'!$B$38))))</f>
        <v>Low</v>
      </c>
      <c r="BA16" s="104"/>
      <c r="BB16" s="770" t="s">
        <v>230</v>
      </c>
      <c r="BC16" s="109">
        <f t="shared" si="10"/>
        <v>480</v>
      </c>
      <c r="BD16" s="116">
        <v>45342</v>
      </c>
      <c r="BE16" s="104"/>
      <c r="BF16" s="104"/>
      <c r="BG16" s="104"/>
      <c r="BH16" s="104"/>
      <c r="BI16" s="104"/>
      <c r="BJ16" s="874">
        <f t="shared" si="11"/>
        <v>480</v>
      </c>
      <c r="BK16" s="101"/>
      <c r="BL16" s="101"/>
      <c r="BM16" s="116">
        <v>44012</v>
      </c>
      <c r="BN16" s="330">
        <v>44134</v>
      </c>
      <c r="BO16" s="333" t="s">
        <v>231</v>
      </c>
      <c r="BP16" s="94">
        <f t="shared" si="12"/>
        <v>480</v>
      </c>
      <c r="BQ16" s="97" t="str">
        <f t="shared" si="13"/>
        <v>4800 - 4800 - 4800</v>
      </c>
      <c r="BR16" s="97" t="str">
        <f t="shared" si="14"/>
        <v>2 - 4 - 6</v>
      </c>
      <c r="BS16" s="715">
        <f t="shared" si="15"/>
        <v>480</v>
      </c>
      <c r="BT16" s="736">
        <f t="shared" si="16"/>
        <v>0.40000000000000008</v>
      </c>
      <c r="BU16" s="735" t="s">
        <v>232</v>
      </c>
      <c r="BV16" s="873">
        <v>45382</v>
      </c>
      <c r="BW16">
        <f t="shared" si="17"/>
        <v>1248</v>
      </c>
    </row>
    <row r="17" spans="2:75" customFormat="1" ht="50" hidden="1" customHeight="1" x14ac:dyDescent="0.2">
      <c r="B17" s="101" t="str">
        <f t="shared" si="0"/>
        <v>Active</v>
      </c>
      <c r="C17" s="779" t="s">
        <v>233</v>
      </c>
      <c r="D17" s="101" t="s">
        <v>151</v>
      </c>
      <c r="E17" s="103" t="s">
        <v>123</v>
      </c>
      <c r="F17" s="102" t="s">
        <v>124</v>
      </c>
      <c r="G17" s="103" t="s">
        <v>125</v>
      </c>
      <c r="H17" s="101" t="str">
        <f t="shared" si="1"/>
        <v>RT-6-001-011</v>
      </c>
      <c r="I17" s="103" t="s">
        <v>125</v>
      </c>
      <c r="J17" s="103" t="s">
        <v>126</v>
      </c>
      <c r="K17" s="101" t="s">
        <v>234</v>
      </c>
      <c r="L17" s="770"/>
      <c r="M17" s="104" t="s">
        <v>141</v>
      </c>
      <c r="N17" s="105">
        <v>33900</v>
      </c>
      <c r="O17" s="106" t="str" cm="1">
        <f t="array" ref="O17">_xlfn.IFS(N17="","",ABS(N17)&lt;='Risk Matrices'!$E$7,'Risk Matrices'!$E$5,ABS(N17)&lt;='Risk Matrices'!$F$7,'Risk Matrices'!$F$5,ABS(N17)&lt;='Risk Matrices'!$G$7,'Risk Matrices'!$G$5,ABS(N17)&lt;='Risk Matrices'!$H$7,'Risk Matrices'!$H$5,ABS(N17)&gt;'Risk Matrices'!$H$7,'Risk Matrices'!$I$5)</f>
        <v>Crisis</v>
      </c>
      <c r="P17" s="101">
        <v>3</v>
      </c>
      <c r="Q17" s="101" t="str" cm="1">
        <f t="array" ref="Q17">_xlfn.IFS(P17="","",ABS(P17)&lt;='Risk Matrices'!$E$8,'Risk Matrices'!$E$5,ABS(P17)&lt;='Risk Matrices'!$F$8,'Risk Matrices'!$F$5,ABS(P17)&lt;='Risk Matrices'!$G$8,'Risk Matrices'!$G$5,ABS(P17)&lt;='Risk Matrices'!$H$8,'Risk Matrices'!$H$5,ABS(P17)&gt;'Risk Matrices'!$H$8,'Risk Matrices'!$I$5)</f>
        <v>Negligible</v>
      </c>
      <c r="R17" s="102" t="s">
        <v>130</v>
      </c>
      <c r="S17" s="106">
        <f t="shared" si="2"/>
        <v>3</v>
      </c>
      <c r="T17" s="106" cm="1">
        <f t="array" ref="T17">_xlfn.IFS(O17='Risk Matrices'!$D$28,'Risk Matrices'!$D$29,O17='Risk Matrices'!$E$28,'Risk Matrices'!$E$29,O17='Risk Matrices'!$F$28,'Risk Matrices'!$F$29,O17='Risk Matrices'!$G$28,'Risk Matrices'!$G$29,O17='Risk Matrices'!$H$28,'Risk Matrices'!$H$29)</f>
        <v>5</v>
      </c>
      <c r="U17" s="106">
        <f t="shared" si="3"/>
        <v>1</v>
      </c>
      <c r="V17" s="106">
        <f t="shared" si="4"/>
        <v>0</v>
      </c>
      <c r="W17" s="106">
        <f t="shared" si="5"/>
        <v>5</v>
      </c>
      <c r="X17" s="106">
        <f t="shared" si="6"/>
        <v>15</v>
      </c>
      <c r="Y17" s="107" t="str">
        <f t="shared" si="7"/>
        <v>High</v>
      </c>
      <c r="Z17" s="104"/>
      <c r="AA17" s="108">
        <f t="shared" si="18"/>
        <v>0.32</v>
      </c>
      <c r="AB17" s="109">
        <f t="shared" si="19"/>
        <v>10848</v>
      </c>
      <c r="AC17" s="109" t="s">
        <v>155</v>
      </c>
      <c r="AD17" s="104" t="s">
        <v>235</v>
      </c>
      <c r="AE17" s="104"/>
      <c r="AF17" s="116" t="s">
        <v>134</v>
      </c>
      <c r="AG17" s="116"/>
      <c r="AH17" s="101" t="s">
        <v>236</v>
      </c>
      <c r="AI17" s="112">
        <v>0.3</v>
      </c>
      <c r="AJ17" s="101">
        <v>33900</v>
      </c>
      <c r="AK17" s="101">
        <v>33900</v>
      </c>
      <c r="AL17" s="101">
        <v>33900</v>
      </c>
      <c r="AM17" s="101">
        <v>12</v>
      </c>
      <c r="AN17" s="101">
        <v>12</v>
      </c>
      <c r="AO17" s="101">
        <v>12</v>
      </c>
      <c r="AP17" s="112" t="str">
        <f>IF(OR(ISBLANK(AI17),AI17=0),"INSERT LIKELIHOOD",IF(ABS(AI17)&lt;='Risk Matrices'!$D$22,'Risk Matrices'!$C$21,IF(ABS(AI17)&lt;='Risk Matrices'!$D$19,'Risk Matrices'!$C$18,IF(ABS(AI17)&lt;='Risk Matrices'!$D$16,'Risk Matrices'!$C$15,IF(ABS(AI17)&lt;='Risk Matrices'!$D$13,'Risk Matrices'!$C$12,'Risk Matrices'!$C$10)))))</f>
        <v>Moderate</v>
      </c>
      <c r="AQ17" s="112" t="str">
        <f>IF(OR(ISBLANK(AK17),AK17=0),"None",IF(ABS(AK17)&lt;='Risk Matrices'!$E$7,'Risk Matrices'!$E$5,IF(ABS(AK17)&lt;='Risk Matrices'!$G$7,'Risk Matrices'!$G$5,IF(ABS(AK17)&lt;='Risk Matrices'!$H$7,'Risk Matrices'!$H$5,'Risk Matrices'!$I$5))))</f>
        <v>Crisis</v>
      </c>
      <c r="AR17" s="112" t="str">
        <f>IF(AN17="","",IF(ABS(AN17)&lt;='Risk Matrices'!$E$8,"Negligible",IF(ABS(AN17)&lt;='Risk Matrices'!$F$8,"Marginal",IF(ABS(AN17)&lt;='Risk Matrices'!$G$8,"Significant",IF(ABS(AN17)&lt;='Risk Matrices'!$H$8,"Critical","Crisis")))))</f>
        <v>Significant</v>
      </c>
      <c r="AS17" s="103" t="s">
        <v>130</v>
      </c>
      <c r="AT17" s="298">
        <f>IF(OR(ISBLANK(AI17),AI17=0),0,VLOOKUP(AP17,'Risk Matrices'!$B$30:$C$34,2,0))</f>
        <v>3</v>
      </c>
      <c r="AU17" s="298">
        <f>IF(OR(ISBLANK(AK17),AK17=0),0,HLOOKUP(AQ17,'Risk Matrices'!$D$28:$H$29,2,0))</f>
        <v>5</v>
      </c>
      <c r="AV17" s="298">
        <f>IF(OR(ISBLANK(AR17),AR17=0),0,HLOOKUP(AR17,'Risk Matrices'!$D$28:$H$29,2,0))</f>
        <v>3</v>
      </c>
      <c r="AW17" s="298">
        <f>IF(AS17="None",0,HLOOKUP(AS17,'Risk Matrices'!$D$28:$H$29,2,0))</f>
        <v>0</v>
      </c>
      <c r="AX17" s="106">
        <f t="shared" si="8"/>
        <v>5</v>
      </c>
      <c r="AY17" s="106">
        <f t="shared" si="9"/>
        <v>15</v>
      </c>
      <c r="AZ17" s="107" t="str">
        <f>IF(B17="Retired","Retired",IF(OR(ISBLANK(AY17),AY17=0),"TBD",IF(AY17&lt;='Risk Matrices'!$D$40,'Risk Matrices'!$B$40,IF(AY17&lt;='Risk Matrices'!$D$39,'Risk Matrices'!$B$39,'Risk Matrices'!$B$38))))</f>
        <v>High</v>
      </c>
      <c r="BA17" s="104"/>
      <c r="BB17" s="122" t="s">
        <v>237</v>
      </c>
      <c r="BC17" s="109">
        <f t="shared" si="10"/>
        <v>10170</v>
      </c>
      <c r="BD17" s="116">
        <v>45342</v>
      </c>
      <c r="BE17" s="104"/>
      <c r="BF17" s="104"/>
      <c r="BG17" s="104"/>
      <c r="BH17" s="104" t="s">
        <v>238</v>
      </c>
      <c r="BI17" s="104"/>
      <c r="BJ17" s="874">
        <f t="shared" si="11"/>
        <v>10170</v>
      </c>
      <c r="BK17" s="101"/>
      <c r="BL17" s="101"/>
      <c r="BM17" s="116">
        <v>44012</v>
      </c>
      <c r="BN17" s="330">
        <v>44134</v>
      </c>
      <c r="BO17" s="333" t="s">
        <v>239</v>
      </c>
      <c r="BP17" s="94">
        <f t="shared" si="12"/>
        <v>10170</v>
      </c>
      <c r="BQ17" s="97" t="str">
        <f t="shared" si="13"/>
        <v>33900 - 33900 - 33900</v>
      </c>
      <c r="BR17" s="97" t="str">
        <f t="shared" si="14"/>
        <v>12 - 12 - 12</v>
      </c>
      <c r="BS17" s="715">
        <f t="shared" si="15"/>
        <v>10170</v>
      </c>
      <c r="BT17" s="736">
        <f t="shared" si="16"/>
        <v>3.5999999999999996</v>
      </c>
      <c r="BU17" s="735" t="s">
        <v>240</v>
      </c>
      <c r="BV17" s="873">
        <v>45382</v>
      </c>
      <c r="BW17">
        <f t="shared" si="17"/>
        <v>1248</v>
      </c>
    </row>
    <row r="18" spans="2:75" customFormat="1" ht="135" hidden="1" x14ac:dyDescent="0.2">
      <c r="B18" s="101" t="str">
        <f t="shared" si="0"/>
        <v>Active</v>
      </c>
      <c r="C18" s="779" t="s">
        <v>241</v>
      </c>
      <c r="D18" s="101" t="s">
        <v>151</v>
      </c>
      <c r="E18" s="103" t="s">
        <v>123</v>
      </c>
      <c r="F18" s="102" t="s">
        <v>124</v>
      </c>
      <c r="G18" s="103" t="s">
        <v>125</v>
      </c>
      <c r="H18" s="101" t="str">
        <f t="shared" si="1"/>
        <v>RT-6-001-012</v>
      </c>
      <c r="I18" s="103" t="s">
        <v>125</v>
      </c>
      <c r="J18" s="103" t="s">
        <v>126</v>
      </c>
      <c r="K18" s="101" t="s">
        <v>242</v>
      </c>
      <c r="L18" s="104" t="s">
        <v>243</v>
      </c>
      <c r="M18" s="103" t="s">
        <v>129</v>
      </c>
      <c r="N18" s="105">
        <v>6000</v>
      </c>
      <c r="O18" s="106" t="str" cm="1">
        <f t="array" ref="O18">_xlfn.IFS(N18="","",ABS(N18)&lt;='Risk Matrices'!$E$7,'Risk Matrices'!$E$5,ABS(N18)&lt;='Risk Matrices'!$F$7,'Risk Matrices'!$F$5,ABS(N18)&lt;='Risk Matrices'!$G$7,'Risk Matrices'!$G$5,ABS(N18)&lt;='Risk Matrices'!$H$7,'Risk Matrices'!$H$5,ABS(N18)&gt;'Risk Matrices'!$H$7,'Risk Matrices'!$I$5)</f>
        <v>Critical</v>
      </c>
      <c r="P18" s="101">
        <v>0</v>
      </c>
      <c r="Q18" s="101" t="str" cm="1">
        <f t="array" ref="Q18">_xlfn.IFS(P18="","",ABS(P18)&lt;='Risk Matrices'!$E$8,'Risk Matrices'!$E$5,ABS(P18)&lt;='Risk Matrices'!$F$8,'Risk Matrices'!$F$5,ABS(P18)&lt;='Risk Matrices'!$G$8,'Risk Matrices'!$G$5,ABS(P18)&lt;='Risk Matrices'!$H$8,'Risk Matrices'!$H$5,ABS(P18)&gt;'Risk Matrices'!$H$8,'Risk Matrices'!$I$5)</f>
        <v>Negligible</v>
      </c>
      <c r="R18" s="102" t="s">
        <v>130</v>
      </c>
      <c r="S18" s="101">
        <f t="shared" si="2"/>
        <v>4</v>
      </c>
      <c r="T18" s="106" cm="1">
        <f t="array" ref="T18">_xlfn.IFS(O18='Risk Matrices'!$D$28,'Risk Matrices'!$D$29,O18='Risk Matrices'!$E$28,'Risk Matrices'!$E$29,O18='Risk Matrices'!$F$28,'Risk Matrices'!$F$29,O18='Risk Matrices'!$G$28,'Risk Matrices'!$G$29,O18='Risk Matrices'!$H$28,'Risk Matrices'!$H$29)</f>
        <v>4</v>
      </c>
      <c r="U18" s="101">
        <f t="shared" si="3"/>
        <v>1</v>
      </c>
      <c r="V18" s="106">
        <f t="shared" si="4"/>
        <v>0</v>
      </c>
      <c r="W18" s="106">
        <f t="shared" si="5"/>
        <v>4</v>
      </c>
      <c r="X18" s="101">
        <f t="shared" si="6"/>
        <v>16</v>
      </c>
      <c r="Y18" s="107" t="str">
        <f t="shared" si="7"/>
        <v>High</v>
      </c>
      <c r="Z18" s="104" t="s">
        <v>142</v>
      </c>
      <c r="AA18" s="108">
        <f t="shared" si="18"/>
        <v>0.52</v>
      </c>
      <c r="AB18" s="109">
        <f t="shared" si="19"/>
        <v>3120</v>
      </c>
      <c r="AC18" s="109" t="s">
        <v>143</v>
      </c>
      <c r="AD18" s="104" t="s">
        <v>144</v>
      </c>
      <c r="AE18" s="104"/>
      <c r="AF18" s="103" t="s">
        <v>145</v>
      </c>
      <c r="AG18" s="103"/>
      <c r="AH18" s="101" t="s">
        <v>146</v>
      </c>
      <c r="AI18" s="881">
        <v>0.4</v>
      </c>
      <c r="AJ18" s="101">
        <v>16300</v>
      </c>
      <c r="AK18" s="101">
        <v>16300</v>
      </c>
      <c r="AL18" s="101">
        <v>16300</v>
      </c>
      <c r="AM18" s="101">
        <v>0</v>
      </c>
      <c r="AN18" s="101">
        <v>0</v>
      </c>
      <c r="AO18" s="101">
        <v>0</v>
      </c>
      <c r="AP18" s="112" t="str">
        <f>IF(OR(ISBLANK(AI18),AI18=0),"INSERT LIKELIHOOD",IF(ABS(AI18)&lt;='Risk Matrices'!$D$22,'Risk Matrices'!$C$21,IF(ABS(AI18)&lt;='Risk Matrices'!$D$19,'Risk Matrices'!$C$18,IF(ABS(AI18)&lt;='Risk Matrices'!$D$16,'Risk Matrices'!$C$15,IF(ABS(AI18)&lt;='Risk Matrices'!$D$13,'Risk Matrices'!$C$12,'Risk Matrices'!$C$10)))))</f>
        <v>Moderate</v>
      </c>
      <c r="AQ18" s="112" t="str">
        <f>IF(OR(ISBLANK(AK18),AK18=0),"None",IF(ABS(AK18)&lt;='Risk Matrices'!$E$7,'Risk Matrices'!$E$5,IF(ABS(AK18)&lt;='Risk Matrices'!$G$7,'Risk Matrices'!$G$5,IF(ABS(AK18)&lt;='Risk Matrices'!$H$7,'Risk Matrices'!$H$5,'Risk Matrices'!$I$5))))</f>
        <v>Critical</v>
      </c>
      <c r="AR18" s="112" t="str">
        <f>IF(AN18="","",IF(ABS(AN18)&lt;='Risk Matrices'!$E$8,"Negligible",IF(ABS(AN18)&lt;='Risk Matrices'!$F$8,"Marginal",IF(ABS(AN18)&lt;='Risk Matrices'!$G$8,"Significant",IF(ABS(AN18)&lt;='Risk Matrices'!$H$8,"Critical","Crisis")))))</f>
        <v>Negligible</v>
      </c>
      <c r="AS18" s="103" t="s">
        <v>130</v>
      </c>
      <c r="AT18" s="298">
        <f>IF(OR(ISBLANK(AI18),AI18=0),0,VLOOKUP(AP18,'Risk Matrices'!$B$30:$C$34,2,0))</f>
        <v>3</v>
      </c>
      <c r="AU18" s="298">
        <f>IF(OR(ISBLANK(AK18),AK18=0),0,HLOOKUP(AQ18,'Risk Matrices'!$D$28:$H$29,2,0))</f>
        <v>4</v>
      </c>
      <c r="AV18" s="298">
        <f>IF(OR(ISBLANK(AR18),AR18=0),0,HLOOKUP(AR18,'Risk Matrices'!$D$28:$H$29,2,0))</f>
        <v>1</v>
      </c>
      <c r="AW18" s="298">
        <f>IF(AS18="None",0,HLOOKUP(AS18,'Risk Matrices'!$D$28:$H$29,2,0))</f>
        <v>0</v>
      </c>
      <c r="AX18" s="106">
        <f t="shared" si="8"/>
        <v>4</v>
      </c>
      <c r="AY18" s="106">
        <f t="shared" si="9"/>
        <v>12</v>
      </c>
      <c r="AZ18" s="107" t="str">
        <f>IF(B18="Retired","Retired",IF(OR(ISBLANK(AY18),AY18=0),"TBD",IF(AY18&lt;='Risk Matrices'!$D$40,'Risk Matrices'!$B$40,IF(AY18&lt;='Risk Matrices'!$D$39,'Risk Matrices'!$B$39,'Risk Matrices'!$B$38))))</f>
        <v>Moderate</v>
      </c>
      <c r="BA18" s="104"/>
      <c r="BB18" s="122" t="s">
        <v>244</v>
      </c>
      <c r="BC18" s="109">
        <f t="shared" si="10"/>
        <v>6520</v>
      </c>
      <c r="BD18" s="116">
        <v>45342</v>
      </c>
      <c r="BE18" s="104"/>
      <c r="BF18" s="104"/>
      <c r="BG18" s="104"/>
      <c r="BH18" s="104"/>
      <c r="BI18" s="104"/>
      <c r="BJ18" s="874">
        <f t="shared" si="11"/>
        <v>6520</v>
      </c>
      <c r="BK18" s="101"/>
      <c r="BL18" s="101"/>
      <c r="BM18" s="116">
        <v>44012</v>
      </c>
      <c r="BN18" s="330">
        <v>44134</v>
      </c>
      <c r="BO18" s="333" t="s">
        <v>245</v>
      </c>
      <c r="BP18" s="94">
        <f t="shared" si="12"/>
        <v>6520</v>
      </c>
      <c r="BQ18" s="97" t="str">
        <f t="shared" si="13"/>
        <v>16300 - 16300 - 16300</v>
      </c>
      <c r="BR18" s="97" t="str">
        <f t="shared" si="14"/>
        <v>0 - 0 - 0</v>
      </c>
      <c r="BS18" s="715">
        <f t="shared" si="15"/>
        <v>6520</v>
      </c>
      <c r="BT18" s="736">
        <f t="shared" si="16"/>
        <v>0</v>
      </c>
      <c r="BU18" s="735" t="s">
        <v>246</v>
      </c>
      <c r="BV18" s="873">
        <v>45412</v>
      </c>
      <c r="BW18">
        <f t="shared" si="17"/>
        <v>1278</v>
      </c>
    </row>
    <row r="19" spans="2:75" customFormat="1" ht="210" hidden="1" x14ac:dyDescent="0.2">
      <c r="B19" s="101" t="str">
        <f t="shared" si="0"/>
        <v>Active</v>
      </c>
      <c r="C19" s="779" t="s">
        <v>247</v>
      </c>
      <c r="D19" s="101" t="s">
        <v>151</v>
      </c>
      <c r="E19" s="103" t="s">
        <v>123</v>
      </c>
      <c r="F19" s="102" t="s">
        <v>124</v>
      </c>
      <c r="G19" s="103" t="s">
        <v>125</v>
      </c>
      <c r="H19" s="101" t="str">
        <f t="shared" si="1"/>
        <v>RT-6-001-013</v>
      </c>
      <c r="I19" s="103" t="s">
        <v>125</v>
      </c>
      <c r="J19" s="103" t="s">
        <v>126</v>
      </c>
      <c r="K19" s="101" t="s">
        <v>248</v>
      </c>
      <c r="L19" s="123" t="s">
        <v>249</v>
      </c>
      <c r="M19" s="104" t="s">
        <v>206</v>
      </c>
      <c r="N19" s="105">
        <v>10000</v>
      </c>
      <c r="O19" s="106" t="str" cm="1">
        <f t="array" ref="O19">_xlfn.IFS(N19="","",ABS(N19)&lt;='Risk Matrices'!$E$7,'Risk Matrices'!$E$5,ABS(N19)&lt;='Risk Matrices'!$F$7,'Risk Matrices'!$F$5,ABS(N19)&lt;='Risk Matrices'!$G$7,'Risk Matrices'!$G$5,ABS(N19)&lt;='Risk Matrices'!$H$7,'Risk Matrices'!$H$5,ABS(N19)&gt;'Risk Matrices'!$H$7,'Risk Matrices'!$I$5)</f>
        <v>Critical</v>
      </c>
      <c r="P19" s="101">
        <v>0</v>
      </c>
      <c r="Q19" s="101" t="str" cm="1">
        <f t="array" ref="Q19">_xlfn.IFS(P19="","",ABS(P19)&lt;='Risk Matrices'!$E$8,'Risk Matrices'!$E$5,ABS(P19)&lt;='Risk Matrices'!$F$8,'Risk Matrices'!$F$5,ABS(P19)&lt;='Risk Matrices'!$G$8,'Risk Matrices'!$G$5,ABS(P19)&lt;='Risk Matrices'!$H$8,'Risk Matrices'!$H$5,ABS(P19)&gt;'Risk Matrices'!$H$8,'Risk Matrices'!$I$5)</f>
        <v>Negligible</v>
      </c>
      <c r="R19" s="104" t="s">
        <v>207</v>
      </c>
      <c r="S19" s="106">
        <f t="shared" si="2"/>
        <v>2</v>
      </c>
      <c r="T19" s="106" cm="1">
        <f t="array" ref="T19">_xlfn.IFS(O19='Risk Matrices'!$D$28,'Risk Matrices'!$D$29,O19='Risk Matrices'!$E$28,'Risk Matrices'!$E$29,O19='Risk Matrices'!$F$28,'Risk Matrices'!$F$29,O19='Risk Matrices'!$G$28,'Risk Matrices'!$G$29,O19='Risk Matrices'!$H$28,'Risk Matrices'!$H$29)</f>
        <v>4</v>
      </c>
      <c r="U19" s="106">
        <f t="shared" si="3"/>
        <v>1</v>
      </c>
      <c r="V19" s="106">
        <f t="shared" si="4"/>
        <v>1</v>
      </c>
      <c r="W19" s="106">
        <f t="shared" si="5"/>
        <v>4</v>
      </c>
      <c r="X19" s="106">
        <f t="shared" si="6"/>
        <v>8</v>
      </c>
      <c r="Y19" s="107" t="str">
        <f t="shared" si="7"/>
        <v>Moderate</v>
      </c>
      <c r="Z19" s="123" t="s">
        <v>250</v>
      </c>
      <c r="AA19" s="108">
        <f t="shared" si="18"/>
        <v>0.17</v>
      </c>
      <c r="AB19" s="109">
        <f t="shared" si="19"/>
        <v>1700.0000000000002</v>
      </c>
      <c r="AC19" s="109" t="s">
        <v>143</v>
      </c>
      <c r="AD19" s="104" t="s">
        <v>143</v>
      </c>
      <c r="AE19" s="104"/>
      <c r="AF19" s="103" t="s">
        <v>175</v>
      </c>
      <c r="AG19" s="103"/>
      <c r="AH19" s="101" t="s">
        <v>146</v>
      </c>
      <c r="AI19" s="878">
        <v>0.2</v>
      </c>
      <c r="AJ19" s="101">
        <v>-21700</v>
      </c>
      <c r="AK19" s="101">
        <v>1</v>
      </c>
      <c r="AL19" s="101">
        <v>21700</v>
      </c>
      <c r="AM19" s="101">
        <v>0</v>
      </c>
      <c r="AN19" s="101">
        <v>0</v>
      </c>
      <c r="AO19" s="101">
        <v>0</v>
      </c>
      <c r="AP19" s="112" t="str">
        <f>IF(OR(ISBLANK(AI19),AI19=0),"INSERT LIKELIHOOD",IF(ABS(AI19)&lt;='Risk Matrices'!$D$22,'Risk Matrices'!$C$21,IF(ABS(AI19)&lt;='Risk Matrices'!$D$19,'Risk Matrices'!$C$18,IF(ABS(AI19)&lt;='Risk Matrices'!$D$16,'Risk Matrices'!$C$15,IF(ABS(AI19)&lt;='Risk Matrices'!$D$13,'Risk Matrices'!$C$12,'Risk Matrices'!$C$10)))))</f>
        <v>Low</v>
      </c>
      <c r="AQ19" s="112" t="str">
        <f>IF(OR(ISBLANK(AK19),AK19=0),"None",IF(ABS(AK19)&lt;='Risk Matrices'!$E$7,'Risk Matrices'!$E$5,IF(ABS(AK19)&lt;='Risk Matrices'!$G$7,'Risk Matrices'!$G$5,IF(ABS(AK19)&lt;='Risk Matrices'!$H$7,'Risk Matrices'!$H$5,'Risk Matrices'!$I$5))))</f>
        <v>Negligible</v>
      </c>
      <c r="AR19" s="112" t="str">
        <f>IF(AN19="","",IF(ABS(AN19)&lt;='Risk Matrices'!$E$8,"Negligible",IF(ABS(AN19)&lt;='Risk Matrices'!$F$8,"Marginal",IF(ABS(AN19)&lt;='Risk Matrices'!$G$8,"Significant",IF(ABS(AN19)&lt;='Risk Matrices'!$H$8,"Critical","Crisis")))))</f>
        <v>Negligible</v>
      </c>
      <c r="AS19" s="103" t="s">
        <v>130</v>
      </c>
      <c r="AT19" s="298">
        <f>IF(OR(ISBLANK(AI19),AI19=0),0,VLOOKUP(AP19,'Risk Matrices'!$B$30:$C$34,2,0))</f>
        <v>2</v>
      </c>
      <c r="AU19" s="298">
        <f>IF(OR(ISBLANK(AK19),AK19=0),0,HLOOKUP(AQ19,'Risk Matrices'!$D$28:$H$29,2,0))</f>
        <v>1</v>
      </c>
      <c r="AV19" s="298">
        <f>IF(OR(ISBLANK(AR19),AR19=0),0,HLOOKUP(AR19,'Risk Matrices'!$D$28:$H$29,2,0))</f>
        <v>1</v>
      </c>
      <c r="AW19" s="298">
        <f>IF(AS19="None",0,HLOOKUP(AS19,'Risk Matrices'!$D$28:$H$29,2,0))</f>
        <v>0</v>
      </c>
      <c r="AX19" s="106">
        <f t="shared" si="8"/>
        <v>1</v>
      </c>
      <c r="AY19" s="106">
        <f t="shared" si="9"/>
        <v>2</v>
      </c>
      <c r="AZ19" s="107" t="str">
        <f>IF(B19="Retired","Retired",IF(OR(ISBLANK(AY19),AY19=0),"TBD",IF(AY19&lt;='Risk Matrices'!$D$40,'Risk Matrices'!$B$40,IF(AY19&lt;='Risk Matrices'!$D$39,'Risk Matrices'!$B$39,'Risk Matrices'!$B$38))))</f>
        <v>Low</v>
      </c>
      <c r="BA19" s="104"/>
      <c r="BB19" s="122" t="s">
        <v>251</v>
      </c>
      <c r="BC19" s="109">
        <f t="shared" si="10"/>
        <v>0.2</v>
      </c>
      <c r="BD19" s="116">
        <v>45342</v>
      </c>
      <c r="BE19" s="104"/>
      <c r="BF19" s="104"/>
      <c r="BG19" s="104"/>
      <c r="BH19" s="104"/>
      <c r="BI19" s="104"/>
      <c r="BJ19" s="874">
        <f t="shared" si="11"/>
        <v>6.6666666666666666E-2</v>
      </c>
      <c r="BK19" s="101"/>
      <c r="BL19" s="101"/>
      <c r="BM19" s="116">
        <v>44247</v>
      </c>
      <c r="BN19" s="330">
        <v>44466</v>
      </c>
      <c r="BO19" s="333" t="s">
        <v>252</v>
      </c>
      <c r="BP19" s="94">
        <f t="shared" si="12"/>
        <v>0.13333333333333333</v>
      </c>
      <c r="BQ19" s="97" t="str">
        <f t="shared" si="13"/>
        <v>-21700 - 1 - 21700</v>
      </c>
      <c r="BR19" s="97" t="str">
        <f t="shared" si="14"/>
        <v>0 - 0 - 0</v>
      </c>
      <c r="BS19" s="715">
        <f t="shared" si="15"/>
        <v>6.6666666666666666E-2</v>
      </c>
      <c r="BT19" s="736">
        <f t="shared" si="16"/>
        <v>0</v>
      </c>
      <c r="BU19" s="735" t="s">
        <v>253</v>
      </c>
      <c r="BV19" s="873">
        <v>45382</v>
      </c>
      <c r="BW19">
        <f t="shared" si="17"/>
        <v>916</v>
      </c>
    </row>
    <row r="20" spans="2:75" customFormat="1" ht="225" hidden="1" x14ac:dyDescent="0.2">
      <c r="B20" s="101" t="str">
        <f t="shared" si="0"/>
        <v>Active</v>
      </c>
      <c r="C20" s="779" t="s">
        <v>254</v>
      </c>
      <c r="D20" s="101" t="s">
        <v>151</v>
      </c>
      <c r="E20" s="103" t="s">
        <v>123</v>
      </c>
      <c r="F20" s="102" t="s">
        <v>124</v>
      </c>
      <c r="G20" s="103" t="s">
        <v>125</v>
      </c>
      <c r="H20" s="101" t="str">
        <f t="shared" si="1"/>
        <v>RT-6-001-014</v>
      </c>
      <c r="I20" s="103" t="s">
        <v>125</v>
      </c>
      <c r="J20" s="103" t="s">
        <v>126</v>
      </c>
      <c r="K20" s="721" t="s">
        <v>255</v>
      </c>
      <c r="L20" s="125" t="s">
        <v>256</v>
      </c>
      <c r="M20" s="104" t="s">
        <v>206</v>
      </c>
      <c r="N20" s="105">
        <v>24000</v>
      </c>
      <c r="O20" s="106" t="str" cm="1">
        <f t="array" ref="O20">_xlfn.IFS(N20="","",ABS(N20)&lt;='Risk Matrices'!$E$7,'Risk Matrices'!$E$5,ABS(N20)&lt;='Risk Matrices'!$F$7,'Risk Matrices'!$F$5,ABS(N20)&lt;='Risk Matrices'!$G$7,'Risk Matrices'!$G$5,ABS(N20)&lt;='Risk Matrices'!$H$7,'Risk Matrices'!$H$5,ABS(N20)&gt;'Risk Matrices'!$H$7,'Risk Matrices'!$I$5)</f>
        <v>Critical</v>
      </c>
      <c r="P20" s="101">
        <v>0</v>
      </c>
      <c r="Q20" s="101" t="str" cm="1">
        <f t="array" ref="Q20">_xlfn.IFS(P20="","",ABS(P20)&lt;='Risk Matrices'!$E$8,'Risk Matrices'!$E$5,ABS(P20)&lt;='Risk Matrices'!$F$8,'Risk Matrices'!$F$5,ABS(P20)&lt;='Risk Matrices'!$G$8,'Risk Matrices'!$G$5,ABS(P20)&lt;='Risk Matrices'!$H$8,'Risk Matrices'!$H$5,ABS(P20)&gt;'Risk Matrices'!$H$8,'Risk Matrices'!$I$5)</f>
        <v>Negligible</v>
      </c>
      <c r="R20" s="104" t="s">
        <v>207</v>
      </c>
      <c r="S20" s="106">
        <f t="shared" si="2"/>
        <v>2</v>
      </c>
      <c r="T20" s="106" cm="1">
        <f t="array" ref="T20">_xlfn.IFS(O20='Risk Matrices'!$D$28,'Risk Matrices'!$D$29,O20='Risk Matrices'!$E$28,'Risk Matrices'!$E$29,O20='Risk Matrices'!$F$28,'Risk Matrices'!$F$29,O20='Risk Matrices'!$G$28,'Risk Matrices'!$G$29,O20='Risk Matrices'!$H$28,'Risk Matrices'!$H$29)</f>
        <v>4</v>
      </c>
      <c r="U20" s="106">
        <f t="shared" si="3"/>
        <v>1</v>
      </c>
      <c r="V20" s="106">
        <f t="shared" si="4"/>
        <v>1</v>
      </c>
      <c r="W20" s="106">
        <f t="shared" si="5"/>
        <v>4</v>
      </c>
      <c r="X20" s="106">
        <f t="shared" si="6"/>
        <v>8</v>
      </c>
      <c r="Y20" s="107" t="str">
        <f t="shared" si="7"/>
        <v>Moderate</v>
      </c>
      <c r="Z20" s="123" t="s">
        <v>257</v>
      </c>
      <c r="AA20" s="108">
        <f t="shared" si="18"/>
        <v>0.17</v>
      </c>
      <c r="AB20" s="109">
        <f t="shared" si="19"/>
        <v>4080.0000000000005</v>
      </c>
      <c r="AC20" s="109" t="s">
        <v>155</v>
      </c>
      <c r="AD20" s="104" t="s">
        <v>133</v>
      </c>
      <c r="AE20" s="104"/>
      <c r="AF20" s="116" t="s">
        <v>134</v>
      </c>
      <c r="AG20" s="116"/>
      <c r="AH20" s="101" t="s">
        <v>135</v>
      </c>
      <c r="AI20" s="878">
        <v>0.3</v>
      </c>
      <c r="AJ20" s="101">
        <v>3600</v>
      </c>
      <c r="AK20" s="101">
        <v>7200</v>
      </c>
      <c r="AL20" s="101">
        <v>14400</v>
      </c>
      <c r="AM20" s="101">
        <v>0</v>
      </c>
      <c r="AN20" s="101">
        <v>0</v>
      </c>
      <c r="AO20" s="101">
        <v>0</v>
      </c>
      <c r="AP20" s="112" t="str">
        <f>IF(OR(ISBLANK(AI20),AI20=0),"INSERT LIKELIHOOD",IF(ABS(AI20)&lt;='Risk Matrices'!$D$22,'Risk Matrices'!$C$21,IF(ABS(AI20)&lt;='Risk Matrices'!$D$19,'Risk Matrices'!$C$18,IF(ABS(AI20)&lt;='Risk Matrices'!$D$16,'Risk Matrices'!$C$15,IF(ABS(AI20)&lt;='Risk Matrices'!$D$13,'Risk Matrices'!$C$12,'Risk Matrices'!$C$10)))))</f>
        <v>Moderate</v>
      </c>
      <c r="AQ20" s="112" t="str">
        <f>IF(OR(ISBLANK(AK20),AK20=0),"None",IF(ABS(AK20)&lt;='Risk Matrices'!$E$7,'Risk Matrices'!$E$5,IF(ABS(AK20)&lt;='Risk Matrices'!$G$7,'Risk Matrices'!$G$5,IF(ABS(AK20)&lt;='Risk Matrices'!$H$7,'Risk Matrices'!$H$5,'Risk Matrices'!$I$5))))</f>
        <v>Critical</v>
      </c>
      <c r="AR20" s="112" t="str">
        <f>IF(AN20="","",IF(ABS(AN20)&lt;='Risk Matrices'!$E$8,"Negligible",IF(ABS(AN20)&lt;='Risk Matrices'!$F$8,"Marginal",IF(ABS(AN20)&lt;='Risk Matrices'!$G$8,"Significant",IF(ABS(AN20)&lt;='Risk Matrices'!$H$8,"Critical","Crisis")))))</f>
        <v>Negligible</v>
      </c>
      <c r="AS20" s="103" t="s">
        <v>130</v>
      </c>
      <c r="AT20" s="298">
        <f>IF(OR(ISBLANK(AI20),AI20=0),0,VLOOKUP(AP20,'Risk Matrices'!$B$30:$C$34,2,0))</f>
        <v>3</v>
      </c>
      <c r="AU20" s="298">
        <f>IF(OR(ISBLANK(AK20),AK20=0),0,HLOOKUP(AQ20,'Risk Matrices'!$D$28:$H$29,2,0))</f>
        <v>4</v>
      </c>
      <c r="AV20" s="298">
        <f>IF(OR(ISBLANK(AR20),AR20=0),0,HLOOKUP(AR20,'Risk Matrices'!$D$28:$H$29,2,0))</f>
        <v>1</v>
      </c>
      <c r="AW20" s="298">
        <f>IF(AS20="None",0,HLOOKUP(AS20,'Risk Matrices'!$D$28:$H$29,2,0))</f>
        <v>0</v>
      </c>
      <c r="AX20" s="106">
        <f t="shared" si="8"/>
        <v>4</v>
      </c>
      <c r="AY20" s="106">
        <f t="shared" si="9"/>
        <v>12</v>
      </c>
      <c r="AZ20" s="107" t="str">
        <f>IF(B20="Retired","Retired",IF(OR(ISBLANK(AY20),AY20=0),"TBD",IF(AY20&lt;='Risk Matrices'!$D$40,'Risk Matrices'!$B$40,IF(AY20&lt;='Risk Matrices'!$D$39,'Risk Matrices'!$B$39,'Risk Matrices'!$B$38))))</f>
        <v>Moderate</v>
      </c>
      <c r="BA20" s="104"/>
      <c r="BB20" s="122" t="s">
        <v>257</v>
      </c>
      <c r="BC20" s="109">
        <f t="shared" si="10"/>
        <v>2160</v>
      </c>
      <c r="BD20" s="116">
        <v>45342</v>
      </c>
      <c r="BE20" s="104"/>
      <c r="BF20" s="104"/>
      <c r="BG20" s="104"/>
      <c r="BH20" s="104"/>
      <c r="BI20" s="104"/>
      <c r="BJ20" s="874">
        <f t="shared" si="11"/>
        <v>2520</v>
      </c>
      <c r="BK20" s="101"/>
      <c r="BL20" s="101"/>
      <c r="BM20" s="116">
        <v>44247</v>
      </c>
      <c r="BN20" s="330">
        <v>44466</v>
      </c>
      <c r="BO20" s="333"/>
      <c r="BP20" s="94">
        <f t="shared" si="12"/>
        <v>2340</v>
      </c>
      <c r="BQ20" s="97" t="str">
        <f t="shared" si="13"/>
        <v>3600 - 7200 - 14400</v>
      </c>
      <c r="BR20" s="97" t="str">
        <f t="shared" si="14"/>
        <v>0 - 0 - 0</v>
      </c>
      <c r="BS20" s="715">
        <f t="shared" si="15"/>
        <v>2520</v>
      </c>
      <c r="BT20" s="736">
        <f t="shared" si="16"/>
        <v>0</v>
      </c>
      <c r="BU20" s="735" t="s">
        <v>258</v>
      </c>
      <c r="BV20" s="873">
        <v>45382</v>
      </c>
      <c r="BW20">
        <f t="shared" si="17"/>
        <v>916</v>
      </c>
    </row>
    <row r="21" spans="2:75" customFormat="1" ht="60" hidden="1" x14ac:dyDescent="0.2">
      <c r="B21" s="101" t="str">
        <f t="shared" si="0"/>
        <v>Active</v>
      </c>
      <c r="C21" s="779" t="s">
        <v>259</v>
      </c>
      <c r="D21" s="101" t="s">
        <v>151</v>
      </c>
      <c r="E21" s="103" t="s">
        <v>123</v>
      </c>
      <c r="F21" s="102" t="s">
        <v>124</v>
      </c>
      <c r="G21" s="103" t="s">
        <v>125</v>
      </c>
      <c r="H21" s="101" t="str">
        <f t="shared" si="1"/>
        <v>RT-6-001-015</v>
      </c>
      <c r="I21" s="120" t="s">
        <v>260</v>
      </c>
      <c r="J21" s="103" t="s">
        <v>126</v>
      </c>
      <c r="K21" s="102" t="s">
        <v>261</v>
      </c>
      <c r="L21" s="104" t="s">
        <v>262</v>
      </c>
      <c r="M21" s="103" t="s">
        <v>164</v>
      </c>
      <c r="N21" s="105">
        <v>5000</v>
      </c>
      <c r="O21" s="106" t="str" cm="1">
        <f t="array" ref="O21">_xlfn.IFS(N21="","",ABS(N21)&lt;='Risk Matrices'!$E$7,'Risk Matrices'!$E$5,ABS(N21)&lt;='Risk Matrices'!$F$7,'Risk Matrices'!$F$5,ABS(N21)&lt;='Risk Matrices'!$G$7,'Risk Matrices'!$G$5,ABS(N21)&lt;='Risk Matrices'!$H$7,'Risk Matrices'!$H$5,ABS(N21)&gt;'Risk Matrices'!$H$7,'Risk Matrices'!$I$5)</f>
        <v>Significant</v>
      </c>
      <c r="P21" s="106">
        <v>6</v>
      </c>
      <c r="Q21" s="101" t="str" cm="1">
        <f t="array" ref="Q21">_xlfn.IFS(P21="","",ABS(P21)&lt;='Risk Matrices'!$E$8,'Risk Matrices'!$E$5,ABS(P21)&lt;='Risk Matrices'!$F$8,'Risk Matrices'!$F$5,ABS(P21)&lt;='Risk Matrices'!$G$8,'Risk Matrices'!$G$5,ABS(P21)&lt;='Risk Matrices'!$H$8,'Risk Matrices'!$H$5,ABS(P21)&gt;'Risk Matrices'!$H$8,'Risk Matrices'!$I$5)</f>
        <v>Marginal</v>
      </c>
      <c r="R21" s="102" t="s">
        <v>130</v>
      </c>
      <c r="S21" s="106">
        <f t="shared" si="2"/>
        <v>2</v>
      </c>
      <c r="T21" s="106" cm="1">
        <f t="array" ref="T21">_xlfn.IFS(O21='Risk Matrices'!$D$28,'Risk Matrices'!$D$29,O21='Risk Matrices'!$E$28,'Risk Matrices'!$E$29,O21='Risk Matrices'!$F$28,'Risk Matrices'!$F$29,O21='Risk Matrices'!$G$28,'Risk Matrices'!$G$29,O21='Risk Matrices'!$H$28,'Risk Matrices'!$H$29)</f>
        <v>3</v>
      </c>
      <c r="U21" s="106">
        <f t="shared" si="3"/>
        <v>2</v>
      </c>
      <c r="V21" s="106">
        <f t="shared" si="4"/>
        <v>0</v>
      </c>
      <c r="W21" s="106">
        <f t="shared" si="5"/>
        <v>3</v>
      </c>
      <c r="X21" s="106">
        <f t="shared" si="6"/>
        <v>6</v>
      </c>
      <c r="Y21" s="107" t="str">
        <f t="shared" si="7"/>
        <v>Low</v>
      </c>
      <c r="Z21" s="104" t="s">
        <v>263</v>
      </c>
      <c r="AA21" s="108">
        <f t="shared" si="18"/>
        <v>0.17</v>
      </c>
      <c r="AB21" s="109">
        <f t="shared" si="19"/>
        <v>850.00000000000011</v>
      </c>
      <c r="AC21" s="109" t="s">
        <v>155</v>
      </c>
      <c r="AD21" s="104" t="s">
        <v>264</v>
      </c>
      <c r="AE21" s="104"/>
      <c r="AF21" s="103" t="s">
        <v>265</v>
      </c>
      <c r="AG21" s="103"/>
      <c r="AH21" s="101" t="s">
        <v>146</v>
      </c>
      <c r="AI21" s="112">
        <v>0.1</v>
      </c>
      <c r="AJ21" s="106">
        <v>5000</v>
      </c>
      <c r="AK21" s="106">
        <v>5000</v>
      </c>
      <c r="AL21" s="106">
        <v>5000</v>
      </c>
      <c r="AM21" s="106">
        <v>2</v>
      </c>
      <c r="AN21" s="106">
        <v>5</v>
      </c>
      <c r="AO21" s="106">
        <v>8</v>
      </c>
      <c r="AP21" s="112" t="str">
        <f>IF(OR(ISBLANK(AI21),AI21=0),"INSERT LIKELIHOOD",IF(ABS(AI21)&lt;='Risk Matrices'!$D$22,'Risk Matrices'!$C$21,IF(ABS(AI21)&lt;='Risk Matrices'!$D$19,'Risk Matrices'!$C$18,IF(ABS(AI21)&lt;='Risk Matrices'!$D$16,'Risk Matrices'!$C$15,IF(ABS(AI21)&lt;='Risk Matrices'!$D$13,'Risk Matrices'!$C$12,'Risk Matrices'!$C$10)))))</f>
        <v>Very Low</v>
      </c>
      <c r="AQ21" s="112" t="str">
        <f>IF(OR(ISBLANK(AK21),AK21=0),"None",IF(ABS(AK21)&lt;='Risk Matrices'!$E$7,'Risk Matrices'!$E$5,IF(ABS(AK21)&lt;='Risk Matrices'!$G$7,'Risk Matrices'!$G$5,IF(ABS(AK21)&lt;='Risk Matrices'!$H$7,'Risk Matrices'!$H$5,'Risk Matrices'!$I$5))))</f>
        <v>Significant</v>
      </c>
      <c r="AR21" s="112" t="str">
        <f>IF(AN21="","",IF(ABS(AN21)&lt;='Risk Matrices'!$E$8,"Negligible",IF(ABS(AN21)&lt;='Risk Matrices'!$F$8,"Marginal",IF(ABS(AN21)&lt;='Risk Matrices'!$G$8,"Significant",IF(ABS(AN21)&lt;='Risk Matrices'!$H$8,"Critical","Crisis")))))</f>
        <v>Marginal</v>
      </c>
      <c r="AS21" s="103" t="s">
        <v>130</v>
      </c>
      <c r="AT21" s="298">
        <f>IF(OR(ISBLANK(AI21),AI21=0),0,VLOOKUP(AP21,'Risk Matrices'!$B$30:$C$34,2,0))</f>
        <v>1</v>
      </c>
      <c r="AU21" s="298">
        <f>IF(OR(ISBLANK(AK21),AK21=0),0,HLOOKUP(AQ21,'Risk Matrices'!$D$28:$H$29,2,0))</f>
        <v>3</v>
      </c>
      <c r="AV21" s="298">
        <f>IF(OR(ISBLANK(AR21),AR21=0),0,HLOOKUP(AR21,'Risk Matrices'!$D$28:$H$29,2,0))</f>
        <v>2</v>
      </c>
      <c r="AW21" s="298">
        <f>IF(AS21="None",0,HLOOKUP(AS21,'Risk Matrices'!$D$28:$H$29,2,0))</f>
        <v>0</v>
      </c>
      <c r="AX21" s="106">
        <f t="shared" si="8"/>
        <v>3</v>
      </c>
      <c r="AY21" s="106">
        <f t="shared" si="9"/>
        <v>3</v>
      </c>
      <c r="AZ21" s="107" t="str">
        <f>IF(B21="Retired","Retired",IF(OR(ISBLANK(AY21),AY21=0),"TBD",IF(AY21&lt;='Risk Matrices'!$D$40,'Risk Matrices'!$B$40,IF(AY21&lt;='Risk Matrices'!$D$39,'Risk Matrices'!$B$39,'Risk Matrices'!$B$38))))</f>
        <v>Low</v>
      </c>
      <c r="BA21" s="112"/>
      <c r="BB21" s="113" t="s">
        <v>266</v>
      </c>
      <c r="BC21" s="109">
        <f t="shared" si="10"/>
        <v>500</v>
      </c>
      <c r="BD21" s="929">
        <v>45320</v>
      </c>
      <c r="BE21" s="114"/>
      <c r="BF21" s="115"/>
      <c r="BG21" s="115"/>
      <c r="BH21" s="115"/>
      <c r="BI21" s="115"/>
      <c r="BJ21" s="874">
        <f t="shared" si="11"/>
        <v>500</v>
      </c>
      <c r="BK21" s="101"/>
      <c r="BL21" s="101"/>
      <c r="BM21" s="116">
        <v>44012</v>
      </c>
      <c r="BN21" s="330">
        <v>44134</v>
      </c>
      <c r="BO21" s="333" t="s">
        <v>267</v>
      </c>
      <c r="BP21" s="94">
        <f t="shared" si="12"/>
        <v>500</v>
      </c>
      <c r="BQ21" s="97" t="str">
        <f t="shared" si="13"/>
        <v>5000 - 5000 - 5000</v>
      </c>
      <c r="BR21" s="97" t="str">
        <f t="shared" si="14"/>
        <v>2 - 5 - 8</v>
      </c>
      <c r="BS21" s="715">
        <f t="shared" si="15"/>
        <v>500</v>
      </c>
      <c r="BT21" s="736">
        <f t="shared" si="16"/>
        <v>0.5</v>
      </c>
      <c r="BU21" s="735" t="s">
        <v>268</v>
      </c>
      <c r="BV21" s="873">
        <v>45382</v>
      </c>
      <c r="BW21">
        <f t="shared" si="17"/>
        <v>1248</v>
      </c>
    </row>
    <row r="22" spans="2:75" customFormat="1" ht="210" hidden="1" x14ac:dyDescent="0.2">
      <c r="B22" s="101" t="str">
        <f t="shared" si="0"/>
        <v>Active</v>
      </c>
      <c r="C22" s="779" t="s">
        <v>269</v>
      </c>
      <c r="D22" s="101" t="s">
        <v>151</v>
      </c>
      <c r="E22" s="103" t="s">
        <v>123</v>
      </c>
      <c r="F22" s="102" t="s">
        <v>124</v>
      </c>
      <c r="G22" s="103" t="s">
        <v>125</v>
      </c>
      <c r="H22" s="101" t="str">
        <f t="shared" si="1"/>
        <v>RT-6-001-016</v>
      </c>
      <c r="I22" s="106" t="s">
        <v>194</v>
      </c>
      <c r="J22" s="103" t="s">
        <v>126</v>
      </c>
      <c r="K22" s="101" t="s">
        <v>270</v>
      </c>
      <c r="L22" s="123" t="s">
        <v>271</v>
      </c>
      <c r="M22" s="104" t="s">
        <v>206</v>
      </c>
      <c r="N22" s="105">
        <v>1000</v>
      </c>
      <c r="O22" s="106" t="str" cm="1">
        <f t="array" ref="O22">_xlfn.IFS(N22="","",ABS(N22)&lt;='Risk Matrices'!$E$7,'Risk Matrices'!$E$5,ABS(N22)&lt;='Risk Matrices'!$F$7,'Risk Matrices'!$F$5,ABS(N22)&lt;='Risk Matrices'!$G$7,'Risk Matrices'!$G$5,ABS(N22)&lt;='Risk Matrices'!$H$7,'Risk Matrices'!$H$5,ABS(N22)&gt;'Risk Matrices'!$H$7,'Risk Matrices'!$I$5)</f>
        <v>Marginal</v>
      </c>
      <c r="P22" s="101">
        <v>0</v>
      </c>
      <c r="Q22" s="101" t="str" cm="1">
        <f t="array" ref="Q22">_xlfn.IFS(P22="","",ABS(P22)&lt;='Risk Matrices'!$E$8,'Risk Matrices'!$E$5,ABS(P22)&lt;='Risk Matrices'!$F$8,'Risk Matrices'!$F$5,ABS(P22)&lt;='Risk Matrices'!$G$8,'Risk Matrices'!$G$5,ABS(P22)&lt;='Risk Matrices'!$H$8,'Risk Matrices'!$H$5,ABS(P22)&gt;'Risk Matrices'!$H$8,'Risk Matrices'!$I$5)</f>
        <v>Negligible</v>
      </c>
      <c r="R22" s="104" t="s">
        <v>207</v>
      </c>
      <c r="S22" s="106">
        <f t="shared" si="2"/>
        <v>2</v>
      </c>
      <c r="T22" s="106" cm="1">
        <f t="array" ref="T22">_xlfn.IFS(O22='Risk Matrices'!$D$28,'Risk Matrices'!$D$29,O22='Risk Matrices'!$E$28,'Risk Matrices'!$E$29,O22='Risk Matrices'!$F$28,'Risk Matrices'!$F$29,O22='Risk Matrices'!$G$28,'Risk Matrices'!$G$29,O22='Risk Matrices'!$H$28,'Risk Matrices'!$H$29)</f>
        <v>2</v>
      </c>
      <c r="U22" s="106">
        <f t="shared" si="3"/>
        <v>1</v>
      </c>
      <c r="V22" s="106">
        <f t="shared" si="4"/>
        <v>1</v>
      </c>
      <c r="W22" s="106">
        <f t="shared" si="5"/>
        <v>2</v>
      </c>
      <c r="X22" s="106">
        <f t="shared" si="6"/>
        <v>4</v>
      </c>
      <c r="Y22" s="107" t="str">
        <f t="shared" si="7"/>
        <v>Low</v>
      </c>
      <c r="Z22" s="123" t="s">
        <v>272</v>
      </c>
      <c r="AA22" s="108">
        <f t="shared" si="18"/>
        <v>0.17</v>
      </c>
      <c r="AB22" s="109">
        <f t="shared" si="19"/>
        <v>170</v>
      </c>
      <c r="AC22" s="109" t="s">
        <v>155</v>
      </c>
      <c r="AD22" s="104" t="s">
        <v>209</v>
      </c>
      <c r="AE22" s="104"/>
      <c r="AF22" s="103" t="s">
        <v>273</v>
      </c>
      <c r="AG22" s="103"/>
      <c r="AH22" s="101" t="s">
        <v>146</v>
      </c>
      <c r="AI22" s="878">
        <v>0.3</v>
      </c>
      <c r="AJ22" s="101">
        <v>0</v>
      </c>
      <c r="AK22" s="101">
        <v>1000</v>
      </c>
      <c r="AL22" s="101">
        <v>1500</v>
      </c>
      <c r="AM22" s="101">
        <v>0</v>
      </c>
      <c r="AN22" s="101">
        <v>0</v>
      </c>
      <c r="AO22" s="101">
        <v>0</v>
      </c>
      <c r="AP22" s="112" t="str">
        <f>IF(OR(ISBLANK(AI22),AI22=0),"INSERT LIKELIHOOD",IF(ABS(AI22)&lt;='Risk Matrices'!$D$22,'Risk Matrices'!$C$21,IF(ABS(AI22)&lt;='Risk Matrices'!$D$19,'Risk Matrices'!$C$18,IF(ABS(AI22)&lt;='Risk Matrices'!$D$16,'Risk Matrices'!$C$15,IF(ABS(AI22)&lt;='Risk Matrices'!$D$13,'Risk Matrices'!$C$12,'Risk Matrices'!$C$10)))))</f>
        <v>Moderate</v>
      </c>
      <c r="AQ22" s="112" t="str">
        <f>IF(OR(ISBLANK(AK22),AK22=0),"None",IF(ABS(AK22)&lt;='Risk Matrices'!$E$7,'Risk Matrices'!$E$5,IF(ABS(AK22)&lt;='Risk Matrices'!$G$7,'Risk Matrices'!$G$5,IF(ABS(AK22)&lt;='Risk Matrices'!$H$7,'Risk Matrices'!$H$5,'Risk Matrices'!$I$5))))</f>
        <v>Significant</v>
      </c>
      <c r="AR22" s="112" t="str">
        <f>IF(AN22="","",IF(ABS(AN22)&lt;='Risk Matrices'!$E$8,"Negligible",IF(ABS(AN22)&lt;='Risk Matrices'!$F$8,"Marginal",IF(ABS(AN22)&lt;='Risk Matrices'!$G$8,"Significant",IF(ABS(AN22)&lt;='Risk Matrices'!$H$8,"Critical","Crisis")))))</f>
        <v>Negligible</v>
      </c>
      <c r="AS22" s="103" t="s">
        <v>130</v>
      </c>
      <c r="AT22" s="298">
        <f>IF(OR(ISBLANK(AI22),AI22=0),0,VLOOKUP(AP22,'Risk Matrices'!$B$30:$C$34,2,0))</f>
        <v>3</v>
      </c>
      <c r="AU22" s="298">
        <f>IF(OR(ISBLANK(AK22),AK22=0),0,HLOOKUP(AQ22,'Risk Matrices'!$D$28:$H$29,2,0))</f>
        <v>3</v>
      </c>
      <c r="AV22" s="298">
        <f>IF(OR(ISBLANK(AR22),AR22=0),0,HLOOKUP(AR22,'Risk Matrices'!$D$28:$H$29,2,0))</f>
        <v>1</v>
      </c>
      <c r="AW22" s="298">
        <f>IF(AS22="None",0,HLOOKUP(AS22,'Risk Matrices'!$D$28:$H$29,2,0))</f>
        <v>0</v>
      </c>
      <c r="AX22" s="106">
        <f t="shared" si="8"/>
        <v>3</v>
      </c>
      <c r="AY22" s="106">
        <f t="shared" si="9"/>
        <v>9</v>
      </c>
      <c r="AZ22" s="107" t="str">
        <f>IF(B22="Retired","Retired",IF(OR(ISBLANK(AY22),AY22=0),"TBD",IF(AY22&lt;='Risk Matrices'!$D$40,'Risk Matrices'!$B$40,IF(AY22&lt;='Risk Matrices'!$D$39,'Risk Matrices'!$B$39,'Risk Matrices'!$B$38))))</f>
        <v>Moderate</v>
      </c>
      <c r="BA22" s="104"/>
      <c r="BB22" s="122" t="s">
        <v>274</v>
      </c>
      <c r="BC22" s="109">
        <f t="shared" si="10"/>
        <v>300</v>
      </c>
      <c r="BD22" s="185">
        <v>45219</v>
      </c>
      <c r="BE22" s="104"/>
      <c r="BF22" s="104"/>
      <c r="BG22" s="104"/>
      <c r="BH22" s="104"/>
      <c r="BI22" s="104"/>
      <c r="BJ22" s="874">
        <f t="shared" si="11"/>
        <v>250</v>
      </c>
      <c r="BK22" s="101"/>
      <c r="BL22" s="101"/>
      <c r="BM22" s="116">
        <v>44247</v>
      </c>
      <c r="BN22" s="330">
        <v>44466</v>
      </c>
      <c r="BO22" s="333"/>
      <c r="BP22" s="94">
        <f t="shared" si="12"/>
        <v>275</v>
      </c>
      <c r="BQ22" s="97" t="str">
        <f t="shared" si="13"/>
        <v>0 - 1000 - 1500</v>
      </c>
      <c r="BR22" s="97" t="str">
        <f t="shared" si="14"/>
        <v>0 - 0 - 0</v>
      </c>
      <c r="BS22" s="715">
        <f t="shared" si="15"/>
        <v>250</v>
      </c>
      <c r="BT22" s="736">
        <f t="shared" si="16"/>
        <v>0</v>
      </c>
      <c r="BU22" s="735" t="s">
        <v>275</v>
      </c>
      <c r="BV22" s="873">
        <v>45382</v>
      </c>
      <c r="BW22">
        <f t="shared" si="17"/>
        <v>916</v>
      </c>
    </row>
    <row r="23" spans="2:75" customFormat="1" ht="91.25" hidden="1" customHeight="1" x14ac:dyDescent="0.2">
      <c r="B23" s="101" t="str">
        <f t="shared" si="0"/>
        <v>Active</v>
      </c>
      <c r="C23" s="779" t="s">
        <v>276</v>
      </c>
      <c r="D23" s="101" t="s">
        <v>151</v>
      </c>
      <c r="E23" s="103" t="s">
        <v>123</v>
      </c>
      <c r="F23" s="102" t="s">
        <v>124</v>
      </c>
      <c r="G23" s="103" t="s">
        <v>125</v>
      </c>
      <c r="H23" s="101" t="str">
        <f t="shared" si="1"/>
        <v>RT-6-001-017</v>
      </c>
      <c r="I23" s="103" t="s">
        <v>277</v>
      </c>
      <c r="J23" s="103" t="s">
        <v>126</v>
      </c>
      <c r="K23" s="101" t="s">
        <v>278</v>
      </c>
      <c r="L23" s="123" t="s">
        <v>279</v>
      </c>
      <c r="M23" s="103" t="s">
        <v>197</v>
      </c>
      <c r="N23" s="105">
        <v>40800</v>
      </c>
      <c r="O23" s="106" t="str" cm="1">
        <f t="array" ref="O23">_xlfn.IFS(N23="","",ABS(N23)&lt;='Risk Matrices'!$E$7,'Risk Matrices'!$E$5,ABS(N23)&lt;='Risk Matrices'!$F$7,'Risk Matrices'!$F$5,ABS(N23)&lt;='Risk Matrices'!$G$7,'Risk Matrices'!$G$5,ABS(N23)&lt;='Risk Matrices'!$H$7,'Risk Matrices'!$H$5,ABS(N23)&gt;'Risk Matrices'!$H$7,'Risk Matrices'!$I$5)</f>
        <v>Crisis</v>
      </c>
      <c r="P23" s="101">
        <v>12</v>
      </c>
      <c r="Q23" s="101" t="str" cm="1">
        <f t="array" ref="Q23">_xlfn.IFS(P23="","",ABS(P23)&lt;='Risk Matrices'!$E$8,'Risk Matrices'!$E$5,ABS(P23)&lt;='Risk Matrices'!$F$8,'Risk Matrices'!$F$5,ABS(P23)&lt;='Risk Matrices'!$G$8,'Risk Matrices'!$G$5,ABS(P23)&lt;='Risk Matrices'!$H$8,'Risk Matrices'!$H$5,ABS(P23)&gt;'Risk Matrices'!$H$8,'Risk Matrices'!$I$5)</f>
        <v>Significant</v>
      </c>
      <c r="R23" s="102" t="s">
        <v>280</v>
      </c>
      <c r="S23" s="106">
        <f t="shared" si="2"/>
        <v>5</v>
      </c>
      <c r="T23" s="106" cm="1">
        <f t="array" ref="T23">_xlfn.IFS(O23='Risk Matrices'!$D$28,'Risk Matrices'!$D$29,O23='Risk Matrices'!$E$28,'Risk Matrices'!$E$29,O23='Risk Matrices'!$F$28,'Risk Matrices'!$F$29,O23='Risk Matrices'!$G$28,'Risk Matrices'!$G$29,O23='Risk Matrices'!$H$28,'Risk Matrices'!$H$29)</f>
        <v>5</v>
      </c>
      <c r="U23" s="106">
        <f t="shared" si="3"/>
        <v>3</v>
      </c>
      <c r="V23" s="106">
        <f t="shared" si="4"/>
        <v>2</v>
      </c>
      <c r="W23" s="106">
        <f t="shared" si="5"/>
        <v>5</v>
      </c>
      <c r="X23" s="106">
        <f t="shared" si="6"/>
        <v>25</v>
      </c>
      <c r="Y23" s="107" t="str">
        <f t="shared" si="7"/>
        <v>High</v>
      </c>
      <c r="Z23" s="123"/>
      <c r="AA23" s="108">
        <v>0.32</v>
      </c>
      <c r="AB23" s="109">
        <f t="shared" si="19"/>
        <v>13056</v>
      </c>
      <c r="AC23" s="109" t="s">
        <v>155</v>
      </c>
      <c r="AD23" s="104" t="s">
        <v>281</v>
      </c>
      <c r="AE23" s="104"/>
      <c r="AF23" s="103" t="s">
        <v>265</v>
      </c>
      <c r="AG23" s="103"/>
      <c r="AH23" s="101" t="s">
        <v>146</v>
      </c>
      <c r="AI23" s="878">
        <v>0.3</v>
      </c>
      <c r="AJ23" s="101">
        <v>10200</v>
      </c>
      <c r="AK23" s="101">
        <v>20400</v>
      </c>
      <c r="AL23" s="101">
        <v>40800</v>
      </c>
      <c r="AM23" s="101">
        <v>3</v>
      </c>
      <c r="AN23" s="101">
        <v>6</v>
      </c>
      <c r="AO23" s="101">
        <v>12</v>
      </c>
      <c r="AP23" s="112" t="str">
        <f>IF(OR(ISBLANK(AI23),AI23=0),"INSERT LIKELIHOOD",IF(ABS(AI23)&lt;='Risk Matrices'!$D$22,'Risk Matrices'!$C$21,IF(ABS(AI23)&lt;='Risk Matrices'!$D$19,'Risk Matrices'!$C$18,IF(ABS(AI23)&lt;='Risk Matrices'!$D$16,'Risk Matrices'!$C$15,IF(ABS(AI23)&lt;='Risk Matrices'!$D$13,'Risk Matrices'!$C$12,'Risk Matrices'!$C$10)))))</f>
        <v>Moderate</v>
      </c>
      <c r="AQ23" s="112" t="str">
        <f>IF(OR(ISBLANK(AK23),AK23=0),"None",IF(ABS(AK23)&lt;='Risk Matrices'!$E$7,'Risk Matrices'!$E$5,IF(ABS(AK23)&lt;='Risk Matrices'!$G$7,'Risk Matrices'!$G$5,IF(ABS(AK23)&lt;='Risk Matrices'!$H$7,'Risk Matrices'!$H$5,'Risk Matrices'!$I$5))))</f>
        <v>Critical</v>
      </c>
      <c r="AR23" s="112" t="str">
        <f>IF(AN23="","",IF(ABS(AN23)&lt;='Risk Matrices'!$E$8,"Negligible",IF(ABS(AN23)&lt;='Risk Matrices'!$F$8,"Marginal",IF(ABS(AN23)&lt;='Risk Matrices'!$G$8,"Significant",IF(ABS(AN23)&lt;='Risk Matrices'!$H$8,"Critical","Crisis")))))</f>
        <v>Marginal</v>
      </c>
      <c r="AS23" s="103" t="s">
        <v>280</v>
      </c>
      <c r="AT23" s="298">
        <f>IF(OR(ISBLANK(AI23),AI23=0),0,VLOOKUP(AP23,'Risk Matrices'!$B$30:$C$34,2,0))</f>
        <v>3</v>
      </c>
      <c r="AU23" s="298">
        <f>IF(OR(ISBLANK(AK23),AK23=0),0,HLOOKUP(AQ23,'Risk Matrices'!$D$28:$H$29,2,0))</f>
        <v>4</v>
      </c>
      <c r="AV23" s="298">
        <f>IF(OR(ISBLANK(AR23),AR23=0),0,HLOOKUP(AR23,'Risk Matrices'!$D$28:$H$29,2,0))</f>
        <v>2</v>
      </c>
      <c r="AW23" s="298">
        <f>IF(OR(ISBLANK(AS23),AS23=0),0,HLOOKUP(AS23,'Risk Matrices'!$D$28:$H$29,2,0))</f>
        <v>2</v>
      </c>
      <c r="AX23" s="106">
        <f t="shared" si="8"/>
        <v>4</v>
      </c>
      <c r="AY23" s="106">
        <f t="shared" si="9"/>
        <v>12</v>
      </c>
      <c r="AZ23" s="107" t="str">
        <f>IF(B23="Retired","Retired",IF(OR(ISBLANK(AY23),AY23=0),"TBD",IF(AY23&lt;='Risk Matrices'!$D$40,'Risk Matrices'!$B$40,IF(AY23&lt;='Risk Matrices'!$D$39,'Risk Matrices'!$B$39,'Risk Matrices'!$B$38))))</f>
        <v>Moderate</v>
      </c>
      <c r="BA23" s="104"/>
      <c r="BB23" s="122" t="s">
        <v>282</v>
      </c>
      <c r="BC23" s="109">
        <f t="shared" si="10"/>
        <v>6120</v>
      </c>
      <c r="BD23" s="116">
        <v>45342</v>
      </c>
      <c r="BE23" s="104"/>
      <c r="BF23" s="104"/>
      <c r="BG23" s="104"/>
      <c r="BH23" s="104"/>
      <c r="BI23" s="104"/>
      <c r="BJ23" s="874">
        <f t="shared" si="11"/>
        <v>7140</v>
      </c>
      <c r="BK23" s="101"/>
      <c r="BL23" s="101"/>
      <c r="BM23" s="116">
        <v>45280</v>
      </c>
      <c r="BN23" s="116">
        <v>45280</v>
      </c>
      <c r="BO23" s="333"/>
      <c r="BP23" s="94">
        <f t="shared" si="12"/>
        <v>6630</v>
      </c>
      <c r="BQ23" s="97" t="str">
        <f t="shared" si="13"/>
        <v>10200 - 20400 - 40800</v>
      </c>
      <c r="BR23" s="97" t="str">
        <f t="shared" si="14"/>
        <v>3 - 6 - 12</v>
      </c>
      <c r="BS23" s="715">
        <f t="shared" si="15"/>
        <v>7140</v>
      </c>
      <c r="BT23" s="736">
        <f t="shared" si="16"/>
        <v>2.1</v>
      </c>
      <c r="BU23" s="735"/>
      <c r="BV23" s="873">
        <v>45382</v>
      </c>
      <c r="BW23">
        <f t="shared" si="17"/>
        <v>102</v>
      </c>
    </row>
    <row r="24" spans="2:75" customFormat="1" ht="50" hidden="1" customHeight="1" x14ac:dyDescent="0.2">
      <c r="B24" s="101" t="str">
        <f t="shared" si="0"/>
        <v>Active</v>
      </c>
      <c r="C24" s="779" t="s">
        <v>283</v>
      </c>
      <c r="D24" s="101" t="s">
        <v>151</v>
      </c>
      <c r="E24" s="103" t="s">
        <v>123</v>
      </c>
      <c r="F24" s="102" t="s">
        <v>124</v>
      </c>
      <c r="G24" s="103" t="s">
        <v>125</v>
      </c>
      <c r="H24" s="101" t="str">
        <f t="shared" si="1"/>
        <v>RT-6-001-018</v>
      </c>
      <c r="I24" s="103" t="s">
        <v>277</v>
      </c>
      <c r="J24" s="103" t="s">
        <v>126</v>
      </c>
      <c r="K24" s="101" t="s">
        <v>284</v>
      </c>
      <c r="L24" s="123" t="s">
        <v>285</v>
      </c>
      <c r="M24" s="103" t="s">
        <v>197</v>
      </c>
      <c r="N24" s="105">
        <v>40800</v>
      </c>
      <c r="O24" s="106" t="str" cm="1">
        <f t="array" ref="O24">_xlfn.IFS(N24="","",ABS(N24)&lt;='Risk Matrices'!$E$7,'Risk Matrices'!$E$5,ABS(N24)&lt;='Risk Matrices'!$F$7,'Risk Matrices'!$F$5,ABS(N24)&lt;='Risk Matrices'!$G$7,'Risk Matrices'!$G$5,ABS(N24)&lt;='Risk Matrices'!$H$7,'Risk Matrices'!$H$5,ABS(N24)&gt;'Risk Matrices'!$H$7,'Risk Matrices'!$I$5)</f>
        <v>Crisis</v>
      </c>
      <c r="P24" s="101">
        <v>24</v>
      </c>
      <c r="Q24" s="101" t="str" cm="1">
        <f t="array" ref="Q24">_xlfn.IFS(P24="","",ABS(P24)&lt;='Risk Matrices'!$E$8,'Risk Matrices'!$E$5,ABS(P24)&lt;='Risk Matrices'!$F$8,'Risk Matrices'!$F$5,ABS(P24)&lt;='Risk Matrices'!$G$8,'Risk Matrices'!$G$5,ABS(P24)&lt;='Risk Matrices'!$H$8,'Risk Matrices'!$H$5,ABS(P24)&gt;'Risk Matrices'!$H$8,'Risk Matrices'!$I$5)</f>
        <v>Critical</v>
      </c>
      <c r="R24" s="101" t="s">
        <v>280</v>
      </c>
      <c r="S24" s="106">
        <f t="shared" si="2"/>
        <v>5</v>
      </c>
      <c r="T24" s="106" cm="1">
        <f t="array" ref="T24">_xlfn.IFS(O24='Risk Matrices'!$D$28,'Risk Matrices'!$D$29,O24='Risk Matrices'!$E$28,'Risk Matrices'!$E$29,O24='Risk Matrices'!$F$28,'Risk Matrices'!$F$29,O24='Risk Matrices'!$G$28,'Risk Matrices'!$G$29,O24='Risk Matrices'!$H$28,'Risk Matrices'!$H$29)</f>
        <v>5</v>
      </c>
      <c r="U24" s="106">
        <f t="shared" si="3"/>
        <v>4</v>
      </c>
      <c r="V24" s="106">
        <f t="shared" si="4"/>
        <v>2</v>
      </c>
      <c r="W24" s="106">
        <f t="shared" si="5"/>
        <v>5</v>
      </c>
      <c r="X24" s="106">
        <f t="shared" si="6"/>
        <v>25</v>
      </c>
      <c r="Y24" s="107" t="str">
        <f t="shared" si="7"/>
        <v>High</v>
      </c>
      <c r="Z24" s="123"/>
      <c r="AA24" s="108">
        <v>0.32</v>
      </c>
      <c r="AB24" s="109">
        <f t="shared" si="19"/>
        <v>13056</v>
      </c>
      <c r="AC24" s="109" t="s">
        <v>155</v>
      </c>
      <c r="AD24" s="104" t="s">
        <v>286</v>
      </c>
      <c r="AE24" s="104"/>
      <c r="AF24" s="103" t="s">
        <v>265</v>
      </c>
      <c r="AG24" s="103"/>
      <c r="AH24" s="101" t="s">
        <v>146</v>
      </c>
      <c r="AI24" s="878">
        <v>0.3</v>
      </c>
      <c r="AJ24" s="101">
        <v>20400</v>
      </c>
      <c r="AK24" s="101">
        <v>40800</v>
      </c>
      <c r="AL24" s="101">
        <v>61200</v>
      </c>
      <c r="AM24" s="101">
        <v>6</v>
      </c>
      <c r="AN24" s="101">
        <v>12</v>
      </c>
      <c r="AO24" s="101">
        <v>18</v>
      </c>
      <c r="AP24" s="112" t="str">
        <f>IF(OR(ISBLANK(AI24),AI24=0),"INSERT LIKELIHOOD",IF(ABS(AI24)&lt;='Risk Matrices'!$D$22,'Risk Matrices'!$C$21,IF(ABS(AI24)&lt;='Risk Matrices'!$D$19,'Risk Matrices'!$C$18,IF(ABS(AI24)&lt;='Risk Matrices'!$D$16,'Risk Matrices'!$C$15,IF(ABS(AI24)&lt;='Risk Matrices'!$D$13,'Risk Matrices'!$C$12,'Risk Matrices'!$C$10)))))</f>
        <v>Moderate</v>
      </c>
      <c r="AQ24" s="112" t="str">
        <f>IF(OR(ISBLANK(AK24),AK24=0),"None",IF(ABS(AK24)&lt;='Risk Matrices'!$E$7,'Risk Matrices'!$E$5,IF(ABS(AK24)&lt;='Risk Matrices'!$G$7,'Risk Matrices'!$G$5,IF(ABS(AK24)&lt;='Risk Matrices'!$H$7,'Risk Matrices'!$H$5,'Risk Matrices'!$I$5))))</f>
        <v>Crisis</v>
      </c>
      <c r="AR24" s="112" t="str">
        <f>IF(AN24="","",IF(ABS(AN24)&lt;='Risk Matrices'!$E$8,"Negligible",IF(ABS(AN24)&lt;='Risk Matrices'!$F$8,"Marginal",IF(ABS(AN24)&lt;='Risk Matrices'!$G$8,"Significant",IF(ABS(AN24)&lt;='Risk Matrices'!$H$8,"Critical","Crisis")))))</f>
        <v>Significant</v>
      </c>
      <c r="AS24" s="103" t="s">
        <v>280</v>
      </c>
      <c r="AT24" s="298">
        <f>IF(OR(ISBLANK(AI24),AI24=0),0,VLOOKUP(AP24,'Risk Matrices'!$B$30:$C$34,2,0))</f>
        <v>3</v>
      </c>
      <c r="AU24" s="298">
        <f>IF(OR(ISBLANK(AK24),AK24=0),0,HLOOKUP(AQ24,'Risk Matrices'!$D$28:$H$29,2,0))</f>
        <v>5</v>
      </c>
      <c r="AV24" s="298">
        <f>IF(OR(ISBLANK(AR24),AR24=0),0,HLOOKUP(AR24,'Risk Matrices'!$D$28:$H$29,2,0))</f>
        <v>3</v>
      </c>
      <c r="AW24" s="298">
        <f>IF(OR(ISBLANK(AS24),AS24=0),0,HLOOKUP(AS24,'Risk Matrices'!$D$28:$H$29,2,0))</f>
        <v>2</v>
      </c>
      <c r="AX24" s="106">
        <f t="shared" si="8"/>
        <v>5</v>
      </c>
      <c r="AY24" s="106">
        <f t="shared" si="9"/>
        <v>15</v>
      </c>
      <c r="AZ24" s="107" t="str">
        <f>IF(B24="Retired","Retired",IF(OR(ISBLANK(AY24),AY24=0),"TBD",IF(AY24&lt;='Risk Matrices'!$D$40,'Risk Matrices'!$B$40,IF(AY24&lt;='Risk Matrices'!$D$39,'Risk Matrices'!$B$39,'Risk Matrices'!$B$38))))</f>
        <v>High</v>
      </c>
      <c r="BA24" s="104"/>
      <c r="BB24" s="122" t="s">
        <v>287</v>
      </c>
      <c r="BC24" s="109">
        <f t="shared" si="10"/>
        <v>12240</v>
      </c>
      <c r="BD24" s="116">
        <v>45342</v>
      </c>
      <c r="BE24" s="104"/>
      <c r="BF24" s="104"/>
      <c r="BG24" s="104"/>
      <c r="BH24" s="104"/>
      <c r="BI24" s="104"/>
      <c r="BJ24" s="874">
        <f t="shared" si="11"/>
        <v>12240</v>
      </c>
      <c r="BK24" s="101"/>
      <c r="BL24" s="101"/>
      <c r="BM24" s="116">
        <v>45280</v>
      </c>
      <c r="BN24" s="116">
        <v>45280</v>
      </c>
      <c r="BO24" s="333"/>
      <c r="BP24" s="94">
        <f t="shared" si="12"/>
        <v>12240</v>
      </c>
      <c r="BQ24" s="97" t="str">
        <f t="shared" si="13"/>
        <v>20400 - 40800 - 61200</v>
      </c>
      <c r="BR24" s="97" t="str">
        <f t="shared" si="14"/>
        <v>6 - 12 - 18</v>
      </c>
      <c r="BS24" s="715">
        <f t="shared" si="15"/>
        <v>12240</v>
      </c>
      <c r="BT24" s="736">
        <f t="shared" si="16"/>
        <v>3.5999999999999996</v>
      </c>
      <c r="BU24" s="735"/>
      <c r="BV24" s="873">
        <v>45382</v>
      </c>
      <c r="BW24">
        <f t="shared" si="17"/>
        <v>102</v>
      </c>
    </row>
    <row r="25" spans="2:75" customFormat="1" ht="50" hidden="1" customHeight="1" x14ac:dyDescent="0.2">
      <c r="B25" s="101" t="str">
        <f t="shared" si="0"/>
        <v>Proposed</v>
      </c>
      <c r="C25" s="779" t="s">
        <v>288</v>
      </c>
      <c r="D25" s="101" t="s">
        <v>151</v>
      </c>
      <c r="E25" s="103" t="s">
        <v>123</v>
      </c>
      <c r="F25" s="102" t="s">
        <v>124</v>
      </c>
      <c r="G25" s="103" t="s">
        <v>125</v>
      </c>
      <c r="H25" s="101" t="str">
        <f t="shared" si="1"/>
        <v>RT-6-001-019</v>
      </c>
      <c r="I25" s="103" t="s">
        <v>194</v>
      </c>
      <c r="J25" s="103" t="s">
        <v>126</v>
      </c>
      <c r="K25" s="750" t="s">
        <v>289</v>
      </c>
      <c r="L25" s="101" t="s">
        <v>175</v>
      </c>
      <c r="M25" s="103"/>
      <c r="N25" s="105"/>
      <c r="O25" s="106"/>
      <c r="P25" s="101"/>
      <c r="Q25" s="101"/>
      <c r="R25" s="101"/>
      <c r="S25" s="106"/>
      <c r="T25" s="106"/>
      <c r="U25" s="106"/>
      <c r="V25" s="106"/>
      <c r="W25" s="106"/>
      <c r="X25" s="106"/>
      <c r="Y25" s="107"/>
      <c r="Z25" s="123"/>
      <c r="AA25" s="108"/>
      <c r="AB25" s="109"/>
      <c r="AC25" s="109"/>
      <c r="AD25" s="104"/>
      <c r="AE25" s="104"/>
      <c r="AF25" s="103"/>
      <c r="AG25" s="103"/>
      <c r="AH25" s="101"/>
      <c r="AI25" s="878"/>
      <c r="AJ25" s="101"/>
      <c r="AK25" s="101"/>
      <c r="AL25" s="101"/>
      <c r="AM25" s="101"/>
      <c r="AN25" s="101"/>
      <c r="AO25" s="101"/>
      <c r="AP25" s="112"/>
      <c r="AQ25" s="112"/>
      <c r="AR25" s="112"/>
      <c r="AS25" s="103"/>
      <c r="AT25" s="298"/>
      <c r="AU25" s="298"/>
      <c r="AV25" s="298"/>
      <c r="AW25" s="298"/>
      <c r="AX25" s="106"/>
      <c r="AY25" s="106"/>
      <c r="AZ25" s="107"/>
      <c r="BA25" s="104"/>
      <c r="BB25" s="122"/>
      <c r="BC25" s="109"/>
      <c r="BD25" s="116"/>
      <c r="BE25" s="104"/>
      <c r="BF25" s="104"/>
      <c r="BG25" s="104"/>
      <c r="BH25" s="104"/>
      <c r="BI25" s="104"/>
      <c r="BJ25" s="874"/>
      <c r="BK25" s="101"/>
      <c r="BL25" s="101"/>
      <c r="BM25" s="116"/>
      <c r="BN25" s="330"/>
      <c r="BO25" s="333"/>
      <c r="BP25" s="94"/>
      <c r="BQ25" s="97"/>
      <c r="BR25" s="97"/>
      <c r="BS25" s="715"/>
      <c r="BT25" s="736"/>
      <c r="BU25" s="735"/>
      <c r="BV25" s="873"/>
    </row>
    <row r="26" spans="2:75" customFormat="1" ht="32" hidden="1" x14ac:dyDescent="0.2">
      <c r="B26" s="101" t="str">
        <f t="shared" si="0"/>
        <v>Retired</v>
      </c>
      <c r="C26" s="778">
        <v>6</v>
      </c>
      <c r="D26" s="363" t="s">
        <v>151</v>
      </c>
      <c r="E26" s="103" t="s">
        <v>123</v>
      </c>
      <c r="F26" s="102" t="s">
        <v>124</v>
      </c>
      <c r="G26" s="103" t="s">
        <v>290</v>
      </c>
      <c r="H26" s="103"/>
      <c r="I26" s="103" t="s">
        <v>125</v>
      </c>
      <c r="J26" s="103" t="s">
        <v>126</v>
      </c>
      <c r="K26" s="166" t="s">
        <v>291</v>
      </c>
      <c r="L26" s="363" t="s">
        <v>175</v>
      </c>
      <c r="M26" s="363"/>
      <c r="N26" s="716"/>
      <c r="O26" s="106" t="str" cm="1">
        <f t="array" ref="O26">_xlfn.IFS(N26="","",ABS(N26)&lt;='Risk Matrices'!$E$7,'Risk Matrices'!$E$5,ABS(N26)&lt;='Risk Matrices'!$F$7,'Risk Matrices'!$F$5,ABS(N26)&lt;='Risk Matrices'!$G$7,'Risk Matrices'!$G$5,ABS(N26)&lt;='Risk Matrices'!$H$7,'Risk Matrices'!$H$5,ABS(N26)&gt;'Risk Matrices'!$H$7,'Risk Matrices'!$I$5)</f>
        <v/>
      </c>
      <c r="P26" s="363"/>
      <c r="Q26" s="363"/>
      <c r="R26" s="363"/>
      <c r="S26" s="363"/>
      <c r="T26" s="106" t="e" cm="1">
        <f t="array" ref="T26">_xlfn.IFS(O26='Risk Matrices'!$D$28,'Risk Matrices'!$D$29,O26='Risk Matrices'!$E$28,'Risk Matrices'!$E$29,O26='Risk Matrices'!$F$28,'Risk Matrices'!$F$29,O26='Risk Matrices'!$G$28,'Risk Matrices'!$G$29,O26='Risk Matrices'!$H$28,'Risk Matrices'!$H$29)</f>
        <v>#N/A</v>
      </c>
      <c r="U26" s="363"/>
      <c r="V26" s="363"/>
      <c r="W26" s="363"/>
      <c r="X26" s="363"/>
      <c r="Y26" s="363"/>
      <c r="Z26" s="363"/>
      <c r="AA26" s="363"/>
      <c r="AB26" s="363"/>
      <c r="AC26" s="364" t="s">
        <v>155</v>
      </c>
      <c r="AD26" s="363" t="s">
        <v>292</v>
      </c>
      <c r="AE26" s="363"/>
      <c r="AF26" s="363"/>
      <c r="AG26" s="363"/>
      <c r="AH26" s="363"/>
      <c r="AI26" s="889">
        <v>0.2</v>
      </c>
      <c r="AJ26" s="365">
        <v>5000</v>
      </c>
      <c r="AK26" s="365">
        <v>10000</v>
      </c>
      <c r="AL26" s="365">
        <v>15000</v>
      </c>
      <c r="AM26" s="106">
        <v>2</v>
      </c>
      <c r="AN26" s="106">
        <v>4</v>
      </c>
      <c r="AO26" s="106">
        <v>6</v>
      </c>
      <c r="AP26" s="112" t="str">
        <f>IF(OR(ISBLANK(AI26),AI26=0),"INSERT LIKELIHOOD",IF(ABS(AI26)&lt;='Risk Matrices'!$D$22,'Risk Matrices'!$C$21,IF(ABS(AI26)&lt;='Risk Matrices'!$D$19,'Risk Matrices'!$C$18,IF(ABS(AI26)&lt;='Risk Matrices'!$D$16,'Risk Matrices'!$C$15,IF(ABS(AI26)&lt;='Risk Matrices'!$D$13,'Risk Matrices'!$C$12,'Risk Matrices'!$C$10)))))</f>
        <v>Low</v>
      </c>
      <c r="AQ26" s="112" t="str">
        <f>IF(OR(ISBLANK(AK26),AK26=0),"None",IF(ABS(AK26)&lt;='Risk Matrices'!$E$7,'Risk Matrices'!$E$5,IF(ABS(AK26)&lt;='Risk Matrices'!$G$7,'Risk Matrices'!$G$5,IF(ABS(AK26)&lt;='Risk Matrices'!$H$7,'Risk Matrices'!$H$5,'Risk Matrices'!$I$5))))</f>
        <v>Critical</v>
      </c>
      <c r="AR26" s="112" t="str">
        <f>IF(AN26="","",IF(ABS(AN26)&lt;='Risk Matrices'!$E$8,"Negligible",IF(ABS(AN26)&lt;='Risk Matrices'!$F$8,"Marginal",IF(ABS(AN26)&lt;='Risk Matrices'!$G$8,"Significant",IF(ABS(AN26)&lt;='Risk Matrices'!$H$8,"Critical","Crisis")))))</f>
        <v>Marginal</v>
      </c>
      <c r="AS26" s="103" t="s">
        <v>130</v>
      </c>
      <c r="AT26" s="298">
        <f>IF(OR(ISBLANK(AI26),AI26=0),0,VLOOKUP(AP26,'Risk Matrices'!$B$30:$C$34,2,0))</f>
        <v>2</v>
      </c>
      <c r="AU26" s="298">
        <f>IF(OR(ISBLANK(AK26),AK26=0),0,HLOOKUP(AQ26,'Risk Matrices'!$D$28:$H$29,2,0))</f>
        <v>4</v>
      </c>
      <c r="AV26" s="298">
        <f>IF(OR(ISBLANK(AR26),AR26=0),0,HLOOKUP(AR26,'Risk Matrices'!$D$28:$H$29,2,0))</f>
        <v>2</v>
      </c>
      <c r="AW26" s="298">
        <f>IF(AS26="None",0,HLOOKUP(AS26,'Risk Matrices'!$D$28:$H$29,2,0))</f>
        <v>0</v>
      </c>
      <c r="AX26" s="106">
        <f t="shared" ref="AX26:AX56" si="20">MAX(AU26,AV26,AW26)</f>
        <v>4</v>
      </c>
      <c r="AY26" s="106">
        <f t="shared" ref="AY26:AY56" si="21">AT26*AX26</f>
        <v>8</v>
      </c>
      <c r="AZ26" s="107" t="str">
        <f>IF(B26="Retired","Retired",IF(OR(ISBLANK(AY26),AY26=0),"TBD",IF(AY26&lt;='Risk Matrices'!$D$40,'Risk Matrices'!$B$40,IF(AY26&lt;='Risk Matrices'!$D$39,'Risk Matrices'!$B$39,'Risk Matrices'!$B$38))))</f>
        <v>Retired</v>
      </c>
      <c r="BA26" s="232"/>
      <c r="BB26" s="691"/>
      <c r="BC26" s="109" t="str">
        <f t="shared" ref="BC26:BC56" si="22">IF(B26="Active",AI26*AK26,B26)</f>
        <v>Retired</v>
      </c>
      <c r="BD26" s="229"/>
      <c r="BE26" s="229"/>
      <c r="BF26" s="229"/>
      <c r="BG26" s="363" t="s">
        <v>293</v>
      </c>
      <c r="BH26" s="363"/>
      <c r="BI26" s="363"/>
      <c r="BJ26" s="874">
        <f t="shared" ref="BJ26:BJ33" si="23">AI26*(SUM(AJ26:AL26)/3)</f>
        <v>2000</v>
      </c>
      <c r="BK26" s="101" t="s">
        <v>294</v>
      </c>
      <c r="BL26" s="718">
        <v>44981</v>
      </c>
      <c r="BM26" s="181">
        <v>44852</v>
      </c>
      <c r="BN26" s="732">
        <v>44852</v>
      </c>
      <c r="BO26" s="333" t="s">
        <v>295</v>
      </c>
      <c r="BP26" s="94">
        <f t="shared" ref="BP26:BP38" si="24">AI26*((2*AJ26+4*AK26+2*AL26)/6)</f>
        <v>2666.666666666667</v>
      </c>
      <c r="BQ26" s="97" t="s">
        <v>296</v>
      </c>
      <c r="BR26" s="97" t="s">
        <v>296</v>
      </c>
      <c r="BS26" s="97" t="s">
        <v>296</v>
      </c>
      <c r="BT26" s="97" t="s">
        <v>296</v>
      </c>
      <c r="BU26" s="735" t="s">
        <v>297</v>
      </c>
    </row>
    <row r="27" spans="2:75" customFormat="1" ht="32" hidden="1" x14ac:dyDescent="0.2">
      <c r="B27" s="101" t="str">
        <f t="shared" si="0"/>
        <v>Retired</v>
      </c>
      <c r="C27" s="778">
        <v>2</v>
      </c>
      <c r="D27" s="101" t="s">
        <v>151</v>
      </c>
      <c r="E27" s="103" t="s">
        <v>123</v>
      </c>
      <c r="F27" s="102" t="s">
        <v>124</v>
      </c>
      <c r="G27" s="103" t="s">
        <v>290</v>
      </c>
      <c r="H27" s="103"/>
      <c r="I27" s="103" t="s">
        <v>125</v>
      </c>
      <c r="J27" s="103" t="s">
        <v>126</v>
      </c>
      <c r="K27" s="103" t="s">
        <v>298</v>
      </c>
      <c r="L27" s="104" t="s">
        <v>299</v>
      </c>
      <c r="M27" s="103"/>
      <c r="N27" s="105"/>
      <c r="O27" s="106" t="str" cm="1">
        <f t="array" ref="O27">_xlfn.IFS(N27="","",ABS(N27)&lt;='Risk Matrices'!$E$7,'Risk Matrices'!$E$5,ABS(N27)&lt;='Risk Matrices'!$F$7,'Risk Matrices'!$F$5,ABS(N27)&lt;='Risk Matrices'!$G$7,'Risk Matrices'!$G$5,ABS(N27)&lt;='Risk Matrices'!$H$7,'Risk Matrices'!$H$5,ABS(N27)&gt;'Risk Matrices'!$H$7,'Risk Matrices'!$I$5)</f>
        <v/>
      </c>
      <c r="P27" s="106"/>
      <c r="Q27" s="102"/>
      <c r="R27" s="102"/>
      <c r="S27" s="106">
        <f t="shared" ref="S27:S33" si="25">IF(M27="",0,IF(M27="Very Low (There is a &lt;10% chance that this event will occur)",1,IF(M27="Low (Risk is likely to occur with a probability of &gt; 10% to &lt; 25%)",2,IF(M27="Moderate (Risk is likely to occur with a probability of &gt; 25% to &lt; 40%)",3,IF(M27="High (Risk is likely to occur with a probability of &gt;40 to &lt;65%)",4,IF(M27="Very High (Risk is likely to occur with a probability of &gt;65%)",5))))))</f>
        <v>0</v>
      </c>
      <c r="T27" s="106" t="e" cm="1">
        <f t="array" ref="T27">_xlfn.IFS(O27='Risk Matrices'!$D$28,'Risk Matrices'!$D$29,O27='Risk Matrices'!$E$28,'Risk Matrices'!$E$29,O27='Risk Matrices'!$F$28,'Risk Matrices'!$F$29,O27='Risk Matrices'!$G$28,'Risk Matrices'!$G$29,O27='Risk Matrices'!$H$28,'Risk Matrices'!$H$29)</f>
        <v>#N/A</v>
      </c>
      <c r="U27" s="106">
        <f t="shared" ref="U27:V33" si="26">IF(Q27="",0,IF(Q27="Negligible",1,IF(Q27="Marginal",2,IF(Q27="Significant",3,IF(Q27="Critical",4,IF(Q27="Crisis",5))))))</f>
        <v>0</v>
      </c>
      <c r="V27" s="106">
        <f t="shared" si="26"/>
        <v>0</v>
      </c>
      <c r="W27" s="106" t="e">
        <f t="shared" ref="W27:W33" si="27">MAX(T27,U27,V27)</f>
        <v>#N/A</v>
      </c>
      <c r="X27" s="106" t="e">
        <f t="shared" ref="X27:X33" si="28">S27*W27</f>
        <v>#N/A</v>
      </c>
      <c r="Y27" s="107" t="e">
        <f t="shared" ref="Y27:Y32" si="29">IF(X27&lt;=6,"Low",IF(X27&lt;=14,"Moderate",IF(X27&lt;=25,"High")))</f>
        <v>#N/A</v>
      </c>
      <c r="Z27" s="104"/>
      <c r="AA27" s="108">
        <f t="shared" ref="AA27:AA33" si="30">IF(M27="",0,IF(M27="Very Low (There is a &lt;10% chance that this event will occur)",0.05,IF(M27="Low (Risk is likely to occur with a probability of &gt; 10% to &lt; 25%)",0.17,IF(M27="Moderate (Risk is likely to occur with a probability of &gt; 25% to &lt; 40%)",0.32,IF(M27="High (Risk is likely to occur with a probability of &gt;40 to &lt;65%)",0.52,IF(M27="Very High (Risk is likely to occur with a probability of &gt;65%)",0.82))))))</f>
        <v>0</v>
      </c>
      <c r="AB27" s="109">
        <f t="shared" ref="AB27:AB33" si="31">+AA27*N27</f>
        <v>0</v>
      </c>
      <c r="AC27" s="364" t="s">
        <v>155</v>
      </c>
      <c r="AD27" s="104" t="s">
        <v>300</v>
      </c>
      <c r="AE27" s="104"/>
      <c r="AF27" s="363"/>
      <c r="AG27" s="363"/>
      <c r="AH27" s="363"/>
      <c r="AI27" s="112">
        <v>0.5</v>
      </c>
      <c r="AJ27" s="106">
        <v>0</v>
      </c>
      <c r="AK27" s="106">
        <v>0</v>
      </c>
      <c r="AL27" s="106">
        <v>0</v>
      </c>
      <c r="AM27" s="106">
        <v>2</v>
      </c>
      <c r="AN27" s="106">
        <v>4</v>
      </c>
      <c r="AO27" s="106">
        <v>6</v>
      </c>
      <c r="AP27" s="112" t="str">
        <f>IF(OR(ISBLANK(AI27),AI27=0),"INSERT LIKELIHOOD",IF(ABS(AI27)&lt;='Risk Matrices'!$D$22,'Risk Matrices'!$C$21,IF(ABS(AI27)&lt;='Risk Matrices'!$D$19,'Risk Matrices'!$C$18,IF(ABS(AI27)&lt;='Risk Matrices'!$D$16,'Risk Matrices'!$C$15,IF(ABS(AI27)&lt;='Risk Matrices'!$D$13,'Risk Matrices'!$C$12,'Risk Matrices'!$C$10)))))</f>
        <v>High</v>
      </c>
      <c r="AQ27" s="112" t="str">
        <f>IF(OR(ISBLANK(AK27),AK27=0),"None",IF(ABS(AK27)&lt;='Risk Matrices'!$E$7,'Risk Matrices'!$E$5,IF(ABS(AK27)&lt;='Risk Matrices'!$G$7,'Risk Matrices'!$G$5,IF(ABS(AK27)&lt;='Risk Matrices'!$H$7,'Risk Matrices'!$H$5,'Risk Matrices'!$I$5))))</f>
        <v>None</v>
      </c>
      <c r="AR27" s="112" t="str">
        <f>IF(AN27="","",IF(ABS(AN27)&lt;='Risk Matrices'!$E$8,"Negligible",IF(ABS(AN27)&lt;='Risk Matrices'!$F$8,"Marginal",IF(ABS(AN27)&lt;='Risk Matrices'!$G$8,"Significant",IF(ABS(AN27)&lt;='Risk Matrices'!$H$8,"Critical","Crisis")))))</f>
        <v>Marginal</v>
      </c>
      <c r="AS27" s="103" t="s">
        <v>130</v>
      </c>
      <c r="AT27" s="298">
        <f>IF(OR(ISBLANK(AI27),AI27=0),0,VLOOKUP(AP27,'Risk Matrices'!$B$30:$C$34,2,0))</f>
        <v>4</v>
      </c>
      <c r="AU27" s="298">
        <f>IF(OR(ISBLANK(AK27),AK27=0),0,HLOOKUP(AQ27,'Risk Matrices'!$D$28:$H$29,2,0))</f>
        <v>0</v>
      </c>
      <c r="AV27" s="298">
        <f>IF(OR(ISBLANK(AR27),AR27=0),0,HLOOKUP(AR27,'Risk Matrices'!$D$28:$H$29,2,0))</f>
        <v>2</v>
      </c>
      <c r="AW27" s="298">
        <f>IF(AS27="None",0,HLOOKUP(AS27,'Risk Matrices'!$D$28:$H$29,2,0))</f>
        <v>0</v>
      </c>
      <c r="AX27" s="106">
        <f t="shared" si="20"/>
        <v>2</v>
      </c>
      <c r="AY27" s="106">
        <f t="shared" si="21"/>
        <v>8</v>
      </c>
      <c r="AZ27" s="107" t="str">
        <f>IF(B27="Retired","Retired",IF(OR(ISBLANK(AY27),AY27=0),"TBD",IF(AY27&lt;='Risk Matrices'!$D$40,'Risk Matrices'!$B$40,IF(AY27&lt;='Risk Matrices'!$D$39,'Risk Matrices'!$B$39,'Risk Matrices'!$B$38))))</f>
        <v>Retired</v>
      </c>
      <c r="BA27" s="365"/>
      <c r="BB27" s="113" t="s">
        <v>301</v>
      </c>
      <c r="BC27" s="109" t="str">
        <f t="shared" si="22"/>
        <v>Retired</v>
      </c>
      <c r="BD27" s="113"/>
      <c r="BE27" s="114"/>
      <c r="BF27" s="115"/>
      <c r="BG27" s="115" t="s">
        <v>302</v>
      </c>
      <c r="BH27" s="115"/>
      <c r="BI27" s="115"/>
      <c r="BJ27" s="874">
        <f t="shared" si="23"/>
        <v>0</v>
      </c>
      <c r="BK27" s="101" t="s">
        <v>294</v>
      </c>
      <c r="BL27" s="718">
        <v>44981</v>
      </c>
      <c r="BM27" s="116">
        <v>44803</v>
      </c>
      <c r="BN27" s="330">
        <v>44803</v>
      </c>
      <c r="BO27" s="333" t="s">
        <v>303</v>
      </c>
      <c r="BP27" s="94">
        <f t="shared" si="24"/>
        <v>0</v>
      </c>
      <c r="BQ27" s="97" t="s">
        <v>296</v>
      </c>
      <c r="BR27" s="97" t="s">
        <v>296</v>
      </c>
      <c r="BS27" s="97" t="s">
        <v>296</v>
      </c>
      <c r="BT27" s="97" t="s">
        <v>296</v>
      </c>
      <c r="BU27" s="735" t="s">
        <v>304</v>
      </c>
      <c r="BV27" s="717"/>
    </row>
    <row r="28" spans="2:75" customFormat="1" ht="105" hidden="1" x14ac:dyDescent="0.2">
      <c r="B28" s="101" t="str">
        <f t="shared" si="0"/>
        <v>Retired</v>
      </c>
      <c r="C28" s="780">
        <v>9</v>
      </c>
      <c r="D28" s="101" t="s">
        <v>151</v>
      </c>
      <c r="E28" s="103" t="s">
        <v>123</v>
      </c>
      <c r="F28" s="102" t="s">
        <v>124</v>
      </c>
      <c r="G28" s="103" t="s">
        <v>290</v>
      </c>
      <c r="H28" s="103"/>
      <c r="I28" s="103" t="s">
        <v>125</v>
      </c>
      <c r="J28" s="103" t="s">
        <v>126</v>
      </c>
      <c r="K28" s="103" t="s">
        <v>305</v>
      </c>
      <c r="L28" s="104" t="s">
        <v>306</v>
      </c>
      <c r="M28" s="103" t="s">
        <v>197</v>
      </c>
      <c r="N28" s="105">
        <v>10000</v>
      </c>
      <c r="O28" s="106" t="str" cm="1">
        <f t="array" ref="O28">_xlfn.IFS(N28="","",ABS(N28)&lt;='Risk Matrices'!$E$7,'Risk Matrices'!$E$5,ABS(N28)&lt;='Risk Matrices'!$F$7,'Risk Matrices'!$F$5,ABS(N28)&lt;='Risk Matrices'!$G$7,'Risk Matrices'!$G$5,ABS(N28)&lt;='Risk Matrices'!$H$7,'Risk Matrices'!$H$5,ABS(N28)&gt;'Risk Matrices'!$H$7,'Risk Matrices'!$I$5)</f>
        <v>Critical</v>
      </c>
      <c r="P28" s="106">
        <v>6</v>
      </c>
      <c r="Q28" s="102" t="s">
        <v>307</v>
      </c>
      <c r="R28" s="102"/>
      <c r="S28" s="106">
        <f t="shared" si="25"/>
        <v>5</v>
      </c>
      <c r="T28" s="106" cm="1">
        <f t="array" ref="T28">_xlfn.IFS(O28='Risk Matrices'!$D$28,'Risk Matrices'!$D$29,O28='Risk Matrices'!$E$28,'Risk Matrices'!$E$29,O28='Risk Matrices'!$F$28,'Risk Matrices'!$F$29,O28='Risk Matrices'!$G$28,'Risk Matrices'!$G$29,O28='Risk Matrices'!$H$28,'Risk Matrices'!$H$29)</f>
        <v>4</v>
      </c>
      <c r="U28" s="106">
        <f t="shared" si="26"/>
        <v>3</v>
      </c>
      <c r="V28" s="106">
        <f t="shared" si="26"/>
        <v>0</v>
      </c>
      <c r="W28" s="106">
        <f t="shared" si="27"/>
        <v>4</v>
      </c>
      <c r="X28" s="106">
        <f t="shared" si="28"/>
        <v>20</v>
      </c>
      <c r="Y28" s="107" t="str">
        <f t="shared" si="29"/>
        <v>High</v>
      </c>
      <c r="Z28" s="104"/>
      <c r="AA28" s="108">
        <f t="shared" si="30"/>
        <v>0.82</v>
      </c>
      <c r="AB28" s="109">
        <f t="shared" si="31"/>
        <v>8200</v>
      </c>
      <c r="AC28" s="109" t="s">
        <v>155</v>
      </c>
      <c r="AD28" s="117" t="s">
        <v>308</v>
      </c>
      <c r="AE28" s="117"/>
      <c r="AF28" s="117"/>
      <c r="AG28" s="117"/>
      <c r="AH28" s="111" t="s">
        <v>309</v>
      </c>
      <c r="AI28" s="112">
        <v>0.2</v>
      </c>
      <c r="AJ28" s="106">
        <v>0</v>
      </c>
      <c r="AK28" s="106">
        <v>0</v>
      </c>
      <c r="AL28" s="106">
        <v>0</v>
      </c>
      <c r="AM28" s="106">
        <v>3</v>
      </c>
      <c r="AN28" s="106">
        <v>6</v>
      </c>
      <c r="AO28" s="106">
        <v>12</v>
      </c>
      <c r="AP28" s="112" t="str">
        <f>IF(OR(ISBLANK(AI28),AI28=0),"INSERT LIKELIHOOD",IF(ABS(AI28)&lt;='Risk Matrices'!$D$22,'Risk Matrices'!$C$21,IF(ABS(AI28)&lt;='Risk Matrices'!$D$19,'Risk Matrices'!$C$18,IF(ABS(AI28)&lt;='Risk Matrices'!$D$16,'Risk Matrices'!$C$15,IF(ABS(AI28)&lt;='Risk Matrices'!$D$13,'Risk Matrices'!$C$12,'Risk Matrices'!$C$10)))))</f>
        <v>Low</v>
      </c>
      <c r="AQ28" s="112" t="str">
        <f>IF(OR(ISBLANK(AK28),AK28=0),"None",IF(ABS(AK28)&lt;='Risk Matrices'!$E$7,'Risk Matrices'!$E$5,IF(ABS(AK28)&lt;='Risk Matrices'!$G$7,'Risk Matrices'!$G$5,IF(ABS(AK28)&lt;='Risk Matrices'!$H$7,'Risk Matrices'!$H$5,'Risk Matrices'!$I$5))))</f>
        <v>None</v>
      </c>
      <c r="AR28" s="112" t="str">
        <f>IF(AN28="","",IF(ABS(AN28)&lt;='Risk Matrices'!$E$8,"Negligible",IF(ABS(AN28)&lt;='Risk Matrices'!$F$8,"Marginal",IF(ABS(AN28)&lt;='Risk Matrices'!$G$8,"Significant",IF(ABS(AN28)&lt;='Risk Matrices'!$H$8,"Critical","Crisis")))))</f>
        <v>Marginal</v>
      </c>
      <c r="AS28" s="103" t="s">
        <v>130</v>
      </c>
      <c r="AT28" s="298">
        <f>IF(OR(ISBLANK(AI28),AI28=0),0,VLOOKUP(AP28,'Risk Matrices'!$B$30:$C$34,2,0))</f>
        <v>2</v>
      </c>
      <c r="AU28" s="298">
        <f>IF(OR(ISBLANK(AK28),AK28=0),0,HLOOKUP(AQ28,'Risk Matrices'!$D$28:$H$29,2,0))</f>
        <v>0</v>
      </c>
      <c r="AV28" s="298">
        <f>IF(OR(ISBLANK(AR28),AR28=0),0,HLOOKUP(AR28,'Risk Matrices'!$D$28:$H$29,2,0))</f>
        <v>2</v>
      </c>
      <c r="AW28" s="298">
        <f>IF(AS28="None",0,HLOOKUP(AS28,'Risk Matrices'!$D$28:$H$29,2,0))</f>
        <v>0</v>
      </c>
      <c r="AX28" s="106">
        <f t="shared" si="20"/>
        <v>2</v>
      </c>
      <c r="AY28" s="106">
        <f t="shared" si="21"/>
        <v>4</v>
      </c>
      <c r="AZ28" s="107" t="str">
        <f>IF(B28="Retired","Retired",IF(OR(ISBLANK(AY28),AY28=0),"TBD",IF(AY28&lt;='Risk Matrices'!$D$40,'Risk Matrices'!$B$40,IF(AY28&lt;='Risk Matrices'!$D$39,'Risk Matrices'!$B$39,'Risk Matrices'!$B$38))))</f>
        <v>Retired</v>
      </c>
      <c r="BA28" s="112"/>
      <c r="BB28" s="122" t="s">
        <v>310</v>
      </c>
      <c r="BC28" s="109" t="str">
        <f t="shared" si="22"/>
        <v>Retired</v>
      </c>
      <c r="BD28" s="113"/>
      <c r="BE28" s="114"/>
      <c r="BF28" s="115"/>
      <c r="BG28" s="115" t="s">
        <v>302</v>
      </c>
      <c r="BH28" s="115"/>
      <c r="BI28" s="115"/>
      <c r="BJ28" s="874">
        <f t="shared" si="23"/>
        <v>0</v>
      </c>
      <c r="BK28" s="101" t="s">
        <v>311</v>
      </c>
      <c r="BL28" s="718">
        <v>44981</v>
      </c>
      <c r="BM28" s="116">
        <v>44012</v>
      </c>
      <c r="BN28" s="330">
        <v>44134</v>
      </c>
      <c r="BO28" s="333" t="s">
        <v>312</v>
      </c>
      <c r="BP28" s="94">
        <f t="shared" si="24"/>
        <v>0</v>
      </c>
      <c r="BQ28" s="97" t="str">
        <f t="shared" ref="BQ28:BQ56" si="32">CONCATENATE(AJ28," - ",AK28," - ",AL28)</f>
        <v>0 - 0 - 0</v>
      </c>
      <c r="BR28" s="97" t="str">
        <f t="shared" ref="BR28:BR56" si="33">CONCATENATE(AM28," - ",AN28," - ",AO28)</f>
        <v>3 - 6 - 12</v>
      </c>
      <c r="BS28" s="715">
        <f t="shared" ref="BS28:BS56" si="34">BJ28</f>
        <v>0</v>
      </c>
      <c r="BT28" s="736">
        <f t="shared" ref="BT28:BT56" si="35">AI28*(AM28+AN28+AO28)/3</f>
        <v>1.4000000000000001</v>
      </c>
      <c r="BU28" s="735" t="s">
        <v>313</v>
      </c>
    </row>
    <row r="29" spans="2:75" customFormat="1" ht="105" hidden="1" x14ac:dyDescent="0.2">
      <c r="B29" s="101" t="str">
        <f t="shared" si="0"/>
        <v>Retired</v>
      </c>
      <c r="C29" s="110">
        <v>160</v>
      </c>
      <c r="D29" s="118" t="s">
        <v>122</v>
      </c>
      <c r="E29" s="103" t="s">
        <v>123</v>
      </c>
      <c r="F29" s="102" t="s">
        <v>124</v>
      </c>
      <c r="G29" s="103" t="s">
        <v>314</v>
      </c>
      <c r="H29" s="103"/>
      <c r="I29" s="103" t="s">
        <v>315</v>
      </c>
      <c r="J29" s="103" t="s">
        <v>126</v>
      </c>
      <c r="K29" s="101" t="s">
        <v>316</v>
      </c>
      <c r="L29" s="104" t="s">
        <v>317</v>
      </c>
      <c r="M29" s="103" t="s">
        <v>197</v>
      </c>
      <c r="N29" s="105">
        <v>-28585</v>
      </c>
      <c r="O29" s="106" t="str" cm="1">
        <f t="array" ref="O29">_xlfn.IFS(N29="","",ABS(N29)&lt;='Risk Matrices'!$E$7,'Risk Matrices'!$E$5,ABS(N29)&lt;='Risk Matrices'!$F$7,'Risk Matrices'!$F$5,ABS(N29)&lt;='Risk Matrices'!$G$7,'Risk Matrices'!$G$5,ABS(N29)&lt;='Risk Matrices'!$H$7,'Risk Matrices'!$H$5,ABS(N29)&gt;'Risk Matrices'!$H$7,'Risk Matrices'!$I$5)</f>
        <v>Critical</v>
      </c>
      <c r="P29" s="101">
        <v>0</v>
      </c>
      <c r="Q29" s="101" t="s">
        <v>280</v>
      </c>
      <c r="R29" s="101"/>
      <c r="S29" s="106">
        <f t="shared" si="25"/>
        <v>5</v>
      </c>
      <c r="T29" s="106" cm="1">
        <f t="array" ref="T29">_xlfn.IFS(O29='Risk Matrices'!$D$28,'Risk Matrices'!$D$29,O29='Risk Matrices'!$E$28,'Risk Matrices'!$E$29,O29='Risk Matrices'!$F$28,'Risk Matrices'!$F$29,O29='Risk Matrices'!$G$28,'Risk Matrices'!$G$29,O29='Risk Matrices'!$H$28,'Risk Matrices'!$H$29)</f>
        <v>4</v>
      </c>
      <c r="U29" s="106">
        <f t="shared" si="26"/>
        <v>2</v>
      </c>
      <c r="V29" s="106">
        <f t="shared" si="26"/>
        <v>0</v>
      </c>
      <c r="W29" s="106">
        <f t="shared" si="27"/>
        <v>4</v>
      </c>
      <c r="X29" s="106">
        <f t="shared" si="28"/>
        <v>20</v>
      </c>
      <c r="Y29" s="107" t="str">
        <f t="shared" si="29"/>
        <v>High</v>
      </c>
      <c r="Z29" s="104" t="s">
        <v>318</v>
      </c>
      <c r="AA29" s="108">
        <f t="shared" si="30"/>
        <v>0.82</v>
      </c>
      <c r="AB29" s="109">
        <f t="shared" si="31"/>
        <v>-23439.699999999997</v>
      </c>
      <c r="AC29" s="119" t="s">
        <v>143</v>
      </c>
      <c r="AD29" s="104"/>
      <c r="AE29" s="104"/>
      <c r="AF29" s="104"/>
      <c r="AG29" s="104"/>
      <c r="AH29" s="111" t="s">
        <v>319</v>
      </c>
      <c r="AI29" s="881">
        <v>0.3</v>
      </c>
      <c r="AJ29" s="101">
        <v>-66600</v>
      </c>
      <c r="AK29" s="101">
        <v>-76300</v>
      </c>
      <c r="AL29" s="101">
        <v>-78900</v>
      </c>
      <c r="AM29" s="101">
        <v>0</v>
      </c>
      <c r="AN29" s="101">
        <v>0</v>
      </c>
      <c r="AO29" s="101">
        <v>0</v>
      </c>
      <c r="AP29" s="112" t="str">
        <f>IF(OR(ISBLANK(AI29),AI29=0),"INSERT LIKELIHOOD",IF(ABS(AI29)&lt;='Risk Matrices'!$D$22,'Risk Matrices'!$C$21,IF(ABS(AI29)&lt;='Risk Matrices'!$D$19,'Risk Matrices'!$C$18,IF(ABS(AI29)&lt;='Risk Matrices'!$D$16,'Risk Matrices'!$C$15,IF(ABS(AI29)&lt;='Risk Matrices'!$D$13,'Risk Matrices'!$C$12,'Risk Matrices'!$C$10)))))</f>
        <v>Moderate</v>
      </c>
      <c r="AQ29" s="112" t="str">
        <f>IF(OR(ISBLANK(AK29),AK29=0),"None",IF(ABS(AK29)&lt;='Risk Matrices'!$E$7,'Risk Matrices'!$E$5,IF(ABS(AK29)&lt;='Risk Matrices'!$G$7,'Risk Matrices'!$G$5,IF(ABS(AK29)&lt;='Risk Matrices'!$H$7,'Risk Matrices'!$H$5,'Risk Matrices'!$I$5))))</f>
        <v>Crisis</v>
      </c>
      <c r="AR29" s="112" t="str">
        <f>IF(AN29="","",IF(ABS(AN29)&lt;='Risk Matrices'!$E$8,"Negligible",IF(ABS(AN29)&lt;='Risk Matrices'!$F$8,"Marginal",IF(ABS(AN29)&lt;='Risk Matrices'!$G$8,"Significant",IF(ABS(AN29)&lt;='Risk Matrices'!$H$8,"Critical","Crisis")))))</f>
        <v>Negligible</v>
      </c>
      <c r="AS29" s="103" t="s">
        <v>130</v>
      </c>
      <c r="AT29" s="298">
        <f>IF(OR(ISBLANK(AI29),AI29=0),0,VLOOKUP(AP29,'Risk Matrices'!$B$30:$C$34,2,0))</f>
        <v>3</v>
      </c>
      <c r="AU29" s="298">
        <f>IF(OR(ISBLANK(AK29),AK29=0),0,HLOOKUP(AQ29,'Risk Matrices'!$D$28:$H$29,2,0))</f>
        <v>5</v>
      </c>
      <c r="AV29" s="298">
        <f>IF(OR(ISBLANK(AR29),AR29=0),0,HLOOKUP(AR29,'Risk Matrices'!$D$28:$H$29,2,0))</f>
        <v>1</v>
      </c>
      <c r="AW29" s="298">
        <f>IF(AS29="None",0,HLOOKUP(AS29,'Risk Matrices'!$D$28:$H$29,2,0))</f>
        <v>0</v>
      </c>
      <c r="AX29" s="106">
        <f t="shared" si="20"/>
        <v>5</v>
      </c>
      <c r="AY29" s="106">
        <f t="shared" si="21"/>
        <v>15</v>
      </c>
      <c r="AZ29" s="107" t="str">
        <f>IF(B29="Retired","Retired",IF(OR(ISBLANK(AY29),AY29=0),"TBD",IF(AY29&lt;='Risk Matrices'!$D$40,'Risk Matrices'!$B$40,IF(AY29&lt;='Risk Matrices'!$D$39,'Risk Matrices'!$B$39,'Risk Matrices'!$B$38))))</f>
        <v>Retired</v>
      </c>
      <c r="BA29" s="104"/>
      <c r="BB29" s="113" t="s">
        <v>320</v>
      </c>
      <c r="BC29" s="109" t="str">
        <f t="shared" si="22"/>
        <v>Retired</v>
      </c>
      <c r="BD29" s="104"/>
      <c r="BE29" s="104"/>
      <c r="BF29" s="104"/>
      <c r="BG29" s="104" t="s">
        <v>321</v>
      </c>
      <c r="BH29" s="104"/>
      <c r="BI29" s="104"/>
      <c r="BJ29" s="874">
        <f t="shared" si="23"/>
        <v>-22179.999999999996</v>
      </c>
      <c r="BK29" s="101" t="s">
        <v>311</v>
      </c>
      <c r="BL29" s="116">
        <v>44772</v>
      </c>
      <c r="BM29" s="116">
        <v>44285</v>
      </c>
      <c r="BN29" s="330">
        <v>44466</v>
      </c>
      <c r="BO29" s="333" t="s">
        <v>322</v>
      </c>
      <c r="BP29" s="94">
        <f t="shared" si="24"/>
        <v>-29810</v>
      </c>
      <c r="BQ29" s="97" t="str">
        <f t="shared" si="32"/>
        <v>-66600 - -76300 - -78900</v>
      </c>
      <c r="BR29" s="97" t="str">
        <f t="shared" si="33"/>
        <v>0 - 0 - 0</v>
      </c>
      <c r="BS29" s="715">
        <f t="shared" si="34"/>
        <v>-22179.999999999996</v>
      </c>
      <c r="BT29" s="736">
        <f t="shared" si="35"/>
        <v>0</v>
      </c>
      <c r="BU29" s="735" t="s">
        <v>323</v>
      </c>
    </row>
    <row r="30" spans="2:75" customFormat="1" ht="48" hidden="1" x14ac:dyDescent="0.2">
      <c r="B30" s="101" t="str">
        <f t="shared" si="0"/>
        <v>Retired</v>
      </c>
      <c r="C30" s="110">
        <v>176</v>
      </c>
      <c r="D30" s="118" t="s">
        <v>122</v>
      </c>
      <c r="E30" s="103" t="s">
        <v>123</v>
      </c>
      <c r="F30" s="102" t="s">
        <v>124</v>
      </c>
      <c r="G30" s="103" t="s">
        <v>314</v>
      </c>
      <c r="H30" s="103"/>
      <c r="I30" s="103" t="s">
        <v>315</v>
      </c>
      <c r="J30" s="103" t="s">
        <v>126</v>
      </c>
      <c r="K30" s="101" t="s">
        <v>324</v>
      </c>
      <c r="L30" s="104" t="s">
        <v>325</v>
      </c>
      <c r="M30" s="103" t="s">
        <v>141</v>
      </c>
      <c r="N30" s="105">
        <v>-82000</v>
      </c>
      <c r="O30" s="106" t="str" cm="1">
        <f t="array" ref="O30">_xlfn.IFS(N30="","",ABS(N30)&lt;='Risk Matrices'!$E$7,'Risk Matrices'!$E$5,ABS(N30)&lt;='Risk Matrices'!$F$7,'Risk Matrices'!$F$5,ABS(N30)&lt;='Risk Matrices'!$G$7,'Risk Matrices'!$G$5,ABS(N30)&lt;='Risk Matrices'!$H$7,'Risk Matrices'!$H$5,ABS(N30)&gt;'Risk Matrices'!$H$7,'Risk Matrices'!$I$5)</f>
        <v>Crisis</v>
      </c>
      <c r="P30" s="101">
        <v>0</v>
      </c>
      <c r="Q30" s="101" t="s">
        <v>280</v>
      </c>
      <c r="R30" s="104"/>
      <c r="S30" s="101">
        <f t="shared" si="25"/>
        <v>3</v>
      </c>
      <c r="T30" s="106" cm="1">
        <f t="array" ref="T30">_xlfn.IFS(O30='Risk Matrices'!$D$28,'Risk Matrices'!$D$29,O30='Risk Matrices'!$E$28,'Risk Matrices'!$E$29,O30='Risk Matrices'!$F$28,'Risk Matrices'!$F$29,O30='Risk Matrices'!$G$28,'Risk Matrices'!$G$29,O30='Risk Matrices'!$H$28,'Risk Matrices'!$H$29)</f>
        <v>5</v>
      </c>
      <c r="U30" s="101">
        <f t="shared" si="26"/>
        <v>2</v>
      </c>
      <c r="V30" s="101">
        <f t="shared" si="26"/>
        <v>0</v>
      </c>
      <c r="W30" s="106">
        <f t="shared" si="27"/>
        <v>5</v>
      </c>
      <c r="X30" s="101">
        <f t="shared" si="28"/>
        <v>15</v>
      </c>
      <c r="Y30" s="107" t="str">
        <f t="shared" si="29"/>
        <v>High</v>
      </c>
      <c r="Z30" s="104"/>
      <c r="AA30" s="108">
        <f t="shared" si="30"/>
        <v>0.32</v>
      </c>
      <c r="AB30" s="109">
        <f t="shared" si="31"/>
        <v>-26240</v>
      </c>
      <c r="AC30" s="119" t="s">
        <v>143</v>
      </c>
      <c r="AD30" s="104" t="s">
        <v>144</v>
      </c>
      <c r="AE30" s="104"/>
      <c r="AF30" s="104"/>
      <c r="AG30" s="104"/>
      <c r="AH30" s="111"/>
      <c r="AI30" s="878">
        <v>0.05</v>
      </c>
      <c r="AJ30" s="105">
        <v>-39667</v>
      </c>
      <c r="AK30" s="105">
        <v>-56667</v>
      </c>
      <c r="AL30" s="105">
        <v>-85000</v>
      </c>
      <c r="AM30" s="101">
        <v>0</v>
      </c>
      <c r="AN30" s="101">
        <v>0</v>
      </c>
      <c r="AO30" s="101">
        <v>0</v>
      </c>
      <c r="AP30" s="112" t="str">
        <f>IF(OR(ISBLANK(AI30),AI30=0),"INSERT LIKELIHOOD",IF(ABS(AI30)&lt;='Risk Matrices'!$D$22,'Risk Matrices'!$C$21,IF(ABS(AI30)&lt;='Risk Matrices'!$D$19,'Risk Matrices'!$C$18,IF(ABS(AI30)&lt;='Risk Matrices'!$D$16,'Risk Matrices'!$C$15,IF(ABS(AI30)&lt;='Risk Matrices'!$D$13,'Risk Matrices'!$C$12,'Risk Matrices'!$C$10)))))</f>
        <v>Very Low</v>
      </c>
      <c r="AQ30" s="112" t="str">
        <f>IF(OR(ISBLANK(AK30),AK30=0),"None",IF(ABS(AK30)&lt;='Risk Matrices'!$E$7,'Risk Matrices'!$E$5,IF(ABS(AK30)&lt;='Risk Matrices'!$G$7,'Risk Matrices'!$G$5,IF(ABS(AK30)&lt;='Risk Matrices'!$H$7,'Risk Matrices'!$H$5,'Risk Matrices'!$I$5))))</f>
        <v>Crisis</v>
      </c>
      <c r="AR30" s="112" t="str">
        <f>IF(AN30="","",IF(ABS(AN30)&lt;='Risk Matrices'!$E$8,"Negligible",IF(ABS(AN30)&lt;='Risk Matrices'!$F$8,"Marginal",IF(ABS(AN30)&lt;='Risk Matrices'!$G$8,"Significant",IF(ABS(AN30)&lt;='Risk Matrices'!$H$8,"Critical","Crisis")))))</f>
        <v>Negligible</v>
      </c>
      <c r="AS30" s="103" t="s">
        <v>130</v>
      </c>
      <c r="AT30" s="298">
        <f>IF(OR(ISBLANK(AI30),AI30=0),0,VLOOKUP(AP30,'Risk Matrices'!$B$30:$C$34,2,0))</f>
        <v>1</v>
      </c>
      <c r="AU30" s="298">
        <f>IF(OR(ISBLANK(AK30),AK30=0),0,HLOOKUP(AQ30,'Risk Matrices'!$D$28:$H$29,2,0))</f>
        <v>5</v>
      </c>
      <c r="AV30" s="298">
        <f>IF(OR(ISBLANK(AR30),AR30=0),0,HLOOKUP(AR30,'Risk Matrices'!$D$28:$H$29,2,0))</f>
        <v>1</v>
      </c>
      <c r="AW30" s="298">
        <f>IF(AS30="None",0,HLOOKUP(AS30,'Risk Matrices'!$D$28:$H$29,2,0))</f>
        <v>0</v>
      </c>
      <c r="AX30" s="106">
        <f t="shared" si="20"/>
        <v>5</v>
      </c>
      <c r="AY30" s="106">
        <f t="shared" si="21"/>
        <v>5</v>
      </c>
      <c r="AZ30" s="107" t="str">
        <f>IF(B30="Retired","Retired",IF(OR(ISBLANK(AY30),AY30=0),"TBD",IF(AY30&lt;='Risk Matrices'!$D$40,'Risk Matrices'!$B$40,IF(AY30&lt;='Risk Matrices'!$D$39,'Risk Matrices'!$B$39,'Risk Matrices'!$B$38))))</f>
        <v>Retired</v>
      </c>
      <c r="BA30" s="104"/>
      <c r="BB30" s="104"/>
      <c r="BC30" s="109" t="str">
        <f t="shared" si="22"/>
        <v>Retired</v>
      </c>
      <c r="BD30" s="104"/>
      <c r="BE30" s="104"/>
      <c r="BF30" s="104"/>
      <c r="BG30" s="104" t="s">
        <v>326</v>
      </c>
      <c r="BH30" s="104"/>
      <c r="BI30" s="104"/>
      <c r="BJ30" s="874">
        <f t="shared" si="23"/>
        <v>-3022.2333333333336</v>
      </c>
      <c r="BK30" s="101" t="s">
        <v>311</v>
      </c>
      <c r="BL30" s="116">
        <v>44686</v>
      </c>
      <c r="BM30" s="116">
        <v>44285</v>
      </c>
      <c r="BN30" s="330">
        <v>44466</v>
      </c>
      <c r="BO30" s="333" t="s">
        <v>327</v>
      </c>
      <c r="BP30" s="94">
        <f t="shared" si="24"/>
        <v>-3966.6833333333338</v>
      </c>
      <c r="BQ30" s="97" t="str">
        <f t="shared" si="32"/>
        <v>-39667 - -56667 - -85000</v>
      </c>
      <c r="BR30" s="97" t="str">
        <f t="shared" si="33"/>
        <v>0 - 0 - 0</v>
      </c>
      <c r="BS30" s="715">
        <f t="shared" si="34"/>
        <v>-3022.2333333333336</v>
      </c>
      <c r="BT30" s="736">
        <f t="shared" si="35"/>
        <v>0</v>
      </c>
      <c r="BU30" s="735" t="s">
        <v>328</v>
      </c>
    </row>
    <row r="31" spans="2:75" customFormat="1" ht="90" hidden="1" x14ac:dyDescent="0.2">
      <c r="B31" s="101" t="str">
        <f t="shared" si="0"/>
        <v>Retired</v>
      </c>
      <c r="C31" s="110">
        <v>167</v>
      </c>
      <c r="D31" s="101" t="s">
        <v>151</v>
      </c>
      <c r="E31" s="103" t="s">
        <v>123</v>
      </c>
      <c r="F31" s="102" t="s">
        <v>124</v>
      </c>
      <c r="G31" s="103" t="s">
        <v>290</v>
      </c>
      <c r="H31" s="103"/>
      <c r="I31" s="120" t="s">
        <v>329</v>
      </c>
      <c r="J31" s="103" t="s">
        <v>126</v>
      </c>
      <c r="K31" s="101" t="s">
        <v>330</v>
      </c>
      <c r="L31" s="104" t="s">
        <v>331</v>
      </c>
      <c r="M31" s="104" t="s">
        <v>332</v>
      </c>
      <c r="N31" s="105">
        <f>(1900*0.1)*6</f>
        <v>1140</v>
      </c>
      <c r="O31" s="106" t="str" cm="1">
        <f t="array" ref="O31">_xlfn.IFS(N31="","",ABS(N31)&lt;='Risk Matrices'!$E$7,'Risk Matrices'!$E$5,ABS(N31)&lt;='Risk Matrices'!$F$7,'Risk Matrices'!$F$5,ABS(N31)&lt;='Risk Matrices'!$G$7,'Risk Matrices'!$G$5,ABS(N31)&lt;='Risk Matrices'!$H$7,'Risk Matrices'!$H$5,ABS(N31)&gt;'Risk Matrices'!$H$7,'Risk Matrices'!$I$5)</f>
        <v>Significant</v>
      </c>
      <c r="P31" s="101">
        <v>6</v>
      </c>
      <c r="Q31" s="101" t="s">
        <v>207</v>
      </c>
      <c r="R31" s="104"/>
      <c r="S31" s="106">
        <f t="shared" si="25"/>
        <v>4</v>
      </c>
      <c r="T31" s="106" cm="1">
        <f t="array" ref="T31">_xlfn.IFS(O31='Risk Matrices'!$D$28,'Risk Matrices'!$D$29,O31='Risk Matrices'!$E$28,'Risk Matrices'!$E$29,O31='Risk Matrices'!$F$28,'Risk Matrices'!$F$29,O31='Risk Matrices'!$G$28,'Risk Matrices'!$G$29,O31='Risk Matrices'!$H$28,'Risk Matrices'!$H$29)</f>
        <v>3</v>
      </c>
      <c r="U31" s="106">
        <f t="shared" si="26"/>
        <v>1</v>
      </c>
      <c r="V31" s="106">
        <f t="shared" si="26"/>
        <v>0</v>
      </c>
      <c r="W31" s="106">
        <f t="shared" si="27"/>
        <v>3</v>
      </c>
      <c r="X31" s="106">
        <f t="shared" si="28"/>
        <v>12</v>
      </c>
      <c r="Y31" s="107" t="str">
        <f t="shared" si="29"/>
        <v>Moderate</v>
      </c>
      <c r="Z31" s="104" t="s">
        <v>333</v>
      </c>
      <c r="AA31" s="108">
        <f t="shared" si="30"/>
        <v>0.52</v>
      </c>
      <c r="AB31" s="109">
        <f t="shared" si="31"/>
        <v>592.80000000000007</v>
      </c>
      <c r="AC31" s="109" t="s">
        <v>155</v>
      </c>
      <c r="AD31" s="104" t="s">
        <v>334</v>
      </c>
      <c r="AE31" s="104"/>
      <c r="AF31" s="104"/>
      <c r="AG31" s="104"/>
      <c r="AH31" s="111" t="s">
        <v>335</v>
      </c>
      <c r="AI31" s="112">
        <v>0.1</v>
      </c>
      <c r="AJ31" s="101">
        <v>0</v>
      </c>
      <c r="AK31" s="101">
        <v>0</v>
      </c>
      <c r="AL31" s="101">
        <v>0</v>
      </c>
      <c r="AM31" s="101">
        <v>3</v>
      </c>
      <c r="AN31" s="101">
        <v>5</v>
      </c>
      <c r="AO31" s="101">
        <v>10</v>
      </c>
      <c r="AP31" s="112" t="str">
        <f>IF(OR(ISBLANK(AI31),AI31=0),"INSERT LIKELIHOOD",IF(ABS(AI31)&lt;='Risk Matrices'!$D$22,'Risk Matrices'!$C$21,IF(ABS(AI31)&lt;='Risk Matrices'!$D$19,'Risk Matrices'!$C$18,IF(ABS(AI31)&lt;='Risk Matrices'!$D$16,'Risk Matrices'!$C$15,IF(ABS(AI31)&lt;='Risk Matrices'!$D$13,'Risk Matrices'!$C$12,'Risk Matrices'!$C$10)))))</f>
        <v>Very Low</v>
      </c>
      <c r="AQ31" s="112" t="str">
        <f>IF(OR(ISBLANK(AK31),AK31=0),"None",IF(ABS(AK31)&lt;='Risk Matrices'!$E$7,'Risk Matrices'!$E$5,IF(ABS(AK31)&lt;='Risk Matrices'!$G$7,'Risk Matrices'!$G$5,IF(ABS(AK31)&lt;='Risk Matrices'!$H$7,'Risk Matrices'!$H$5,'Risk Matrices'!$I$5))))</f>
        <v>None</v>
      </c>
      <c r="AR31" s="112" t="str">
        <f>IF(AN31="","",IF(ABS(AN31)&lt;='Risk Matrices'!$E$8,"Negligible",IF(ABS(AN31)&lt;='Risk Matrices'!$F$8,"Marginal",IF(ABS(AN31)&lt;='Risk Matrices'!$G$8,"Significant",IF(ABS(AN31)&lt;='Risk Matrices'!$H$8,"Critical","Crisis")))))</f>
        <v>Marginal</v>
      </c>
      <c r="AS31" s="103" t="s">
        <v>130</v>
      </c>
      <c r="AT31" s="298">
        <f>IF(OR(ISBLANK(AI31),AI31=0),0,VLOOKUP(AP31,'Risk Matrices'!$B$30:$C$34,2,0))</f>
        <v>1</v>
      </c>
      <c r="AU31" s="298">
        <f>IF(OR(ISBLANK(AK31),AK31=0),0,HLOOKUP(AQ31,'Risk Matrices'!$D$28:$H$29,2,0))</f>
        <v>0</v>
      </c>
      <c r="AV31" s="298">
        <f>IF(OR(ISBLANK(AR31),AR31=0),0,HLOOKUP(AR31,'Risk Matrices'!$D$28:$H$29,2,0))</f>
        <v>2</v>
      </c>
      <c r="AW31" s="298">
        <f>IF(AS31="None",0,HLOOKUP(AS31,'Risk Matrices'!$D$28:$H$29,2,0))</f>
        <v>0</v>
      </c>
      <c r="AX31" s="106">
        <f t="shared" si="20"/>
        <v>2</v>
      </c>
      <c r="AY31" s="106">
        <f t="shared" si="21"/>
        <v>2</v>
      </c>
      <c r="AZ31" s="107" t="str">
        <f>IF(B31="Retired","Retired",IF(OR(ISBLANK(AY31),AY31=0),"TBD",IF(AY31&lt;='Risk Matrices'!$D$40,'Risk Matrices'!$B$40,IF(AY31&lt;='Risk Matrices'!$D$39,'Risk Matrices'!$B$39,'Risk Matrices'!$B$38))))</f>
        <v>Retired</v>
      </c>
      <c r="BA31" s="104"/>
      <c r="BB31" s="122" t="s">
        <v>336</v>
      </c>
      <c r="BC31" s="109" t="str">
        <f t="shared" si="22"/>
        <v>Retired</v>
      </c>
      <c r="BD31" s="104"/>
      <c r="BE31" s="104"/>
      <c r="BF31" s="104"/>
      <c r="BG31" s="768" t="s">
        <v>337</v>
      </c>
      <c r="BH31" s="104"/>
      <c r="BI31" s="104"/>
      <c r="BJ31" s="874">
        <f t="shared" si="23"/>
        <v>0</v>
      </c>
      <c r="BK31" s="101" t="s">
        <v>311</v>
      </c>
      <c r="BL31" s="116">
        <v>44957</v>
      </c>
      <c r="BM31" s="116">
        <v>44316</v>
      </c>
      <c r="BN31" s="330">
        <v>44466</v>
      </c>
      <c r="BO31" s="333"/>
      <c r="BP31" s="94">
        <f t="shared" si="24"/>
        <v>0</v>
      </c>
      <c r="BQ31" s="97" t="str">
        <f t="shared" si="32"/>
        <v>0 - 0 - 0</v>
      </c>
      <c r="BR31" s="97" t="str">
        <f t="shared" si="33"/>
        <v>3 - 5 - 10</v>
      </c>
      <c r="BS31" s="715">
        <f t="shared" si="34"/>
        <v>0</v>
      </c>
      <c r="BT31" s="736">
        <f t="shared" si="35"/>
        <v>0.6</v>
      </c>
      <c r="BU31" s="735" t="s">
        <v>338</v>
      </c>
    </row>
    <row r="32" spans="2:75" customFormat="1" ht="135" hidden="1" x14ac:dyDescent="0.2">
      <c r="B32" s="101" t="str">
        <f t="shared" si="0"/>
        <v>Retired</v>
      </c>
      <c r="C32" s="110">
        <v>179</v>
      </c>
      <c r="D32" s="101" t="s">
        <v>151</v>
      </c>
      <c r="E32" s="103" t="s">
        <v>123</v>
      </c>
      <c r="F32" s="102" t="s">
        <v>124</v>
      </c>
      <c r="G32" s="103" t="s">
        <v>290</v>
      </c>
      <c r="H32" s="103"/>
      <c r="I32" s="103" t="s">
        <v>125</v>
      </c>
      <c r="J32" s="103" t="s">
        <v>126</v>
      </c>
      <c r="K32" s="157" t="s">
        <v>339</v>
      </c>
      <c r="L32" s="121" t="s">
        <v>340</v>
      </c>
      <c r="M32" s="104" t="s">
        <v>141</v>
      </c>
      <c r="N32" s="105">
        <v>25000</v>
      </c>
      <c r="O32" s="106" t="str" cm="1">
        <f t="array" ref="O32">_xlfn.IFS(N32="","",ABS(N32)&lt;='Risk Matrices'!$E$7,'Risk Matrices'!$E$5,ABS(N32)&lt;='Risk Matrices'!$F$7,'Risk Matrices'!$F$5,ABS(N32)&lt;='Risk Matrices'!$G$7,'Risk Matrices'!$G$5,ABS(N32)&lt;='Risk Matrices'!$H$7,'Risk Matrices'!$H$5,ABS(N32)&gt;'Risk Matrices'!$H$7,'Risk Matrices'!$I$5)</f>
        <v>Critical</v>
      </c>
      <c r="P32" s="101">
        <v>6</v>
      </c>
      <c r="Q32" s="101" t="s">
        <v>307</v>
      </c>
      <c r="R32" s="101" t="s">
        <v>307</v>
      </c>
      <c r="S32" s="101">
        <f t="shared" si="25"/>
        <v>3</v>
      </c>
      <c r="T32" s="106" cm="1">
        <f t="array" ref="T32">_xlfn.IFS(O32='Risk Matrices'!$D$28,'Risk Matrices'!$D$29,O32='Risk Matrices'!$E$28,'Risk Matrices'!$E$29,O32='Risk Matrices'!$F$28,'Risk Matrices'!$F$29,O32='Risk Matrices'!$G$28,'Risk Matrices'!$G$29,O32='Risk Matrices'!$H$28,'Risk Matrices'!$H$29)</f>
        <v>4</v>
      </c>
      <c r="U32" s="101">
        <f t="shared" si="26"/>
        <v>3</v>
      </c>
      <c r="V32" s="101">
        <f t="shared" si="26"/>
        <v>3</v>
      </c>
      <c r="W32" s="106">
        <f t="shared" si="27"/>
        <v>4</v>
      </c>
      <c r="X32" s="101">
        <f t="shared" si="28"/>
        <v>12</v>
      </c>
      <c r="Y32" s="107" t="str">
        <f t="shared" si="29"/>
        <v>Moderate</v>
      </c>
      <c r="Z32" s="104" t="s">
        <v>341</v>
      </c>
      <c r="AA32" s="108">
        <f t="shared" si="30"/>
        <v>0.32</v>
      </c>
      <c r="AB32" s="109">
        <f t="shared" si="31"/>
        <v>8000</v>
      </c>
      <c r="AC32" s="109" t="s">
        <v>155</v>
      </c>
      <c r="AD32" s="113" t="s">
        <v>342</v>
      </c>
      <c r="AE32" s="113"/>
      <c r="AF32" s="104"/>
      <c r="AG32" s="104"/>
      <c r="AH32" s="101" t="s">
        <v>343</v>
      </c>
      <c r="AI32" s="878">
        <v>0.3</v>
      </c>
      <c r="AJ32" s="101">
        <v>25000</v>
      </c>
      <c r="AK32" s="101">
        <v>25000</v>
      </c>
      <c r="AL32" s="101">
        <v>25000</v>
      </c>
      <c r="AM32" s="101">
        <v>6</v>
      </c>
      <c r="AN32" s="101">
        <v>6</v>
      </c>
      <c r="AO32" s="101">
        <v>6</v>
      </c>
      <c r="AP32" s="112" t="str">
        <f>IF(OR(ISBLANK(AI32),AI32=0),"INSERT LIKELIHOOD",IF(ABS(AI32)&lt;='Risk Matrices'!$D$22,'Risk Matrices'!$C$21,IF(ABS(AI32)&lt;='Risk Matrices'!$D$19,'Risk Matrices'!$C$18,IF(ABS(AI32)&lt;='Risk Matrices'!$D$16,'Risk Matrices'!$C$15,IF(ABS(AI32)&lt;='Risk Matrices'!$D$13,'Risk Matrices'!$C$12,'Risk Matrices'!$C$10)))))</f>
        <v>Moderate</v>
      </c>
      <c r="AQ32" s="112" t="str">
        <f>IF(OR(ISBLANK(AK32),AK32=0),"None",IF(ABS(AK32)&lt;='Risk Matrices'!$E$7,'Risk Matrices'!$E$5,IF(ABS(AK32)&lt;='Risk Matrices'!$G$7,'Risk Matrices'!$G$5,IF(ABS(AK32)&lt;='Risk Matrices'!$H$7,'Risk Matrices'!$H$5,'Risk Matrices'!$I$5))))</f>
        <v>Critical</v>
      </c>
      <c r="AR32" s="112" t="str">
        <f>IF(AN32="","",IF(ABS(AN32)&lt;='Risk Matrices'!$E$8,"Negligible",IF(ABS(AN32)&lt;='Risk Matrices'!$F$8,"Marginal",IF(ABS(AN32)&lt;='Risk Matrices'!$G$8,"Significant",IF(ABS(AN32)&lt;='Risk Matrices'!$H$8,"Critical","Crisis")))))</f>
        <v>Marginal</v>
      </c>
      <c r="AS32" s="103" t="s">
        <v>307</v>
      </c>
      <c r="AT32" s="298">
        <f>IF(OR(ISBLANK(AI32),AI32=0),0,VLOOKUP(AP32,'Risk Matrices'!$B$30:$C$34,2,0))</f>
        <v>3</v>
      </c>
      <c r="AU32" s="298">
        <f>IF(OR(ISBLANK(AK32),AK32=0),0,HLOOKUP(AQ32,'Risk Matrices'!$D$28:$H$29,2,0))</f>
        <v>4</v>
      </c>
      <c r="AV32" s="298">
        <f>IF(OR(ISBLANK(AR32),AR32=0),0,HLOOKUP(AR32,'Risk Matrices'!$D$28:$H$29,2,0))</f>
        <v>2</v>
      </c>
      <c r="AW32" s="298">
        <f>IF(OR(ISBLANK(AS32),AS32=0),0,HLOOKUP(AS32,'Risk Matrices'!$D$28:$H$29,2,0))</f>
        <v>3</v>
      </c>
      <c r="AX32" s="106">
        <f t="shared" si="20"/>
        <v>4</v>
      </c>
      <c r="AY32" s="106">
        <f t="shared" si="21"/>
        <v>12</v>
      </c>
      <c r="AZ32" s="107" t="str">
        <f>IF(B32="Retired","Retired",IF(OR(ISBLANK(AY32),AY32=0),"TBD",IF(AY32&lt;='Risk Matrices'!$D$40,'Risk Matrices'!$B$40,IF(AY32&lt;='Risk Matrices'!$D$39,'Risk Matrices'!$B$39,'Risk Matrices'!$B$38))))</f>
        <v>Retired</v>
      </c>
      <c r="BA32" s="104"/>
      <c r="BB32" s="113" t="s">
        <v>344</v>
      </c>
      <c r="BC32" s="109" t="str">
        <f t="shared" si="22"/>
        <v>Retired</v>
      </c>
      <c r="BD32" s="104"/>
      <c r="BE32" s="104"/>
      <c r="BF32" s="104"/>
      <c r="BG32" s="104" t="s">
        <v>345</v>
      </c>
      <c r="BH32" s="104"/>
      <c r="BI32" s="104"/>
      <c r="BJ32" s="874">
        <f t="shared" si="23"/>
        <v>7500</v>
      </c>
      <c r="BK32" s="101" t="s">
        <v>311</v>
      </c>
      <c r="BL32" s="116">
        <v>44981</v>
      </c>
      <c r="BM32" s="116">
        <v>44012</v>
      </c>
      <c r="BN32" s="330">
        <v>44134</v>
      </c>
      <c r="BO32" s="333"/>
      <c r="BP32" s="94">
        <f t="shared" si="24"/>
        <v>10000</v>
      </c>
      <c r="BQ32" s="97" t="str">
        <f t="shared" si="32"/>
        <v>25000 - 25000 - 25000</v>
      </c>
      <c r="BR32" s="97" t="str">
        <f t="shared" si="33"/>
        <v>6 - 6 - 6</v>
      </c>
      <c r="BS32" s="715">
        <f t="shared" si="34"/>
        <v>7500</v>
      </c>
      <c r="BT32" s="736">
        <f t="shared" si="35"/>
        <v>1.7999999999999998</v>
      </c>
      <c r="BU32" s="735" t="s">
        <v>346</v>
      </c>
    </row>
    <row r="33" spans="2:75" customFormat="1" ht="136" hidden="1" x14ac:dyDescent="0.2">
      <c r="B33" s="101" t="str">
        <f t="shared" si="0"/>
        <v>Retired</v>
      </c>
      <c r="C33" s="781" t="s">
        <v>347</v>
      </c>
      <c r="D33" s="101" t="s">
        <v>151</v>
      </c>
      <c r="E33" s="103" t="s">
        <v>348</v>
      </c>
      <c r="F33" s="127" t="s">
        <v>124</v>
      </c>
      <c r="G33" s="103" t="s">
        <v>349</v>
      </c>
      <c r="H33" s="103"/>
      <c r="I33" s="103" t="s">
        <v>350</v>
      </c>
      <c r="J33" s="103" t="s">
        <v>351</v>
      </c>
      <c r="K33" s="103" t="s">
        <v>352</v>
      </c>
      <c r="L33" s="101" t="s">
        <v>353</v>
      </c>
      <c r="M33" s="103" t="s">
        <v>129</v>
      </c>
      <c r="N33" s="105">
        <v>10000</v>
      </c>
      <c r="O33" s="106" t="str" cm="1">
        <f t="array" ref="O33">_xlfn.IFS(N33="","",ABS(N33)&lt;='Risk Matrices'!$E$7,'Risk Matrices'!$E$5,ABS(N33)&lt;='Risk Matrices'!$F$7,'Risk Matrices'!$F$5,ABS(N33)&lt;='Risk Matrices'!$G$7,'Risk Matrices'!$G$5,ABS(N33)&lt;='Risk Matrices'!$H$7,'Risk Matrices'!$H$5,ABS(N33)&gt;'Risk Matrices'!$H$7,'Risk Matrices'!$I$5)</f>
        <v>Critical</v>
      </c>
      <c r="P33" s="106"/>
      <c r="Q33" s="103" t="s">
        <v>207</v>
      </c>
      <c r="R33" s="103" t="s">
        <v>280</v>
      </c>
      <c r="S33" s="106">
        <f t="shared" si="25"/>
        <v>4</v>
      </c>
      <c r="T33" s="106" cm="1">
        <f t="array" ref="T33">_xlfn.IFS(O33='Risk Matrices'!$D$28,'Risk Matrices'!$D$29,O33='Risk Matrices'!$E$28,'Risk Matrices'!$E$29,O33='Risk Matrices'!$F$28,'Risk Matrices'!$F$29,O33='Risk Matrices'!$G$28,'Risk Matrices'!$G$29,O33='Risk Matrices'!$H$28,'Risk Matrices'!$H$29)</f>
        <v>4</v>
      </c>
      <c r="U33" s="128">
        <f t="shared" si="26"/>
        <v>1</v>
      </c>
      <c r="V33" s="106">
        <f t="shared" si="26"/>
        <v>2</v>
      </c>
      <c r="W33" s="106">
        <f t="shared" si="27"/>
        <v>4</v>
      </c>
      <c r="X33" s="106">
        <f t="shared" si="28"/>
        <v>16</v>
      </c>
      <c r="Y33" s="107" t="s">
        <v>354</v>
      </c>
      <c r="Z33" s="104"/>
      <c r="AA33" s="108">
        <f t="shared" si="30"/>
        <v>0.52</v>
      </c>
      <c r="AB33" s="109">
        <f t="shared" si="31"/>
        <v>5200</v>
      </c>
      <c r="AC33" s="109" t="s">
        <v>155</v>
      </c>
      <c r="AD33" s="101" t="s">
        <v>355</v>
      </c>
      <c r="AE33" s="101"/>
      <c r="AF33" s="129" t="s">
        <v>356</v>
      </c>
      <c r="AG33" s="129"/>
      <c r="AH33" s="104"/>
      <c r="AI33" s="112"/>
      <c r="AJ33" s="106"/>
      <c r="AK33" s="106"/>
      <c r="AL33" s="106"/>
      <c r="AM33" s="106"/>
      <c r="AN33" s="106"/>
      <c r="AO33" s="106"/>
      <c r="AP33" s="112" t="str">
        <f>IF(OR(ISBLANK(AI33),AI33=0),"INSERT LIKELIHOOD",IF(ABS(AI33)&lt;='Risk Matrices'!$D$22,'Risk Matrices'!$C$21,IF(ABS(AI33)&lt;='Risk Matrices'!$D$19,'Risk Matrices'!$C$18,IF(ABS(AI33)&lt;='Risk Matrices'!$D$16,'Risk Matrices'!$C$15,IF(ABS(AI33)&lt;='Risk Matrices'!$D$13,'Risk Matrices'!$C$12,'Risk Matrices'!$C$10)))))</f>
        <v>INSERT LIKELIHOOD</v>
      </c>
      <c r="AQ33" s="112" t="str">
        <f>IF(OR(ISBLANK(AK33),AK33=0),"",IF(ABS(AK33)&lt;='Risk Matrices'!$E$7,'Risk Matrices'!$E$5,IF(ABS(AK33)&lt;='Risk Matrices'!$G$7,'Risk Matrices'!$G$5,IF(ABS(AK33)&lt;='Risk Matrices'!$H$7,'Risk Matrices'!$H$5,'Risk Matrices'!$I$5))))</f>
        <v/>
      </c>
      <c r="AR33" s="112" t="str">
        <f>IF(AN33="","",IF(ABS(AN33)&lt;='Risk Matrices'!$E$8,"Negligible",IF(ABS(AN33)&lt;='Risk Matrices'!$F$8,"Marginal",IF(ABS(AN33)&lt;='Risk Matrices'!$G$8,"Significant",IF(ABS(AN33)&lt;='Risk Matrices'!$H$8,"Critical","Crisis")))))</f>
        <v/>
      </c>
      <c r="AS33" s="103" t="s">
        <v>130</v>
      </c>
      <c r="AT33" s="298">
        <f>IF(OR(ISBLANK(AI33),AI33=0),0,VLOOKUP(AP33,'Risk Matrices'!$B$30:$C$34,2,0))</f>
        <v>0</v>
      </c>
      <c r="AU33" s="298">
        <f>IF(OR(ISBLANK(AK33),AK33=0),0,HLOOKUP(AQ33,'Risk Matrices'!$D$28:$H$29,2,0))</f>
        <v>0</v>
      </c>
      <c r="AV33" s="298" t="e">
        <f>IF(OR(ISBLANK(AR33),AR33=0),0,HLOOKUP(AR33,'Risk Matrices'!$D$28:$H$29,2,0))</f>
        <v>#N/A</v>
      </c>
      <c r="AW33" s="298">
        <f>IF(AS33="None",0,HLOOKUP(AS33,'Risk Matrices'!$D$28:$H$29,2,0))</f>
        <v>0</v>
      </c>
      <c r="AX33" s="106" t="e">
        <f t="shared" si="20"/>
        <v>#N/A</v>
      </c>
      <c r="AY33" s="106" t="e">
        <f t="shared" si="21"/>
        <v>#N/A</v>
      </c>
      <c r="AZ33" s="107" t="str">
        <f>IF(B33="Retired","Retired",IF(OR(ISBLANK(AY33),AY33=0),"TBD",IF(AY33&lt;='Risk Matrices'!$D$40,'Risk Matrices'!$B$40,IF(AY33&lt;='Risk Matrices'!$D$39,'Risk Matrices'!$B$39,'Risk Matrices'!$B$38))))</f>
        <v>Retired</v>
      </c>
      <c r="BA33" s="113"/>
      <c r="BB33" s="114"/>
      <c r="BC33" s="109" t="str">
        <f t="shared" si="22"/>
        <v>Retired</v>
      </c>
      <c r="BD33" s="113"/>
      <c r="BE33" s="114"/>
      <c r="BF33" s="115"/>
      <c r="BG33" s="115" t="s">
        <v>357</v>
      </c>
      <c r="BH33" s="115"/>
      <c r="BI33" s="115"/>
      <c r="BJ33" s="874">
        <f t="shared" si="23"/>
        <v>0</v>
      </c>
      <c r="BK33" s="101" t="s">
        <v>311</v>
      </c>
      <c r="BL33" s="130">
        <v>44154</v>
      </c>
      <c r="BM33" s="116">
        <v>43516</v>
      </c>
      <c r="BN33" s="329">
        <v>43554</v>
      </c>
      <c r="BO33" s="332"/>
      <c r="BP33" s="94">
        <f t="shared" si="24"/>
        <v>0</v>
      </c>
      <c r="BQ33" s="97" t="str">
        <f t="shared" si="32"/>
        <v xml:space="preserve"> -  - </v>
      </c>
      <c r="BR33" s="97" t="str">
        <f t="shared" si="33"/>
        <v xml:space="preserve"> -  - </v>
      </c>
      <c r="BS33" s="715">
        <f t="shared" si="34"/>
        <v>0</v>
      </c>
      <c r="BT33" s="736">
        <f t="shared" si="35"/>
        <v>0</v>
      </c>
      <c r="BU33" s="735" t="s">
        <v>347</v>
      </c>
    </row>
    <row r="34" spans="2:75" customFormat="1" ht="51" hidden="1" x14ac:dyDescent="0.2">
      <c r="B34" s="691" t="str">
        <f t="shared" si="0"/>
        <v>Retired</v>
      </c>
      <c r="C34" s="781" t="s">
        <v>358</v>
      </c>
      <c r="D34" s="101" t="s">
        <v>151</v>
      </c>
      <c r="E34" s="103" t="s">
        <v>348</v>
      </c>
      <c r="F34" s="102" t="s">
        <v>124</v>
      </c>
      <c r="G34" s="157" t="s">
        <v>359</v>
      </c>
      <c r="H34" s="157"/>
      <c r="I34" s="106" t="s">
        <v>360</v>
      </c>
      <c r="J34" s="101" t="s">
        <v>361</v>
      </c>
      <c r="K34" s="101" t="s">
        <v>362</v>
      </c>
      <c r="L34" s="748" t="s">
        <v>363</v>
      </c>
      <c r="M34" s="103"/>
      <c r="N34" s="105"/>
      <c r="O34" s="106" t="str" cm="1">
        <f t="array" ref="O34">_xlfn.IFS(N34="","",ABS(N34)&lt;='Risk Matrices'!$E$7,'Risk Matrices'!$E$5,ABS(N34)&lt;='Risk Matrices'!$F$7,'Risk Matrices'!$F$5,ABS(N34)&lt;='Risk Matrices'!$G$7,'Risk Matrices'!$G$5,ABS(N34)&lt;='Risk Matrices'!$H$7,'Risk Matrices'!$H$5,ABS(N34)&gt;'Risk Matrices'!$H$7,'Risk Matrices'!$I$5)</f>
        <v/>
      </c>
      <c r="P34" s="106"/>
      <c r="Q34" s="103"/>
      <c r="R34" s="103"/>
      <c r="S34" s="106"/>
      <c r="T34" s="106" t="e" cm="1">
        <f t="array" ref="T34">_xlfn.IFS(O34='Risk Matrices'!$D$28,'Risk Matrices'!$D$29,O34='Risk Matrices'!$E$28,'Risk Matrices'!$E$29,O34='Risk Matrices'!$F$28,'Risk Matrices'!$F$29,O34='Risk Matrices'!$G$28,'Risk Matrices'!$G$29,O34='Risk Matrices'!$H$28,'Risk Matrices'!$H$29)</f>
        <v>#N/A</v>
      </c>
      <c r="U34" s="128"/>
      <c r="V34" s="106"/>
      <c r="W34" s="106"/>
      <c r="X34" s="106"/>
      <c r="Y34" s="107"/>
      <c r="Z34" s="104"/>
      <c r="AA34" s="108"/>
      <c r="AB34" s="109"/>
      <c r="AC34" s="109" t="s">
        <v>155</v>
      </c>
      <c r="AD34" s="690" t="s">
        <v>364</v>
      </c>
      <c r="AE34" s="690"/>
      <c r="AF34" s="129"/>
      <c r="AG34" s="129"/>
      <c r="AH34" s="127" t="s">
        <v>365</v>
      </c>
      <c r="AI34" s="886">
        <v>0.9</v>
      </c>
      <c r="AJ34" s="689">
        <v>1000</v>
      </c>
      <c r="AK34" s="689">
        <v>2000</v>
      </c>
      <c r="AL34" s="689">
        <v>4000</v>
      </c>
      <c r="AM34" s="689">
        <v>3</v>
      </c>
      <c r="AN34" s="689">
        <v>6</v>
      </c>
      <c r="AO34" s="689">
        <v>12</v>
      </c>
      <c r="AP34" s="112" t="str">
        <f>IF(OR(ISBLANK(AI34),AI34=0),"INSERT LIKELIHOOD",IF(ABS(AI34)&lt;='Risk Matrices'!$D$22,'Risk Matrices'!$C$21,IF(ABS(AI34)&lt;='Risk Matrices'!$D$19,'Risk Matrices'!$C$18,IF(ABS(AI34)&lt;='Risk Matrices'!$D$16,'Risk Matrices'!$C$15,IF(ABS(AI34)&lt;='Risk Matrices'!$D$13,'Risk Matrices'!$C$12,'Risk Matrices'!$C$10)))))</f>
        <v>Very High</v>
      </c>
      <c r="AQ34" s="112" t="str">
        <f>IF(OR(ISBLANK(AK34),AK34=0),"None",IF(ABS(AK34)&lt;='Risk Matrices'!$E$7,'Risk Matrices'!$E$5,IF(ABS(AK34)&lt;='Risk Matrices'!$G$7,'Risk Matrices'!$G$5,IF(ABS(AK34)&lt;='Risk Matrices'!$H$7,'Risk Matrices'!$H$5,'Risk Matrices'!$I$5))))</f>
        <v>Significant</v>
      </c>
      <c r="AR34" s="112" t="str">
        <f>IF(AN34="","",IF(ABS(AN34)&lt;='Risk Matrices'!$E$8,"Negligible",IF(ABS(AN34)&lt;='Risk Matrices'!$F$8,"Marginal",IF(ABS(AN34)&lt;='Risk Matrices'!$G$8,"Significant",IF(ABS(AN34)&lt;='Risk Matrices'!$H$8,"Critical","Crisis")))))</f>
        <v>Marginal</v>
      </c>
      <c r="AS34" s="103" t="s">
        <v>130</v>
      </c>
      <c r="AT34" s="205">
        <f>IF(OR(ISBLANK(AI34),AI34=0),0,VLOOKUP(AP34,'Risk Matrices'!$B$30:$C$34,2,0))</f>
        <v>5</v>
      </c>
      <c r="AU34" s="205">
        <f>IF(OR(ISBLANK(AK34),AK34=0),0,HLOOKUP(AQ34,'Risk Matrices'!$D$28:$H$29,2,0))</f>
        <v>3</v>
      </c>
      <c r="AV34" s="205">
        <f>IF(OR(ISBLANK(AR34),AR34=0),0,HLOOKUP(AR34,'Risk Matrices'!$D$28:$H$29,2,0))</f>
        <v>2</v>
      </c>
      <c r="AW34" s="298">
        <f>IF(AS34="None",0,HLOOKUP(AS34,'Risk Matrices'!$D$28:$H$29,2,0))</f>
        <v>0</v>
      </c>
      <c r="AX34" s="106">
        <f t="shared" si="20"/>
        <v>3</v>
      </c>
      <c r="AY34" s="106">
        <f t="shared" si="21"/>
        <v>15</v>
      </c>
      <c r="AZ34" s="107" t="str">
        <f>IF(B34="Retired","Retired",IF(OR(ISBLANK(AY34),AY34=0),"TBD",IF(AY34&lt;='Risk Matrices'!$D$40,'Risk Matrices'!$B$40,IF(AY34&lt;='Risk Matrices'!$D$39,'Risk Matrices'!$B$39,'Risk Matrices'!$B$38))))</f>
        <v>Retired</v>
      </c>
      <c r="BA34" s="113"/>
      <c r="BB34" s="352" t="s">
        <v>366</v>
      </c>
      <c r="BC34" s="109" t="str">
        <f t="shared" si="22"/>
        <v>Retired</v>
      </c>
      <c r="BD34" s="113"/>
      <c r="BE34" s="114"/>
      <c r="BF34" s="115"/>
      <c r="BG34" s="115" t="s">
        <v>367</v>
      </c>
      <c r="BH34" s="115"/>
      <c r="BI34" s="115"/>
      <c r="BJ34" s="874"/>
      <c r="BK34" s="101"/>
      <c r="BL34" s="130"/>
      <c r="BM34" s="116">
        <v>44852</v>
      </c>
      <c r="BN34" s="330" t="s">
        <v>367</v>
      </c>
      <c r="BO34" s="332"/>
      <c r="BP34" s="94">
        <f t="shared" si="24"/>
        <v>2700</v>
      </c>
      <c r="BQ34" s="97" t="str">
        <f t="shared" si="32"/>
        <v>1000 - 2000 - 4000</v>
      </c>
      <c r="BR34" s="97" t="str">
        <f t="shared" si="33"/>
        <v>3 - 6 - 12</v>
      </c>
      <c r="BS34" s="715">
        <f t="shared" si="34"/>
        <v>0</v>
      </c>
      <c r="BT34" s="736">
        <f t="shared" si="35"/>
        <v>6.3000000000000007</v>
      </c>
      <c r="BU34" s="735" t="s">
        <v>368</v>
      </c>
    </row>
    <row r="35" spans="2:75" customFormat="1" ht="75" hidden="1" x14ac:dyDescent="0.2">
      <c r="B35" s="101" t="str">
        <f>IF(BG35="","Active","Retired")</f>
        <v>Retired</v>
      </c>
      <c r="C35" s="781" t="s">
        <v>369</v>
      </c>
      <c r="D35" s="101" t="s">
        <v>151</v>
      </c>
      <c r="E35" s="103" t="s">
        <v>348</v>
      </c>
      <c r="F35" s="102" t="s">
        <v>124</v>
      </c>
      <c r="G35" s="157" t="s">
        <v>359</v>
      </c>
      <c r="H35" s="157"/>
      <c r="I35" s="106" t="s">
        <v>360</v>
      </c>
      <c r="J35" s="101" t="s">
        <v>361</v>
      </c>
      <c r="K35" s="101" t="s">
        <v>370</v>
      </c>
      <c r="L35" s="748" t="s">
        <v>371</v>
      </c>
      <c r="M35" s="103"/>
      <c r="N35" s="105"/>
      <c r="O35" s="106" t="str" cm="1">
        <f t="array" ref="O35">_xlfn.IFS(N35="","",ABS(N35)&lt;='Risk Matrices'!$E$7,'Risk Matrices'!$E$5,ABS(N35)&lt;='Risk Matrices'!$F$7,'Risk Matrices'!$F$5,ABS(N35)&lt;='Risk Matrices'!$G$7,'Risk Matrices'!$G$5,ABS(N35)&lt;='Risk Matrices'!$H$7,'Risk Matrices'!$H$5,ABS(N35)&gt;'Risk Matrices'!$H$7,'Risk Matrices'!$I$5)</f>
        <v/>
      </c>
      <c r="P35" s="106"/>
      <c r="Q35" s="103"/>
      <c r="R35" s="103"/>
      <c r="S35" s="106"/>
      <c r="T35" s="106" t="e" cm="1">
        <f t="array" ref="T35">_xlfn.IFS(O35='Risk Matrices'!$D$28,'Risk Matrices'!$D$29,O35='Risk Matrices'!$E$28,'Risk Matrices'!$E$29,O35='Risk Matrices'!$F$28,'Risk Matrices'!$F$29,O35='Risk Matrices'!$G$28,'Risk Matrices'!$G$29,O35='Risk Matrices'!$H$28,'Risk Matrices'!$H$29)</f>
        <v>#N/A</v>
      </c>
      <c r="U35" s="128"/>
      <c r="V35" s="106"/>
      <c r="W35" s="106"/>
      <c r="X35" s="106"/>
      <c r="Y35" s="107"/>
      <c r="Z35" s="104"/>
      <c r="AA35" s="108"/>
      <c r="AB35" s="109"/>
      <c r="AC35" s="109" t="s">
        <v>155</v>
      </c>
      <c r="AD35" s="253" t="s">
        <v>372</v>
      </c>
      <c r="AE35" s="253"/>
      <c r="AF35" s="129"/>
      <c r="AG35" s="129"/>
      <c r="AH35" s="127" t="s">
        <v>373</v>
      </c>
      <c r="AI35" s="886">
        <v>0.95</v>
      </c>
      <c r="AJ35" s="689">
        <v>1500</v>
      </c>
      <c r="AK35" s="689">
        <v>2000</v>
      </c>
      <c r="AL35" s="689">
        <v>3000</v>
      </c>
      <c r="AM35" s="689">
        <v>1</v>
      </c>
      <c r="AN35" s="689">
        <v>3</v>
      </c>
      <c r="AO35" s="689">
        <v>6</v>
      </c>
      <c r="AP35" s="112" t="str">
        <f>IF(OR(ISBLANK(AI35),AI35=0),"INSERT LIKELIHOOD",IF(ABS(AI35)&lt;='Risk Matrices'!$D$22,'Risk Matrices'!$C$21,IF(ABS(AI35)&lt;='Risk Matrices'!$D$19,'Risk Matrices'!$C$18,IF(ABS(AI35)&lt;='Risk Matrices'!$D$16,'Risk Matrices'!$C$15,IF(ABS(AI35)&lt;='Risk Matrices'!$D$13,'Risk Matrices'!$C$12,'Risk Matrices'!$C$10)))))</f>
        <v>Very High</v>
      </c>
      <c r="AQ35" s="112" t="str">
        <f>IF(OR(ISBLANK(AK35),AK35=0),"None",IF(ABS(AK35)&lt;='Risk Matrices'!$E$7,'Risk Matrices'!$E$5,IF(ABS(AK35)&lt;='Risk Matrices'!$G$7,'Risk Matrices'!$G$5,IF(ABS(AK35)&lt;='Risk Matrices'!$H$7,'Risk Matrices'!$H$5,'Risk Matrices'!$I$5))))</f>
        <v>Significant</v>
      </c>
      <c r="AR35" s="112" t="str">
        <f>IF(AN35="","",IF(ABS(AN35)&lt;='Risk Matrices'!$E$8,"Negligible",IF(ABS(AN35)&lt;='Risk Matrices'!$F$8,"Marginal",IF(ABS(AN35)&lt;='Risk Matrices'!$G$8,"Significant",IF(ABS(AN35)&lt;='Risk Matrices'!$H$8,"Critical","Crisis")))))</f>
        <v>Negligible</v>
      </c>
      <c r="AS35" s="103" t="s">
        <v>130</v>
      </c>
      <c r="AT35" s="205">
        <f>IF(OR(ISBLANK(AI35),AI35=0),0,VLOOKUP(AP35,'Risk Matrices'!$B$30:$C$34,2,0))</f>
        <v>5</v>
      </c>
      <c r="AU35" s="205">
        <f>IF(OR(ISBLANK(AK35),AK35=0),0,HLOOKUP(AQ35,'Risk Matrices'!$D$28:$H$29,2,0))</f>
        <v>3</v>
      </c>
      <c r="AV35" s="205">
        <f>IF(OR(ISBLANK(AR35),AR35=0),0,HLOOKUP(AR35,'Risk Matrices'!$D$28:$H$29,2,0))</f>
        <v>1</v>
      </c>
      <c r="AW35" s="298">
        <f>IF(AS35="None",0,HLOOKUP(AS35,'Risk Matrices'!$D$28:$H$29,2,0))</f>
        <v>0</v>
      </c>
      <c r="AX35" s="106">
        <f t="shared" si="20"/>
        <v>3</v>
      </c>
      <c r="AY35" s="106">
        <f t="shared" si="21"/>
        <v>15</v>
      </c>
      <c r="AZ35" s="107" t="str">
        <f>IF(B35="Retired","Retired",IF(OR(ISBLANK(AY35),AY35=0),"TBD",IF(AY35&lt;='Risk Matrices'!$D$40,'Risk Matrices'!$B$40,IF(AY35&lt;='Risk Matrices'!$D$39,'Risk Matrices'!$B$39,'Risk Matrices'!$B$38))))</f>
        <v>Retired</v>
      </c>
      <c r="BA35" s="113"/>
      <c r="BB35" s="352" t="s">
        <v>366</v>
      </c>
      <c r="BC35" s="109" t="str">
        <f t="shared" si="22"/>
        <v>Retired</v>
      </c>
      <c r="BD35" s="113"/>
      <c r="BE35" s="114"/>
      <c r="BF35" s="115"/>
      <c r="BG35" s="806" t="s">
        <v>374</v>
      </c>
      <c r="BH35" s="115"/>
      <c r="BI35" s="115"/>
      <c r="BJ35" s="874"/>
      <c r="BK35" s="101" t="s">
        <v>375</v>
      </c>
      <c r="BL35" s="130"/>
      <c r="BM35" s="116">
        <v>44852</v>
      </c>
      <c r="BN35" s="330"/>
      <c r="BO35" s="332"/>
      <c r="BP35" s="94">
        <f t="shared" si="24"/>
        <v>2691.6666666666665</v>
      </c>
      <c r="BQ35" s="97" t="str">
        <f t="shared" si="32"/>
        <v>1500 - 2000 - 3000</v>
      </c>
      <c r="BR35" s="97" t="str">
        <f t="shared" si="33"/>
        <v>1 - 3 - 6</v>
      </c>
      <c r="BS35" s="715">
        <f t="shared" si="34"/>
        <v>0</v>
      </c>
      <c r="BT35" s="736">
        <f t="shared" si="35"/>
        <v>3.1666666666666665</v>
      </c>
      <c r="BU35" s="735" t="s">
        <v>369</v>
      </c>
    </row>
    <row r="36" spans="2:75" customFormat="1" ht="64" hidden="1" x14ac:dyDescent="0.2">
      <c r="B36" s="101" t="str">
        <f t="shared" ref="B36:B67" si="36">IF(BN36="","Proposed",IF(BG36="","Active","Retired"))</f>
        <v>Retired</v>
      </c>
      <c r="C36" s="782" t="s">
        <v>376</v>
      </c>
      <c r="D36" s="101" t="s">
        <v>151</v>
      </c>
      <c r="E36" s="132" t="s">
        <v>348</v>
      </c>
      <c r="F36" s="127" t="s">
        <v>124</v>
      </c>
      <c r="G36" s="132" t="s">
        <v>349</v>
      </c>
      <c r="H36" s="132"/>
      <c r="I36" s="133" t="s">
        <v>179</v>
      </c>
      <c r="J36" s="103" t="s">
        <v>351</v>
      </c>
      <c r="K36" s="126" t="s">
        <v>377</v>
      </c>
      <c r="L36" s="121" t="s">
        <v>378</v>
      </c>
      <c r="M36" s="132" t="s">
        <v>379</v>
      </c>
      <c r="N36" s="134">
        <v>10000</v>
      </c>
      <c r="O36" s="106" t="str" cm="1">
        <f t="array" ref="O36">_xlfn.IFS(N36="","",ABS(N36)&lt;='Risk Matrices'!$E$7,'Risk Matrices'!$E$5,ABS(N36)&lt;='Risk Matrices'!$F$7,'Risk Matrices'!$F$5,ABS(N36)&lt;='Risk Matrices'!$G$7,'Risk Matrices'!$G$5,ABS(N36)&lt;='Risk Matrices'!$H$7,'Risk Matrices'!$H$5,ABS(N36)&gt;'Risk Matrices'!$H$7,'Risk Matrices'!$I$5)</f>
        <v>Critical</v>
      </c>
      <c r="P36" s="128">
        <v>0</v>
      </c>
      <c r="Q36" s="131" t="s">
        <v>207</v>
      </c>
      <c r="R36" s="131" t="s">
        <v>280</v>
      </c>
      <c r="S36" s="128">
        <f t="shared" ref="S36:S52" si="37">IF(M36="",0,IF(M36="Very Low (There is a &lt;10% chance that this event will occur)",1,IF(M36="Low (Risk is likely to occur with a probability of &gt; 10% to &lt; 25%)",2,IF(M36="Moderate (Risk is likely to occur with a probability of &gt; 25% to &lt; 40%)",3,IF(M36="High (Risk is likely to occur with a probability of &gt;40 to &lt;65%)",4,IF(M36="Very High (Risk is likely to occur with a probability of &gt;65%)",5))))))</f>
        <v>1</v>
      </c>
      <c r="T36" s="106" cm="1">
        <f t="array" ref="T36">_xlfn.IFS(O36='Risk Matrices'!$D$28,'Risk Matrices'!$D$29,O36='Risk Matrices'!$E$28,'Risk Matrices'!$E$29,O36='Risk Matrices'!$F$28,'Risk Matrices'!$F$29,O36='Risk Matrices'!$G$28,'Risk Matrices'!$G$29,O36='Risk Matrices'!$H$28,'Risk Matrices'!$H$29)</f>
        <v>4</v>
      </c>
      <c r="U36" s="128">
        <f t="shared" ref="U36:V38" si="38">IF(Q36="",0,IF(Q36="Negligible",1,IF(Q36="Marginal",2,IF(Q36="Significant",3,IF(Q36="Critical",4,IF(Q36="Crisis",5))))))</f>
        <v>1</v>
      </c>
      <c r="V36" s="128">
        <f t="shared" si="38"/>
        <v>2</v>
      </c>
      <c r="W36" s="106">
        <f>MAX(T36,U36,V36)</f>
        <v>4</v>
      </c>
      <c r="X36" s="128">
        <f>S36*W36</f>
        <v>4</v>
      </c>
      <c r="Y36" s="135" t="str">
        <f t="shared" ref="Y36:Y52" si="39">IF(X36&lt;=6,"Low",IF(X36&lt;=14,"Moderate",IF(X36&lt;=25,"High")))</f>
        <v>Low</v>
      </c>
      <c r="Z36" s="121"/>
      <c r="AA36" s="136">
        <f>IF(M36="",0,IF(M36="Very Low (There is a &lt;10% chance that this event will occur)",0.05,IF(M36="Low (Risk is likely to occur with a probability of &gt; 10% to &lt; 25%)",0.17,IF(M36="Moderate (Risk is likely to occur with a probability of &gt; 25% to &lt; 40%)",0.32,IF(M36="High (Risk is likely to occur with a probability of &gt;40 to &lt;65%)",0.52,IF(M36="Very High (Risk is likely to occur with a probability of &gt;65%)",0.82))))))</f>
        <v>0.05</v>
      </c>
      <c r="AB36" s="137">
        <f>+AA36*N36</f>
        <v>500</v>
      </c>
      <c r="AC36" s="137" t="s">
        <v>155</v>
      </c>
      <c r="AD36" s="113" t="s">
        <v>380</v>
      </c>
      <c r="AE36" s="113"/>
      <c r="AF36" s="138" t="s">
        <v>381</v>
      </c>
      <c r="AG36" s="138"/>
      <c r="AH36" s="104" t="s">
        <v>382</v>
      </c>
      <c r="AI36" s="112">
        <v>0.1</v>
      </c>
      <c r="AJ36" s="140">
        <v>0</v>
      </c>
      <c r="AK36" s="140">
        <v>0</v>
      </c>
      <c r="AL36" s="140">
        <v>0</v>
      </c>
      <c r="AM36" s="140">
        <v>0</v>
      </c>
      <c r="AN36" s="140">
        <v>0</v>
      </c>
      <c r="AO36" s="140">
        <v>0</v>
      </c>
      <c r="AP36" s="112" t="str">
        <f>IF(OR(ISBLANK(AI36),AI36=0),"INSERT LIKELIHOOD",IF(ABS(AI36)&lt;='Risk Matrices'!$D$22,'Risk Matrices'!$C$21,IF(ABS(AI36)&lt;='Risk Matrices'!$D$19,'Risk Matrices'!$C$18,IF(ABS(AI36)&lt;='Risk Matrices'!$D$16,'Risk Matrices'!$C$15,IF(ABS(AI36)&lt;='Risk Matrices'!$D$13,'Risk Matrices'!$C$12,'Risk Matrices'!$C$10)))))</f>
        <v>Very Low</v>
      </c>
      <c r="AQ36" s="112" t="str">
        <f>IF(OR(ISBLANK(AK36),AK36=0),"None",IF(ABS(AK36)&lt;='Risk Matrices'!$E$7,'Risk Matrices'!$E$5,IF(ABS(AK36)&lt;='Risk Matrices'!$G$7,'Risk Matrices'!$G$5,IF(ABS(AK36)&lt;='Risk Matrices'!$H$7,'Risk Matrices'!$H$5,'Risk Matrices'!$I$5))))</f>
        <v>None</v>
      </c>
      <c r="AR36" s="112" t="str">
        <f>IF(AN36="","",IF(ABS(AN36)&lt;='Risk Matrices'!$E$8,"Negligible",IF(ABS(AN36)&lt;='Risk Matrices'!$F$8,"Marginal",IF(ABS(AN36)&lt;='Risk Matrices'!$G$8,"Significant",IF(ABS(AN36)&lt;='Risk Matrices'!$H$8,"Critical","Crisis")))))</f>
        <v>Negligible</v>
      </c>
      <c r="AS36" s="102" t="s">
        <v>307</v>
      </c>
      <c r="AT36" s="298">
        <f>IF(OR(ISBLANK(AI36),AI36=0),0,VLOOKUP(AP36,'Risk Matrices'!$B$30:$C$34,2,0))</f>
        <v>1</v>
      </c>
      <c r="AU36" s="298">
        <f>IF(OR(ISBLANK(AK36),AK36=0),0,HLOOKUP(AQ36,'Risk Matrices'!$D$28:$H$29,2,0))</f>
        <v>0</v>
      </c>
      <c r="AV36" s="298">
        <f>IF(OR(ISBLANK(AR36),AR36=0),0,HLOOKUP(AR36,'Risk Matrices'!$D$28:$H$29,2,0))</f>
        <v>1</v>
      </c>
      <c r="AW36" s="298">
        <f>IF(OR(ISBLANK(AS36),AS36=0),0,HLOOKUP(AS36,'Risk Matrices'!$D$28:$H$29,2,0))</f>
        <v>3</v>
      </c>
      <c r="AX36" s="106">
        <f t="shared" si="20"/>
        <v>3</v>
      </c>
      <c r="AY36" s="106">
        <f t="shared" si="21"/>
        <v>3</v>
      </c>
      <c r="AZ36" s="107" t="str">
        <f>IF(B36="Retired","Retired",IF(OR(ISBLANK(AY36),AY36=0),"TBD",IF(AY36&lt;='Risk Matrices'!$D$40,'Risk Matrices'!$B$40,IF(AY36&lt;='Risk Matrices'!$D$39,'Risk Matrices'!$B$39,'Risk Matrices'!$B$38))))</f>
        <v>Retired</v>
      </c>
      <c r="BA36" s="112"/>
      <c r="BB36" s="746"/>
      <c r="BC36" s="109" t="str">
        <f t="shared" si="22"/>
        <v>Retired</v>
      </c>
      <c r="BD36" s="113"/>
      <c r="BE36" s="114"/>
      <c r="BF36" s="115"/>
      <c r="BG36" s="764" t="s">
        <v>383</v>
      </c>
      <c r="BH36" s="115"/>
      <c r="BI36" s="115"/>
      <c r="BJ36" s="874">
        <f t="shared" ref="BJ36:BJ56" si="40">AI36*(SUM(AJ36:AL36)/3)</f>
        <v>0</v>
      </c>
      <c r="BK36" s="101" t="s">
        <v>311</v>
      </c>
      <c r="BL36" s="116">
        <v>44849</v>
      </c>
      <c r="BM36" s="116">
        <v>44012</v>
      </c>
      <c r="BN36" s="330">
        <v>44134</v>
      </c>
      <c r="BO36" s="332"/>
      <c r="BP36" s="94">
        <f t="shared" si="24"/>
        <v>0</v>
      </c>
      <c r="BQ36" s="97" t="str">
        <f t="shared" si="32"/>
        <v>0 - 0 - 0</v>
      </c>
      <c r="BR36" s="97" t="str">
        <f t="shared" si="33"/>
        <v>0 - 0 - 0</v>
      </c>
      <c r="BS36" s="715">
        <f t="shared" si="34"/>
        <v>0</v>
      </c>
      <c r="BT36" s="736">
        <f t="shared" si="35"/>
        <v>0</v>
      </c>
      <c r="BU36" s="735" t="s">
        <v>376</v>
      </c>
    </row>
    <row r="37" spans="2:75" customFormat="1" ht="60" hidden="1" x14ac:dyDescent="0.2">
      <c r="B37" s="101" t="str">
        <f t="shared" si="36"/>
        <v>Retired</v>
      </c>
      <c r="C37" s="781" t="s">
        <v>384</v>
      </c>
      <c r="D37" s="101" t="s">
        <v>151</v>
      </c>
      <c r="E37" s="103" t="s">
        <v>348</v>
      </c>
      <c r="F37" s="127" t="s">
        <v>124</v>
      </c>
      <c r="G37" s="103" t="s">
        <v>349</v>
      </c>
      <c r="H37" s="103"/>
      <c r="I37" s="106" t="s">
        <v>350</v>
      </c>
      <c r="J37" s="103" t="s">
        <v>351</v>
      </c>
      <c r="K37" s="101" t="s">
        <v>385</v>
      </c>
      <c r="L37" s="121" t="s">
        <v>386</v>
      </c>
      <c r="M37" s="103" t="s">
        <v>141</v>
      </c>
      <c r="N37" s="105">
        <v>10000</v>
      </c>
      <c r="O37" s="106" t="str" cm="1">
        <f t="array" ref="O37">_xlfn.IFS(N37="","",ABS(N37)&lt;='Risk Matrices'!$E$7,'Risk Matrices'!$E$5,ABS(N37)&lt;='Risk Matrices'!$F$7,'Risk Matrices'!$F$5,ABS(N37)&lt;='Risk Matrices'!$G$7,'Risk Matrices'!$G$5,ABS(N37)&lt;='Risk Matrices'!$H$7,'Risk Matrices'!$H$5,ABS(N37)&gt;'Risk Matrices'!$H$7,'Risk Matrices'!$I$5)</f>
        <v>Critical</v>
      </c>
      <c r="P37" s="106">
        <v>0</v>
      </c>
      <c r="Q37" s="102" t="s">
        <v>207</v>
      </c>
      <c r="R37" s="102" t="s">
        <v>280</v>
      </c>
      <c r="S37" s="106">
        <f t="shared" si="37"/>
        <v>3</v>
      </c>
      <c r="T37" s="106" cm="1">
        <f t="array" ref="T37">_xlfn.IFS(O37='Risk Matrices'!$D$28,'Risk Matrices'!$D$29,O37='Risk Matrices'!$E$28,'Risk Matrices'!$E$29,O37='Risk Matrices'!$F$28,'Risk Matrices'!$F$29,O37='Risk Matrices'!$G$28,'Risk Matrices'!$G$29,O37='Risk Matrices'!$H$28,'Risk Matrices'!$H$29)</f>
        <v>4</v>
      </c>
      <c r="U37" s="106">
        <f t="shared" si="38"/>
        <v>1</v>
      </c>
      <c r="V37" s="106">
        <f t="shared" si="38"/>
        <v>2</v>
      </c>
      <c r="W37" s="106">
        <f>MAX(T37,U37,V37)</f>
        <v>4</v>
      </c>
      <c r="X37" s="106">
        <f>S37*W37</f>
        <v>12</v>
      </c>
      <c r="Y37" s="107" t="str">
        <f t="shared" si="39"/>
        <v>Moderate</v>
      </c>
      <c r="Z37" s="104"/>
      <c r="AA37" s="108">
        <f>IF(M37="",0,IF(M37="Very Low (There is a &lt;10% chance that this event will occur)",0.05,IF(M37="Low (Risk is likely to occur with a probability of &gt; 10% to &lt; 25%)",0.17,IF(M37="Moderate (Risk is likely to occur with a probability of &gt; 25% to &lt; 40%)",0.32,IF(M37="High (Risk is likely to occur with a probability of &gt;40 to &lt;65%)",0.52,IF(M37="Very High (Risk is likely to occur with a probability of &gt;65%)",0.82))))))</f>
        <v>0.32</v>
      </c>
      <c r="AB37" s="109">
        <f>+AA37*N37</f>
        <v>3200</v>
      </c>
      <c r="AC37" s="109" t="s">
        <v>155</v>
      </c>
      <c r="AD37" s="104" t="s">
        <v>387</v>
      </c>
      <c r="AE37" s="104"/>
      <c r="AF37" s="110" t="s">
        <v>381</v>
      </c>
      <c r="AG37" s="110"/>
      <c r="AH37" s="104" t="s">
        <v>388</v>
      </c>
      <c r="AI37" s="112">
        <v>0.3</v>
      </c>
      <c r="AJ37" s="106">
        <v>1000</v>
      </c>
      <c r="AK37" s="106">
        <v>2000</v>
      </c>
      <c r="AL37" s="106">
        <v>5000</v>
      </c>
      <c r="AM37" s="141">
        <v>0</v>
      </c>
      <c r="AN37" s="141">
        <v>0</v>
      </c>
      <c r="AO37" s="141">
        <v>0</v>
      </c>
      <c r="AP37" s="112" t="str">
        <f>IF(OR(ISBLANK(AI37),AI37=0),"INSERT LIKELIHOOD",IF(ABS(AI37)&lt;='Risk Matrices'!$D$22,'Risk Matrices'!$C$21,IF(ABS(AI37)&lt;='Risk Matrices'!$D$19,'Risk Matrices'!$C$18,IF(ABS(AI37)&lt;='Risk Matrices'!$D$16,'Risk Matrices'!$C$15,IF(ABS(AI37)&lt;='Risk Matrices'!$D$13,'Risk Matrices'!$C$12,'Risk Matrices'!$C$10)))))</f>
        <v>Moderate</v>
      </c>
      <c r="AQ37" s="112" t="str">
        <f>IF(OR(ISBLANK(AK37),AK37=0),"None",IF(ABS(AK37)&lt;='Risk Matrices'!$E$7,'Risk Matrices'!$E$5,IF(ABS(AK37)&lt;='Risk Matrices'!$G$7,'Risk Matrices'!$G$5,IF(ABS(AK37)&lt;='Risk Matrices'!$H$7,'Risk Matrices'!$H$5,'Risk Matrices'!$I$5))))</f>
        <v>Significant</v>
      </c>
      <c r="AR37" s="112" t="str">
        <f>IF(AN37="","",IF(ABS(AN37)&lt;='Risk Matrices'!$E$8,"Negligible",IF(ABS(AN37)&lt;='Risk Matrices'!$F$8,"Marginal",IF(ABS(AN37)&lt;='Risk Matrices'!$G$8,"Significant",IF(ABS(AN37)&lt;='Risk Matrices'!$H$8,"Critical","Crisis")))))</f>
        <v>Negligible</v>
      </c>
      <c r="AS37" s="102" t="s">
        <v>280</v>
      </c>
      <c r="AT37" s="298">
        <f>IF(OR(ISBLANK(AI37),AI37=0),0,VLOOKUP(AP37,'Risk Matrices'!$B$30:$C$34,2,0))</f>
        <v>3</v>
      </c>
      <c r="AU37" s="298">
        <f>IF(OR(ISBLANK(AK37),AK37=0),0,HLOOKUP(AQ37,'Risk Matrices'!$D$28:$H$29,2,0))</f>
        <v>3</v>
      </c>
      <c r="AV37" s="298">
        <f>IF(OR(ISBLANK(AR37),AR37=0),0,HLOOKUP(AR37,'Risk Matrices'!$D$28:$H$29,2,0))</f>
        <v>1</v>
      </c>
      <c r="AW37" s="298">
        <f>IF(OR(ISBLANK(AS37),AS37=0),0,HLOOKUP(AS37,'Risk Matrices'!$D$28:$H$29,2,0))</f>
        <v>2</v>
      </c>
      <c r="AX37" s="106">
        <f t="shared" si="20"/>
        <v>3</v>
      </c>
      <c r="AY37" s="106">
        <f t="shared" si="21"/>
        <v>9</v>
      </c>
      <c r="AZ37" s="107" t="str">
        <f>IF(B37="Retired","Retired",IF(OR(ISBLANK(AY37),AY37=0),"TBD",IF(AY37&lt;='Risk Matrices'!$D$40,'Risk Matrices'!$B$40,IF(AY37&lt;='Risk Matrices'!$D$39,'Risk Matrices'!$B$39,'Risk Matrices'!$B$38))))</f>
        <v>Retired</v>
      </c>
      <c r="BA37" s="112"/>
      <c r="BB37" s="746"/>
      <c r="BC37" s="109" t="str">
        <f t="shared" si="22"/>
        <v>Retired</v>
      </c>
      <c r="BD37" s="113"/>
      <c r="BE37" s="114"/>
      <c r="BF37" s="142"/>
      <c r="BG37" s="333" t="s">
        <v>389</v>
      </c>
      <c r="BH37" s="115"/>
      <c r="BI37" s="115"/>
      <c r="BJ37" s="874">
        <f t="shared" si="40"/>
        <v>799.99999999999989</v>
      </c>
      <c r="BK37" s="101" t="s">
        <v>311</v>
      </c>
      <c r="BL37" s="101" t="s">
        <v>390</v>
      </c>
      <c r="BM37" s="116">
        <v>44012</v>
      </c>
      <c r="BN37" s="330">
        <v>44134</v>
      </c>
      <c r="BO37" s="333" t="s">
        <v>391</v>
      </c>
      <c r="BP37" s="94">
        <f t="shared" si="24"/>
        <v>1000</v>
      </c>
      <c r="BQ37" s="97" t="str">
        <f t="shared" si="32"/>
        <v>1000 - 2000 - 5000</v>
      </c>
      <c r="BR37" s="97" t="str">
        <f t="shared" si="33"/>
        <v>0 - 0 - 0</v>
      </c>
      <c r="BS37" s="715">
        <f t="shared" si="34"/>
        <v>799.99999999999989</v>
      </c>
      <c r="BT37" s="736">
        <f t="shared" si="35"/>
        <v>0</v>
      </c>
      <c r="BU37" s="735" t="s">
        <v>384</v>
      </c>
    </row>
    <row r="38" spans="2:75" customFormat="1" ht="60" hidden="1" x14ac:dyDescent="0.2">
      <c r="B38" s="101" t="str">
        <f t="shared" si="36"/>
        <v>Retired</v>
      </c>
      <c r="C38" s="781" t="s">
        <v>392</v>
      </c>
      <c r="D38" s="101" t="s">
        <v>151</v>
      </c>
      <c r="E38" s="103" t="s">
        <v>348</v>
      </c>
      <c r="F38" s="127" t="s">
        <v>124</v>
      </c>
      <c r="G38" s="103" t="s">
        <v>349</v>
      </c>
      <c r="H38" s="103"/>
      <c r="I38" s="106" t="s">
        <v>350</v>
      </c>
      <c r="J38" s="103" t="s">
        <v>351</v>
      </c>
      <c r="K38" s="101" t="s">
        <v>393</v>
      </c>
      <c r="L38" s="104" t="s">
        <v>394</v>
      </c>
      <c r="M38" s="103" t="s">
        <v>141</v>
      </c>
      <c r="N38" s="105">
        <v>15000</v>
      </c>
      <c r="O38" s="106" t="str" cm="1">
        <f t="array" ref="O38">_xlfn.IFS(N38="","",ABS(N38)&lt;='Risk Matrices'!$E$7,'Risk Matrices'!$E$5,ABS(N38)&lt;='Risk Matrices'!$F$7,'Risk Matrices'!$F$5,ABS(N38)&lt;='Risk Matrices'!$G$7,'Risk Matrices'!$G$5,ABS(N38)&lt;='Risk Matrices'!$H$7,'Risk Matrices'!$H$5,ABS(N38)&gt;'Risk Matrices'!$H$7,'Risk Matrices'!$I$5)</f>
        <v>Critical</v>
      </c>
      <c r="P38" s="106">
        <v>0</v>
      </c>
      <c r="Q38" s="102" t="s">
        <v>207</v>
      </c>
      <c r="R38" s="102" t="s">
        <v>280</v>
      </c>
      <c r="S38" s="106">
        <f t="shared" si="37"/>
        <v>3</v>
      </c>
      <c r="T38" s="106" cm="1">
        <f t="array" ref="T38">_xlfn.IFS(O38='Risk Matrices'!$D$28,'Risk Matrices'!$D$29,O38='Risk Matrices'!$E$28,'Risk Matrices'!$E$29,O38='Risk Matrices'!$F$28,'Risk Matrices'!$F$29,O38='Risk Matrices'!$G$28,'Risk Matrices'!$G$29,O38='Risk Matrices'!$H$28,'Risk Matrices'!$H$29)</f>
        <v>4</v>
      </c>
      <c r="U38" s="106">
        <f t="shared" si="38"/>
        <v>1</v>
      </c>
      <c r="V38" s="106">
        <f t="shared" si="38"/>
        <v>2</v>
      </c>
      <c r="W38" s="106">
        <f>MAX(T38,U38,V38)</f>
        <v>4</v>
      </c>
      <c r="X38" s="106">
        <f>S38*W38</f>
        <v>12</v>
      </c>
      <c r="Y38" s="107" t="str">
        <f t="shared" si="39"/>
        <v>Moderate</v>
      </c>
      <c r="Z38" s="104"/>
      <c r="AA38" s="108">
        <f>IF(M38="",0,IF(M38="Very Low (There is a &lt;10% chance that this event will occur)",0.05,IF(M38="Low (Risk is likely to occur with a probability of &gt; 10% to &lt; 25%)",0.17,IF(M38="Moderate (Risk is likely to occur with a probability of &gt; 25% to &lt; 40%)",0.32,IF(M38="High (Risk is likely to occur with a probability of &gt;40 to &lt;65%)",0.52,IF(M38="Very High (Risk is likely to occur with a probability of &gt;65%)",0.82))))))</f>
        <v>0.32</v>
      </c>
      <c r="AB38" s="109">
        <f>+AA38*N38</f>
        <v>4800</v>
      </c>
      <c r="AC38" s="109" t="s">
        <v>155</v>
      </c>
      <c r="AD38" s="104" t="s">
        <v>395</v>
      </c>
      <c r="AE38" s="104"/>
      <c r="AF38" s="110" t="s">
        <v>381</v>
      </c>
      <c r="AG38" s="110"/>
      <c r="AH38" s="104"/>
      <c r="AI38" s="112"/>
      <c r="AJ38" s="106"/>
      <c r="AK38" s="106"/>
      <c r="AL38" s="106"/>
      <c r="AM38" s="106"/>
      <c r="AN38" s="106"/>
      <c r="AO38" s="106"/>
      <c r="AP38" s="112" t="str">
        <f>IF(OR(ISBLANK(AI38),AI38=0),"INSERT LIKELIHOOD",IF(ABS(AI38)&lt;='Risk Matrices'!$D$22,'Risk Matrices'!$C$21,IF(ABS(AI38)&lt;='Risk Matrices'!$D$19,'Risk Matrices'!$C$18,IF(ABS(AI38)&lt;='Risk Matrices'!$D$16,'Risk Matrices'!$C$15,IF(ABS(AI38)&lt;='Risk Matrices'!$D$13,'Risk Matrices'!$C$12,'Risk Matrices'!$C$10)))))</f>
        <v>INSERT LIKELIHOOD</v>
      </c>
      <c r="AQ38" s="112" t="str">
        <f>IF(OR(ISBLANK(AK38),AK38=0),"",IF(ABS(AK38)&lt;='Risk Matrices'!$E$7,'Risk Matrices'!$E$5,IF(ABS(AK38)&lt;='Risk Matrices'!$G$7,'Risk Matrices'!$G$5,IF(ABS(AK38)&lt;='Risk Matrices'!$H$7,'Risk Matrices'!$H$5,'Risk Matrices'!$I$5))))</f>
        <v/>
      </c>
      <c r="AR38" s="112" t="str">
        <f>IF(AN38="","",IF(ABS(AN38)&lt;='Risk Matrices'!$E$8,"Negligible",IF(ABS(AN38)&lt;='Risk Matrices'!$F$8,"Marginal",IF(ABS(AN38)&lt;='Risk Matrices'!$G$8,"Significant",IF(ABS(AN38)&lt;='Risk Matrices'!$H$8,"Critical","Crisis")))))</f>
        <v/>
      </c>
      <c r="AS38" s="103" t="s">
        <v>130</v>
      </c>
      <c r="AT38" s="298">
        <f>IF(OR(ISBLANK(AI38),AI38=0),0,VLOOKUP(AP38,'Risk Matrices'!$B$30:$C$34,2,0))</f>
        <v>0</v>
      </c>
      <c r="AU38" s="298">
        <f>IF(OR(ISBLANK(AK38),AK38=0),0,HLOOKUP(AQ38,'Risk Matrices'!$D$28:$H$29,2,0))</f>
        <v>0</v>
      </c>
      <c r="AV38" s="298" t="e">
        <f>IF(OR(ISBLANK(AR38),AR38=0),0,HLOOKUP(AR38,'Risk Matrices'!$D$28:$H$29,2,0))</f>
        <v>#N/A</v>
      </c>
      <c r="AW38" s="298">
        <f>IF(AS38="None",0,HLOOKUP(AS38,'Risk Matrices'!$D$28:$H$29,2,0))</f>
        <v>0</v>
      </c>
      <c r="AX38" s="106" t="e">
        <f t="shared" si="20"/>
        <v>#N/A</v>
      </c>
      <c r="AY38" s="106" t="e">
        <f t="shared" si="21"/>
        <v>#N/A</v>
      </c>
      <c r="AZ38" s="107" t="str">
        <f>IF(B38="Retired","Retired",IF(OR(ISBLANK(AY38),AY38=0),"TBD",IF(AY38&lt;='Risk Matrices'!$D$40,'Risk Matrices'!$B$40,IF(AY38&lt;='Risk Matrices'!$D$39,'Risk Matrices'!$B$39,'Risk Matrices'!$B$38))))</f>
        <v>Retired</v>
      </c>
      <c r="BA38" s="112"/>
      <c r="BB38" s="113"/>
      <c r="BC38" s="109" t="str">
        <f t="shared" si="22"/>
        <v>Retired</v>
      </c>
      <c r="BD38" s="113"/>
      <c r="BE38" s="114"/>
      <c r="BF38" s="115"/>
      <c r="BG38" s="115" t="s">
        <v>396</v>
      </c>
      <c r="BH38" s="115"/>
      <c r="BI38" s="115"/>
      <c r="BJ38" s="874">
        <f t="shared" si="40"/>
        <v>0</v>
      </c>
      <c r="BK38" s="101" t="s">
        <v>311</v>
      </c>
      <c r="BL38" s="116">
        <v>44405</v>
      </c>
      <c r="BM38" s="116">
        <v>44012</v>
      </c>
      <c r="BN38" s="330">
        <v>44134</v>
      </c>
      <c r="BO38" s="332"/>
      <c r="BP38" s="94">
        <f t="shared" si="24"/>
        <v>0</v>
      </c>
      <c r="BQ38" s="97" t="str">
        <f t="shared" si="32"/>
        <v xml:space="preserve"> -  - </v>
      </c>
      <c r="BR38" s="97" t="str">
        <f t="shared" si="33"/>
        <v xml:space="preserve"> -  - </v>
      </c>
      <c r="BS38" s="715">
        <f t="shared" si="34"/>
        <v>0</v>
      </c>
      <c r="BT38" s="736">
        <f t="shared" si="35"/>
        <v>0</v>
      </c>
      <c r="BU38" s="735" t="s">
        <v>392</v>
      </c>
    </row>
    <row r="39" spans="2:75" customFormat="1" ht="45" hidden="1" x14ac:dyDescent="0.2">
      <c r="B39" s="101" t="str">
        <f t="shared" si="36"/>
        <v>Active</v>
      </c>
      <c r="C39" s="779" t="s">
        <v>397</v>
      </c>
      <c r="D39" s="101" t="s">
        <v>151</v>
      </c>
      <c r="E39" s="815" t="s">
        <v>348</v>
      </c>
      <c r="F39" s="171" t="s">
        <v>124</v>
      </c>
      <c r="G39" s="157" t="s">
        <v>359</v>
      </c>
      <c r="H39" s="101" t="str">
        <f>C39</f>
        <v>RT-6-002-001</v>
      </c>
      <c r="I39" s="140" t="s">
        <v>360</v>
      </c>
      <c r="J39" s="101" t="s">
        <v>361</v>
      </c>
      <c r="K39" s="182" t="s">
        <v>398</v>
      </c>
      <c r="L39" s="113" t="s">
        <v>399</v>
      </c>
      <c r="M39" s="103" t="s">
        <v>129</v>
      </c>
      <c r="N39" s="689">
        <v>1000</v>
      </c>
      <c r="O39" s="106" t="str" cm="1">
        <f t="array" ref="O39">_xlfn.IFS(N39="","",ABS(N39)&lt;='Risk Matrices'!$E$7,'Risk Matrices'!$E$5,ABS(N39)&lt;='Risk Matrices'!$F$7,'Risk Matrices'!$F$5,ABS(N39)&lt;='Risk Matrices'!$G$7,'Risk Matrices'!$G$5,ABS(N39)&lt;='Risk Matrices'!$H$7,'Risk Matrices'!$H$5,ABS(N39)&gt;'Risk Matrices'!$H$7,'Risk Matrices'!$I$5)</f>
        <v>Marginal</v>
      </c>
      <c r="P39" s="106">
        <v>6</v>
      </c>
      <c r="Q39" s="101" t="str" cm="1">
        <f t="array" ref="Q39">_xlfn.IFS(P39="","",ABS(P39)&lt;='Risk Matrices'!$E$8,'Risk Matrices'!$E$5,ABS(P39)&lt;='Risk Matrices'!$F$8,'Risk Matrices'!$F$5,ABS(P39)&lt;='Risk Matrices'!$G$8,'Risk Matrices'!$G$5,ABS(P39)&lt;='Risk Matrices'!$H$8,'Risk Matrices'!$H$5,ABS(P39)&gt;'Risk Matrices'!$H$8,'Risk Matrices'!$I$5)</f>
        <v>Marginal</v>
      </c>
      <c r="R39" s="101" t="s">
        <v>130</v>
      </c>
      <c r="S39" s="106">
        <f t="shared" si="37"/>
        <v>4</v>
      </c>
      <c r="T39" s="106" cm="1">
        <f t="array" ref="T39">_xlfn.IFS(O39='Risk Matrices'!$D$28,'Risk Matrices'!$D$29,O39='Risk Matrices'!$E$28,'Risk Matrices'!$E$29,O39='Risk Matrices'!$F$28,'Risk Matrices'!$F$29,O39='Risk Matrices'!$G$28,'Risk Matrices'!$G$29,O39='Risk Matrices'!$H$28,'Risk Matrices'!$H$29)</f>
        <v>2</v>
      </c>
      <c r="U39" s="128"/>
      <c r="V39" s="106">
        <f>IF(R39="None",0,IF(R39="Negligible",1,IF(R39="Marginal",2,IF(R39="Significant",3,IF(R39="Critical",4,IF(R39="Crisis",5))))))</f>
        <v>0</v>
      </c>
      <c r="W39" s="106"/>
      <c r="X39" s="106"/>
      <c r="Y39" s="107" t="str">
        <f t="shared" si="39"/>
        <v>Low</v>
      </c>
      <c r="Z39" s="104"/>
      <c r="AA39" s="108"/>
      <c r="AB39" s="109"/>
      <c r="AC39" s="109" t="s">
        <v>143</v>
      </c>
      <c r="AD39" s="179" t="s">
        <v>400</v>
      </c>
      <c r="AE39" s="179"/>
      <c r="AF39" s="103" t="s">
        <v>167</v>
      </c>
      <c r="AG39" s="103"/>
      <c r="AH39" s="991" t="s">
        <v>401</v>
      </c>
      <c r="AI39" s="887">
        <v>0.5</v>
      </c>
      <c r="AJ39" s="689">
        <v>500</v>
      </c>
      <c r="AK39" s="689">
        <v>1000</v>
      </c>
      <c r="AL39" s="689">
        <v>1500</v>
      </c>
      <c r="AM39" s="689">
        <v>3</v>
      </c>
      <c r="AN39" s="689">
        <v>6</v>
      </c>
      <c r="AO39" s="689">
        <v>12</v>
      </c>
      <c r="AP39" s="112" t="str">
        <f>IF(OR(ISBLANK(AI39),AI39=0),"INSERT LIKELIHOOD",IF(ABS(AI39)&lt;='Risk Matrices'!$D$22,'Risk Matrices'!$C$21,IF(ABS(AI39)&lt;='Risk Matrices'!$D$19,'Risk Matrices'!$C$18,IF(ABS(AI39)&lt;='Risk Matrices'!$D$16,'Risk Matrices'!$C$15,IF(ABS(AI39)&lt;='Risk Matrices'!$D$13,'Risk Matrices'!$C$12,'Risk Matrices'!$C$10)))))</f>
        <v>High</v>
      </c>
      <c r="AQ39" s="112" t="str">
        <f>IF(OR(ISBLANK(AK39),AK39=0),"None",IF(ABS(AK39)&lt;='Risk Matrices'!$E$7,'Risk Matrices'!$E$5,IF(ABS(AK39)&lt;='Risk Matrices'!$G$7,'Risk Matrices'!$G$5,IF(ABS(AK39)&lt;='Risk Matrices'!$H$7,'Risk Matrices'!$H$5,'Risk Matrices'!$I$5))))</f>
        <v>Significant</v>
      </c>
      <c r="AR39" s="112" t="str">
        <f>IF(AN39="","",IF(ABS(AN39)&lt;='Risk Matrices'!$E$8,"Negligible",IF(ABS(AN39)&lt;='Risk Matrices'!$F$8,"Marginal",IF(ABS(AN39)&lt;='Risk Matrices'!$G$8,"Significant",IF(ABS(AN39)&lt;='Risk Matrices'!$H$8,"Critical","Crisis")))))</f>
        <v>Marginal</v>
      </c>
      <c r="AS39" s="106" t="s">
        <v>307</v>
      </c>
      <c r="AT39" s="298">
        <f>IF(OR(ISBLANK(AI39),AI39=0),0,VLOOKUP(AP39,'Risk Matrices'!$B$30:$C$34,2,0))</f>
        <v>4</v>
      </c>
      <c r="AU39" s="298">
        <f>IF(OR(ISBLANK(AK39),AK39=0),0,HLOOKUP(AQ39,'Risk Matrices'!$D$28:$H$29,2,0))</f>
        <v>3</v>
      </c>
      <c r="AV39" s="298">
        <f>IF(OR(ISBLANK(AR39),AR39=0),0,HLOOKUP(AR39,'Risk Matrices'!$D$28:$H$29,2,0))</f>
        <v>2</v>
      </c>
      <c r="AW39" s="298">
        <f>IF(OR(ISBLANK(AS39),AS39=0),0,HLOOKUP(AS39,'Risk Matrices'!$D$28:$H$29,2,0))</f>
        <v>3</v>
      </c>
      <c r="AX39" s="106">
        <f t="shared" si="20"/>
        <v>3</v>
      </c>
      <c r="AY39" s="106">
        <f t="shared" si="21"/>
        <v>12</v>
      </c>
      <c r="AZ39" s="107" t="str">
        <f>IF(B39="Retired","Retired",IF(OR(ISBLANK(AY39),AY39=0),"TBD",IF(AY39&lt;='Risk Matrices'!$D$40,'Risk Matrices'!$B$40,IF(AY39&lt;='Risk Matrices'!$D$39,'Risk Matrices'!$B$39,'Risk Matrices'!$B$38))))</f>
        <v>Moderate</v>
      </c>
      <c r="BA39" s="113"/>
      <c r="BB39" s="101" t="s">
        <v>366</v>
      </c>
      <c r="BC39" s="109">
        <f t="shared" si="22"/>
        <v>500</v>
      </c>
      <c r="BD39" s="185">
        <v>45315</v>
      </c>
      <c r="BE39" s="114"/>
      <c r="BF39" s="115"/>
      <c r="BG39" s="730"/>
      <c r="BH39" s="115"/>
      <c r="BI39" s="115"/>
      <c r="BJ39" s="874">
        <f t="shared" si="40"/>
        <v>500</v>
      </c>
      <c r="BK39" s="101"/>
      <c r="BL39" s="130"/>
      <c r="BM39" s="116">
        <v>44852</v>
      </c>
      <c r="BN39" s="330">
        <v>44852</v>
      </c>
      <c r="BO39" s="332"/>
      <c r="BP39" s="94">
        <f>AI39*((AJ39+4*AK39+AL39)/6)</f>
        <v>500</v>
      </c>
      <c r="BQ39" s="97" t="str">
        <f t="shared" si="32"/>
        <v>500 - 1000 - 1500</v>
      </c>
      <c r="BR39" s="97" t="str">
        <f t="shared" si="33"/>
        <v>3 - 6 - 12</v>
      </c>
      <c r="BS39" s="715">
        <f t="shared" si="34"/>
        <v>500</v>
      </c>
      <c r="BT39" s="736">
        <f t="shared" si="35"/>
        <v>3.5</v>
      </c>
      <c r="BU39" s="735" t="s">
        <v>402</v>
      </c>
      <c r="BV39" s="873">
        <v>45382</v>
      </c>
      <c r="BW39">
        <f>BV39-BN39</f>
        <v>530</v>
      </c>
    </row>
    <row r="40" spans="2:75" customFormat="1" ht="45" hidden="1" x14ac:dyDescent="0.2">
      <c r="B40" s="101" t="str">
        <f t="shared" si="36"/>
        <v>Active</v>
      </c>
      <c r="C40" s="779" t="s">
        <v>403</v>
      </c>
      <c r="D40" s="101" t="s">
        <v>151</v>
      </c>
      <c r="E40" s="103" t="s">
        <v>348</v>
      </c>
      <c r="F40" s="171" t="s">
        <v>124</v>
      </c>
      <c r="G40" s="157" t="s">
        <v>359</v>
      </c>
      <c r="H40" s="101" t="str">
        <f>C40</f>
        <v>RT-6-002-002</v>
      </c>
      <c r="I40" s="140" t="s">
        <v>360</v>
      </c>
      <c r="J40" s="101" t="s">
        <v>361</v>
      </c>
      <c r="K40" s="182" t="s">
        <v>404</v>
      </c>
      <c r="L40" s="113" t="s">
        <v>405</v>
      </c>
      <c r="M40" s="103" t="s">
        <v>141</v>
      </c>
      <c r="N40" s="689">
        <v>3000</v>
      </c>
      <c r="O40" s="106" t="str" cm="1">
        <f t="array" ref="O40">_xlfn.IFS(N40="","",ABS(N40)&lt;='Risk Matrices'!$E$7,'Risk Matrices'!$E$5,ABS(N40)&lt;='Risk Matrices'!$F$7,'Risk Matrices'!$F$5,ABS(N40)&lt;='Risk Matrices'!$G$7,'Risk Matrices'!$G$5,ABS(N40)&lt;='Risk Matrices'!$H$7,'Risk Matrices'!$H$5,ABS(N40)&gt;'Risk Matrices'!$H$7,'Risk Matrices'!$I$5)</f>
        <v>Significant</v>
      </c>
      <c r="P40" s="106">
        <v>12</v>
      </c>
      <c r="Q40" s="101" t="str" cm="1">
        <f t="array" ref="Q40">_xlfn.IFS(P40="","",ABS(P40)&lt;='Risk Matrices'!$E$8,'Risk Matrices'!$E$5,ABS(P40)&lt;='Risk Matrices'!$F$8,'Risk Matrices'!$F$5,ABS(P40)&lt;='Risk Matrices'!$G$8,'Risk Matrices'!$G$5,ABS(P40)&lt;='Risk Matrices'!$H$8,'Risk Matrices'!$H$5,ABS(P40)&gt;'Risk Matrices'!$H$8,'Risk Matrices'!$I$5)</f>
        <v>Significant</v>
      </c>
      <c r="R40" s="101" t="s">
        <v>130</v>
      </c>
      <c r="S40" s="106">
        <f t="shared" si="37"/>
        <v>3</v>
      </c>
      <c r="T40" s="106" cm="1">
        <f t="array" ref="T40">_xlfn.IFS(O40='Risk Matrices'!$D$28,'Risk Matrices'!$D$29,O40='Risk Matrices'!$E$28,'Risk Matrices'!$E$29,O40='Risk Matrices'!$F$28,'Risk Matrices'!$F$29,O40='Risk Matrices'!$G$28,'Risk Matrices'!$G$29,O40='Risk Matrices'!$H$28,'Risk Matrices'!$H$29)</f>
        <v>3</v>
      </c>
      <c r="U40" s="128"/>
      <c r="V40" s="106">
        <f>IF(R40="None",0,IF(R40="Negligible",1,IF(R40="Marginal",2,IF(R40="Significant",3,IF(R40="Critical",4,IF(R40="Crisis",5))))))</f>
        <v>0</v>
      </c>
      <c r="W40" s="106"/>
      <c r="X40" s="106"/>
      <c r="Y40" s="107" t="str">
        <f t="shared" si="39"/>
        <v>Low</v>
      </c>
      <c r="Z40" s="104"/>
      <c r="AA40" s="108"/>
      <c r="AB40" s="109"/>
      <c r="AC40" s="109" t="s">
        <v>143</v>
      </c>
      <c r="AD40" s="179" t="s">
        <v>400</v>
      </c>
      <c r="AE40" s="179"/>
      <c r="AF40" s="103" t="s">
        <v>167</v>
      </c>
      <c r="AG40" s="936"/>
      <c r="AH40" s="991" t="s">
        <v>401</v>
      </c>
      <c r="AI40" s="886">
        <v>0.25</v>
      </c>
      <c r="AJ40" s="689">
        <v>2000</v>
      </c>
      <c r="AK40" s="689">
        <v>3000</v>
      </c>
      <c r="AL40" s="689">
        <v>5000</v>
      </c>
      <c r="AM40" s="689">
        <v>6</v>
      </c>
      <c r="AN40" s="689">
        <v>12</v>
      </c>
      <c r="AO40" s="689">
        <v>18</v>
      </c>
      <c r="AP40" s="112" t="str">
        <f>IF(OR(ISBLANK(AI40),AI40=0),"INSERT LIKELIHOOD",IF(ABS(AI40)&lt;='Risk Matrices'!$D$22,'Risk Matrices'!$C$21,IF(ABS(AI40)&lt;='Risk Matrices'!$D$19,'Risk Matrices'!$C$18,IF(ABS(AI40)&lt;='Risk Matrices'!$D$16,'Risk Matrices'!$C$15,IF(ABS(AI40)&lt;='Risk Matrices'!$D$13,'Risk Matrices'!$C$12,'Risk Matrices'!$C$10)))))</f>
        <v>Low</v>
      </c>
      <c r="AQ40" s="112" t="str">
        <f>IF(OR(ISBLANK(AK40),AK40=0),"None",IF(ABS(AK40)&lt;='Risk Matrices'!$E$7,'Risk Matrices'!$E$5,IF(ABS(AK40)&lt;='Risk Matrices'!$G$7,'Risk Matrices'!$G$5,IF(ABS(AK40)&lt;='Risk Matrices'!$H$7,'Risk Matrices'!$H$5,'Risk Matrices'!$I$5))))</f>
        <v>Significant</v>
      </c>
      <c r="AR40" s="112" t="str">
        <f>IF(AN40="","",IF(ABS(AN40)&lt;='Risk Matrices'!$E$8,"Negligible",IF(ABS(AN40)&lt;='Risk Matrices'!$F$8,"Marginal",IF(ABS(AN40)&lt;='Risk Matrices'!$G$8,"Significant",IF(ABS(AN40)&lt;='Risk Matrices'!$H$8,"Critical","Crisis")))))</f>
        <v>Significant</v>
      </c>
      <c r="AS40" s="106" t="s">
        <v>406</v>
      </c>
      <c r="AT40" s="298">
        <f>IF(OR(ISBLANK(AI40),AI40=0),0,VLOOKUP(AP40,'Risk Matrices'!$B$30:$C$34,2,0))</f>
        <v>2</v>
      </c>
      <c r="AU40" s="298">
        <f>IF(OR(ISBLANK(AK40),AK40=0),0,HLOOKUP(AQ40,'Risk Matrices'!$D$28:$H$29,2,0))</f>
        <v>3</v>
      </c>
      <c r="AV40" s="298">
        <f>IF(OR(ISBLANK(AR40),AR40=0),0,HLOOKUP(AR40,'Risk Matrices'!$D$28:$H$29,2,0))</f>
        <v>3</v>
      </c>
      <c r="AW40" s="298">
        <f>IF(OR(ISBLANK(AS40),AS40=0),0,HLOOKUP(AS40,'Risk Matrices'!$D$28:$H$29,2,0))</f>
        <v>4</v>
      </c>
      <c r="AX40" s="106">
        <f t="shared" si="20"/>
        <v>4</v>
      </c>
      <c r="AY40" s="106">
        <f t="shared" si="21"/>
        <v>8</v>
      </c>
      <c r="AZ40" s="107" t="str">
        <f>IF(B40="Retired","Retired",IF(OR(ISBLANK(AY40),AY40=0),"TBD",IF(AY40&lt;='Risk Matrices'!$D$40,'Risk Matrices'!$B$40,IF(AY40&lt;='Risk Matrices'!$D$39,'Risk Matrices'!$B$39,'Risk Matrices'!$B$38))))</f>
        <v>Moderate</v>
      </c>
      <c r="BA40" s="113"/>
      <c r="BB40" s="101" t="s">
        <v>366</v>
      </c>
      <c r="BC40" s="109">
        <f t="shared" si="22"/>
        <v>750</v>
      </c>
      <c r="BD40" s="185">
        <v>45315</v>
      </c>
      <c r="BE40" s="114"/>
      <c r="BF40" s="115"/>
      <c r="BG40" s="115"/>
      <c r="BH40" s="115"/>
      <c r="BI40" s="115"/>
      <c r="BJ40" s="874">
        <f t="shared" si="40"/>
        <v>833.33333333333337</v>
      </c>
      <c r="BK40" s="101"/>
      <c r="BL40" s="130"/>
      <c r="BM40" s="116">
        <v>44852</v>
      </c>
      <c r="BN40" s="330">
        <v>44852</v>
      </c>
      <c r="BO40" s="332"/>
      <c r="BP40" s="94">
        <f>AI40*((AJ40+4*AK40+AL40)/6)</f>
        <v>791.66666666666663</v>
      </c>
      <c r="BQ40" s="97" t="str">
        <f t="shared" si="32"/>
        <v>2000 - 3000 - 5000</v>
      </c>
      <c r="BR40" s="97" t="str">
        <f t="shared" si="33"/>
        <v>6 - 12 - 18</v>
      </c>
      <c r="BS40" s="715">
        <f t="shared" si="34"/>
        <v>833.33333333333337</v>
      </c>
      <c r="BT40" s="736">
        <f t="shared" si="35"/>
        <v>3</v>
      </c>
      <c r="BU40" s="735" t="s">
        <v>407</v>
      </c>
      <c r="BV40" s="873">
        <v>45382</v>
      </c>
      <c r="BW40">
        <f>BV40-BN40</f>
        <v>530</v>
      </c>
    </row>
    <row r="41" spans="2:75" customFormat="1" ht="68" hidden="1" x14ac:dyDescent="0.2">
      <c r="B41" s="101" t="str">
        <f t="shared" si="36"/>
        <v>Retired</v>
      </c>
      <c r="C41" s="783" t="s">
        <v>408</v>
      </c>
      <c r="D41" s="101" t="s">
        <v>151</v>
      </c>
      <c r="E41" s="103" t="s">
        <v>348</v>
      </c>
      <c r="F41" s="127" t="s">
        <v>124</v>
      </c>
      <c r="G41" s="103" t="s">
        <v>349</v>
      </c>
      <c r="H41" s="103"/>
      <c r="I41" s="106" t="s">
        <v>350</v>
      </c>
      <c r="J41" s="102" t="s">
        <v>409</v>
      </c>
      <c r="K41" s="126" t="s">
        <v>410</v>
      </c>
      <c r="L41" s="121" t="s">
        <v>411</v>
      </c>
      <c r="M41" s="103" t="s">
        <v>164</v>
      </c>
      <c r="N41" s="105">
        <v>1</v>
      </c>
      <c r="O41" s="106" t="str" cm="1">
        <f t="array" ref="O41">_xlfn.IFS(N41="","",ABS(N41)&lt;='Risk Matrices'!$E$7,'Risk Matrices'!$E$5,ABS(N41)&lt;='Risk Matrices'!$F$7,'Risk Matrices'!$F$5,ABS(N41)&lt;='Risk Matrices'!$G$7,'Risk Matrices'!$G$5,ABS(N41)&lt;='Risk Matrices'!$H$7,'Risk Matrices'!$H$5,ABS(N41)&gt;'Risk Matrices'!$H$7,'Risk Matrices'!$I$5)</f>
        <v>Negligible</v>
      </c>
      <c r="P41" s="106">
        <v>0</v>
      </c>
      <c r="Q41" s="101" t="str">
        <f>IF(P41="","",IF(P41&lt;=3,"Negligible",IF(P41&lt;=6,"Marginal",IF(P41&lt;=12,"Significant",IF(P41&lt;=18,"Critical","Crisis")))))</f>
        <v>Negligible</v>
      </c>
      <c r="R41" s="102" t="s">
        <v>307</v>
      </c>
      <c r="S41" s="106">
        <f t="shared" si="37"/>
        <v>2</v>
      </c>
      <c r="T41" s="106" cm="1">
        <f t="array" ref="T41">_xlfn.IFS(O41='Risk Matrices'!$D$28,'Risk Matrices'!$D$29,O41='Risk Matrices'!$E$28,'Risk Matrices'!$E$29,O41='Risk Matrices'!$F$28,'Risk Matrices'!$F$29,O41='Risk Matrices'!$G$28,'Risk Matrices'!$G$29,O41='Risk Matrices'!$H$28,'Risk Matrices'!$H$29)</f>
        <v>1</v>
      </c>
      <c r="U41" s="106">
        <f t="shared" ref="U41:V48" si="41">IF(Q41="",0,IF(Q41="Negligible",1,IF(Q41="Marginal",2,IF(Q41="Significant",3,IF(Q41="Critical",4,IF(Q41="Crisis",5))))))</f>
        <v>1</v>
      </c>
      <c r="V41" s="106">
        <f t="shared" si="41"/>
        <v>3</v>
      </c>
      <c r="W41" s="106">
        <f t="shared" ref="W41:W52" si="42">MAX(T41,U41,V41)</f>
        <v>3</v>
      </c>
      <c r="X41" s="106">
        <f t="shared" ref="X41:X52" si="43">S41*W41</f>
        <v>6</v>
      </c>
      <c r="Y41" s="107" t="str">
        <f t="shared" si="39"/>
        <v>Low</v>
      </c>
      <c r="Z41" s="104"/>
      <c r="AA41" s="108">
        <f t="shared" ref="AA41:AA48" si="44">IF(M41="",0,IF(M41="Very Low (There is a &lt;10% chance that this event will occur)",0.05,IF(M41="Low (Risk is likely to occur with a probability of &gt; 10% to &lt; 25%)",0.17,IF(M41="Moderate (Risk is likely to occur with a probability of &gt; 25% to &lt; 40%)",0.32,IF(M41="High (Risk is likely to occur with a probability of &gt;40 to &lt;65%)",0.52,IF(M41="Very High (Risk is likely to occur with a probability of &gt;65%)",0.82))))))</f>
        <v>0.17</v>
      </c>
      <c r="AB41" s="109">
        <f t="shared" ref="AB41:AB48" si="45">+AA41*N41</f>
        <v>0.17</v>
      </c>
      <c r="AC41" s="109" t="s">
        <v>155</v>
      </c>
      <c r="AD41" s="104" t="s">
        <v>412</v>
      </c>
      <c r="AE41" s="104"/>
      <c r="AF41" s="103" t="s">
        <v>175</v>
      </c>
      <c r="AG41" s="103"/>
      <c r="AH41" s="101" t="s">
        <v>175</v>
      </c>
      <c r="AI41" s="112">
        <v>0.2</v>
      </c>
      <c r="AJ41" s="127">
        <v>1</v>
      </c>
      <c r="AK41" s="127">
        <v>1</v>
      </c>
      <c r="AL41" s="127">
        <v>10</v>
      </c>
      <c r="AM41" s="143">
        <v>0</v>
      </c>
      <c r="AN41" s="143">
        <v>3</v>
      </c>
      <c r="AO41" s="143">
        <v>6</v>
      </c>
      <c r="AP41" s="112" t="str">
        <f>IF(OR(ISBLANK(AI41),AI41=0),"INSERT LIKELIHOOD",IF(ABS(AI41)&lt;='Risk Matrices'!$D$22,'Risk Matrices'!$C$21,IF(ABS(AI41)&lt;='Risk Matrices'!$D$19,'Risk Matrices'!$C$18,IF(ABS(AI41)&lt;='Risk Matrices'!$D$16,'Risk Matrices'!$C$15,IF(ABS(AI41)&lt;='Risk Matrices'!$D$13,'Risk Matrices'!$C$12,'Risk Matrices'!$C$10)))))</f>
        <v>Low</v>
      </c>
      <c r="AQ41" s="112" t="str">
        <f>IF(OR(ISBLANK(AK41),AK41=0),"None",IF(ABS(AK41)&lt;='Risk Matrices'!$E$7,'Risk Matrices'!$E$5,IF(ABS(AK41)&lt;='Risk Matrices'!$G$7,'Risk Matrices'!$G$5,IF(ABS(AK41)&lt;='Risk Matrices'!$H$7,'Risk Matrices'!$H$5,'Risk Matrices'!$I$5))))</f>
        <v>Negligible</v>
      </c>
      <c r="AR41" s="112" t="str">
        <f>IF(AN41="","",IF(ABS(AN41)&lt;='Risk Matrices'!$E$8,"Negligible",IF(ABS(AN41)&lt;='Risk Matrices'!$F$8,"Marginal",IF(ABS(AN41)&lt;='Risk Matrices'!$G$8,"Significant",IF(ABS(AN41)&lt;='Risk Matrices'!$H$8,"Critical","Crisis")))))</f>
        <v>Negligible</v>
      </c>
      <c r="AS41" s="102" t="s">
        <v>307</v>
      </c>
      <c r="AT41" s="298">
        <f>IF(OR(ISBLANK(AI41),AI41=0),0,VLOOKUP(AP41,'Risk Matrices'!$B$30:$C$34,2,0))</f>
        <v>2</v>
      </c>
      <c r="AU41" s="298">
        <f>IF(OR(ISBLANK(AK41),AK41=0),0,HLOOKUP(AQ41,'Risk Matrices'!$D$28:$H$29,2,0))</f>
        <v>1</v>
      </c>
      <c r="AV41" s="298">
        <f>IF(OR(ISBLANK(AR41),AR41=0),0,HLOOKUP(AR41,'Risk Matrices'!$D$28:$H$29,2,0))</f>
        <v>1</v>
      </c>
      <c r="AW41" s="298">
        <f>IF(OR(ISBLANK(AS41),AS41=0),0,HLOOKUP(AS41,'Risk Matrices'!$D$28:$H$29,2,0))</f>
        <v>3</v>
      </c>
      <c r="AX41" s="106">
        <f t="shared" si="20"/>
        <v>3</v>
      </c>
      <c r="AY41" s="106">
        <f t="shared" si="21"/>
        <v>6</v>
      </c>
      <c r="AZ41" s="107" t="str">
        <f>IF(B41="Retired","Retired",IF(OR(ISBLANK(AY41),AY41=0),"TBD",IF(AY41&lt;='Risk Matrices'!$D$40,'Risk Matrices'!$B$40,IF(AY41&lt;='Risk Matrices'!$D$39,'Risk Matrices'!$B$39,'Risk Matrices'!$B$38))))</f>
        <v>Retired</v>
      </c>
      <c r="BA41" s="112"/>
      <c r="BB41" s="157" t="s">
        <v>413</v>
      </c>
      <c r="BC41" s="109" t="str">
        <f t="shared" si="22"/>
        <v>Retired</v>
      </c>
      <c r="BD41" s="113"/>
      <c r="BE41" s="114"/>
      <c r="BF41" s="115"/>
      <c r="BG41" s="905" t="s">
        <v>414</v>
      </c>
      <c r="BH41" s="104"/>
      <c r="BI41" s="115"/>
      <c r="BJ41" s="874">
        <f t="shared" si="40"/>
        <v>0.8</v>
      </c>
      <c r="BK41" s="101" t="s">
        <v>311</v>
      </c>
      <c r="BL41" s="116">
        <v>45301</v>
      </c>
      <c r="BM41" s="116">
        <v>44012</v>
      </c>
      <c r="BN41" s="330">
        <v>44134</v>
      </c>
      <c r="BO41" s="332"/>
      <c r="BP41" s="94">
        <f>AI41*((AJ41+4*AK41+AL41)/6)</f>
        <v>0.5</v>
      </c>
      <c r="BQ41" s="97" t="str">
        <f t="shared" si="32"/>
        <v>1 - 1 - 10</v>
      </c>
      <c r="BR41" s="97" t="str">
        <f t="shared" si="33"/>
        <v>0 - 3 - 6</v>
      </c>
      <c r="BS41" s="715">
        <f t="shared" si="34"/>
        <v>0.8</v>
      </c>
      <c r="BT41" s="736">
        <f t="shared" si="35"/>
        <v>0.6</v>
      </c>
      <c r="BU41" s="735" t="s">
        <v>415</v>
      </c>
      <c r="BV41" s="873">
        <v>45260</v>
      </c>
      <c r="BW41">
        <f>BV41-BN41</f>
        <v>1126</v>
      </c>
    </row>
    <row r="42" spans="2:75" customFormat="1" ht="112" hidden="1" x14ac:dyDescent="0.2">
      <c r="B42" s="101" t="str">
        <f t="shared" si="36"/>
        <v>Retired</v>
      </c>
      <c r="C42" s="783" t="s">
        <v>416</v>
      </c>
      <c r="D42" s="101" t="s">
        <v>151</v>
      </c>
      <c r="E42" s="103" t="s">
        <v>348</v>
      </c>
      <c r="F42" s="127" t="s">
        <v>124</v>
      </c>
      <c r="G42" s="103" t="s">
        <v>349</v>
      </c>
      <c r="H42" s="101" t="str">
        <f>C42</f>
        <v>RT-6-002-004</v>
      </c>
      <c r="I42" s="120" t="s">
        <v>417</v>
      </c>
      <c r="J42" s="102" t="s">
        <v>409</v>
      </c>
      <c r="K42" s="132" t="s">
        <v>418</v>
      </c>
      <c r="L42" s="104" t="s">
        <v>419</v>
      </c>
      <c r="M42" s="103" t="s">
        <v>141</v>
      </c>
      <c r="N42" s="105">
        <v>100</v>
      </c>
      <c r="O42" s="106" t="str" cm="1">
        <f t="array" ref="O42">_xlfn.IFS(N42="","",ABS(N42)&lt;='Risk Matrices'!$E$7,'Risk Matrices'!$E$5,ABS(N42)&lt;='Risk Matrices'!$F$7,'Risk Matrices'!$F$5,ABS(N42)&lt;='Risk Matrices'!$G$7,'Risk Matrices'!$G$5,ABS(N42)&lt;='Risk Matrices'!$H$7,'Risk Matrices'!$H$5,ABS(N42)&gt;'Risk Matrices'!$H$7,'Risk Matrices'!$I$5)</f>
        <v>Negligible</v>
      </c>
      <c r="P42" s="106">
        <v>0</v>
      </c>
      <c r="Q42" s="101" t="str">
        <f>IF(P42="","",IF(P42&lt;=3,"Negligible",IF(P42&lt;=6,"Marginal",IF(P42&lt;=12,"Significant",IF(P42&lt;=18,"Critical","Crisis")))))</f>
        <v>Negligible</v>
      </c>
      <c r="R42" s="102" t="s">
        <v>280</v>
      </c>
      <c r="S42" s="106">
        <f t="shared" si="37"/>
        <v>3</v>
      </c>
      <c r="T42" s="106" cm="1">
        <f t="array" ref="T42">_xlfn.IFS(O42='Risk Matrices'!$D$28,'Risk Matrices'!$D$29,O42='Risk Matrices'!$E$28,'Risk Matrices'!$E$29,O42='Risk Matrices'!$F$28,'Risk Matrices'!$F$29,O42='Risk Matrices'!$G$28,'Risk Matrices'!$G$29,O42='Risk Matrices'!$H$28,'Risk Matrices'!$H$29)</f>
        <v>1</v>
      </c>
      <c r="U42" s="106">
        <f t="shared" si="41"/>
        <v>1</v>
      </c>
      <c r="V42" s="106">
        <f t="shared" si="41"/>
        <v>2</v>
      </c>
      <c r="W42" s="106">
        <f t="shared" si="42"/>
        <v>2</v>
      </c>
      <c r="X42" s="106">
        <f t="shared" si="43"/>
        <v>6</v>
      </c>
      <c r="Y42" s="107" t="str">
        <f t="shared" si="39"/>
        <v>Low</v>
      </c>
      <c r="Z42" s="104"/>
      <c r="AA42" s="108">
        <f t="shared" si="44"/>
        <v>0.32</v>
      </c>
      <c r="AB42" s="109">
        <f t="shared" si="45"/>
        <v>32</v>
      </c>
      <c r="AC42" s="109" t="s">
        <v>155</v>
      </c>
      <c r="AD42" s="104" t="s">
        <v>420</v>
      </c>
      <c r="AE42" s="104"/>
      <c r="AF42" s="103" t="s">
        <v>421</v>
      </c>
      <c r="AG42" s="103"/>
      <c r="AH42" s="101" t="s">
        <v>422</v>
      </c>
      <c r="AI42" s="112">
        <v>0.3</v>
      </c>
      <c r="AJ42" s="106">
        <v>150</v>
      </c>
      <c r="AK42" s="106">
        <v>250</v>
      </c>
      <c r="AL42" s="106">
        <v>300</v>
      </c>
      <c r="AM42" s="106">
        <v>0</v>
      </c>
      <c r="AN42" s="106">
        <v>0</v>
      </c>
      <c r="AO42" s="106">
        <v>6</v>
      </c>
      <c r="AP42" s="112" t="str">
        <f>IF(OR(ISBLANK(AI42),AI42=0),"INSERT LIKELIHOOD",IF(ABS(AI42)&lt;='Risk Matrices'!$D$22,'Risk Matrices'!$C$21,IF(ABS(AI42)&lt;='Risk Matrices'!$D$19,'Risk Matrices'!$C$18,IF(ABS(AI42)&lt;='Risk Matrices'!$D$16,'Risk Matrices'!$C$15,IF(ABS(AI42)&lt;='Risk Matrices'!$D$13,'Risk Matrices'!$C$12,'Risk Matrices'!$C$10)))))</f>
        <v>Moderate</v>
      </c>
      <c r="AQ42" s="112" t="str">
        <f>IF(OR(ISBLANK(AK42),AK42=0),"None",IF(ABS(AK42)&lt;='Risk Matrices'!$E$7,'Risk Matrices'!$E$5,IF(ABS(AK42)&lt;='Risk Matrices'!$G$7,'Risk Matrices'!$G$5,IF(ABS(AK42)&lt;='Risk Matrices'!$H$7,'Risk Matrices'!$H$5,'Risk Matrices'!$I$5))))</f>
        <v>Negligible</v>
      </c>
      <c r="AR42" s="112" t="str">
        <f>IF(AN42="","",IF(ABS(AN42)&lt;='Risk Matrices'!$E$8,"Negligible",IF(ABS(AN42)&lt;='Risk Matrices'!$F$8,"Marginal",IF(ABS(AN42)&lt;='Risk Matrices'!$G$8,"Significant",IF(ABS(AN42)&lt;='Risk Matrices'!$H$8,"Critical","Crisis")))))</f>
        <v>Negligible</v>
      </c>
      <c r="AS42" s="102" t="s">
        <v>280</v>
      </c>
      <c r="AT42" s="298">
        <f>IF(OR(ISBLANK(AI42),AI42=0),0,VLOOKUP(AP42,'Risk Matrices'!$B$30:$C$34,2,0))</f>
        <v>3</v>
      </c>
      <c r="AU42" s="298">
        <f>IF(OR(ISBLANK(AK42),AK42=0),0,HLOOKUP(AQ42,'Risk Matrices'!$D$28:$H$29,2,0))</f>
        <v>1</v>
      </c>
      <c r="AV42" s="298">
        <f>IF(OR(ISBLANK(AR42),AR42=0),0,HLOOKUP(AR42,'Risk Matrices'!$D$28:$H$29,2,0))</f>
        <v>1</v>
      </c>
      <c r="AW42" s="298">
        <f>IF(OR(ISBLANK(AS42),AS42=0),0,HLOOKUP(AS42,'Risk Matrices'!$D$28:$H$29,2,0))</f>
        <v>2</v>
      </c>
      <c r="AX42" s="106">
        <f t="shared" si="20"/>
        <v>2</v>
      </c>
      <c r="AY42" s="106">
        <f t="shared" si="21"/>
        <v>6</v>
      </c>
      <c r="AZ42" s="107" t="str">
        <f>IF(B42="Retired","Retired",IF(OR(ISBLANK(AY42),AY42=0),"TBD",IF(AY42&lt;='Risk Matrices'!$D$40,'Risk Matrices'!$B$40,IF(AY42&lt;='Risk Matrices'!$D$39,'Risk Matrices'!$B$39,'Risk Matrices'!$B$38))))</f>
        <v>Retired</v>
      </c>
      <c r="BA42" s="112"/>
      <c r="BB42" s="101" t="s">
        <v>366</v>
      </c>
      <c r="BC42" s="109" t="str">
        <f t="shared" si="22"/>
        <v>Retired</v>
      </c>
      <c r="BD42" s="185">
        <v>45320</v>
      </c>
      <c r="BE42" s="114"/>
      <c r="BF42" s="115"/>
      <c r="BG42" s="930" t="s">
        <v>423</v>
      </c>
      <c r="BH42" s="115"/>
      <c r="BI42" s="115"/>
      <c r="BJ42" s="874">
        <f t="shared" si="40"/>
        <v>70</v>
      </c>
      <c r="BK42" s="101" t="s">
        <v>311</v>
      </c>
      <c r="BL42" s="116">
        <v>45320</v>
      </c>
      <c r="BM42" s="116">
        <v>44012</v>
      </c>
      <c r="BN42" s="330">
        <v>44134</v>
      </c>
      <c r="BO42" s="332"/>
      <c r="BP42" s="94">
        <f>AI42*((AJ42+4*AK42+AL42)/6)</f>
        <v>72.5</v>
      </c>
      <c r="BQ42" s="97" t="str">
        <f t="shared" si="32"/>
        <v>150 - 250 - 300</v>
      </c>
      <c r="BR42" s="97" t="str">
        <f t="shared" si="33"/>
        <v>0 - 0 - 6</v>
      </c>
      <c r="BS42" s="715">
        <f t="shared" si="34"/>
        <v>70</v>
      </c>
      <c r="BT42" s="736">
        <f t="shared" si="35"/>
        <v>0.6</v>
      </c>
      <c r="BU42" s="735" t="s">
        <v>424</v>
      </c>
      <c r="BV42" s="873">
        <v>45290</v>
      </c>
      <c r="BW42">
        <f>BV42-BN42</f>
        <v>1156</v>
      </c>
    </row>
    <row r="43" spans="2:75" customFormat="1" ht="105" hidden="1" x14ac:dyDescent="0.2">
      <c r="B43" s="101" t="str">
        <f t="shared" si="36"/>
        <v>Retired</v>
      </c>
      <c r="C43" s="779" t="s">
        <v>425</v>
      </c>
      <c r="D43" s="101" t="s">
        <v>151</v>
      </c>
      <c r="E43" s="103" t="s">
        <v>348</v>
      </c>
      <c r="F43" s="127" t="s">
        <v>124</v>
      </c>
      <c r="G43" s="103" t="s">
        <v>349</v>
      </c>
      <c r="H43" s="103"/>
      <c r="I43" s="106" t="s">
        <v>350</v>
      </c>
      <c r="J43" s="103" t="s">
        <v>351</v>
      </c>
      <c r="K43" s="126" t="s">
        <v>426</v>
      </c>
      <c r="L43" s="121" t="s">
        <v>427</v>
      </c>
      <c r="M43" s="103" t="s">
        <v>379</v>
      </c>
      <c r="N43" s="105">
        <v>100</v>
      </c>
      <c r="O43" s="106" t="str" cm="1">
        <f t="array" ref="O43">_xlfn.IFS(N43="","",ABS(N43)&lt;='Risk Matrices'!$E$7,'Risk Matrices'!$E$5,ABS(N43)&lt;='Risk Matrices'!$F$7,'Risk Matrices'!$F$5,ABS(N43)&lt;='Risk Matrices'!$G$7,'Risk Matrices'!$G$5,ABS(N43)&lt;='Risk Matrices'!$H$7,'Risk Matrices'!$H$5,ABS(N43)&gt;'Risk Matrices'!$H$7,'Risk Matrices'!$I$5)</f>
        <v>Negligible</v>
      </c>
      <c r="P43" s="106">
        <v>0</v>
      </c>
      <c r="Q43" s="101" t="str">
        <f>IF(P43="","",IF(P43&lt;=3,"Negligible",IF(P43&lt;=6,"Marginal",IF(P43&lt;=12,"Significant",IF(P43&lt;=18,"Critical","Crisis")))))</f>
        <v>Negligible</v>
      </c>
      <c r="R43" s="102" t="s">
        <v>280</v>
      </c>
      <c r="S43" s="106">
        <f t="shared" si="37"/>
        <v>1</v>
      </c>
      <c r="T43" s="106" cm="1">
        <f t="array" ref="T43">_xlfn.IFS(O43='Risk Matrices'!$D$28,'Risk Matrices'!$D$29,O43='Risk Matrices'!$E$28,'Risk Matrices'!$E$29,O43='Risk Matrices'!$F$28,'Risk Matrices'!$F$29,O43='Risk Matrices'!$G$28,'Risk Matrices'!$G$29,O43='Risk Matrices'!$H$28,'Risk Matrices'!$H$29)</f>
        <v>1</v>
      </c>
      <c r="U43" s="106">
        <f t="shared" si="41"/>
        <v>1</v>
      </c>
      <c r="V43" s="106">
        <f t="shared" si="41"/>
        <v>2</v>
      </c>
      <c r="W43" s="106">
        <f t="shared" si="42"/>
        <v>2</v>
      </c>
      <c r="X43" s="106">
        <f t="shared" si="43"/>
        <v>2</v>
      </c>
      <c r="Y43" s="107" t="str">
        <f t="shared" si="39"/>
        <v>Low</v>
      </c>
      <c r="Z43" s="104"/>
      <c r="AA43" s="108">
        <f t="shared" si="44"/>
        <v>0.05</v>
      </c>
      <c r="AB43" s="109">
        <f t="shared" si="45"/>
        <v>5</v>
      </c>
      <c r="AC43" s="109" t="s">
        <v>155</v>
      </c>
      <c r="AD43" s="104" t="s">
        <v>428</v>
      </c>
      <c r="AE43" s="104"/>
      <c r="AF43" s="103" t="s">
        <v>200</v>
      </c>
      <c r="AG43" s="103"/>
      <c r="AH43" s="101" t="s">
        <v>429</v>
      </c>
      <c r="AI43" s="112">
        <v>0.05</v>
      </c>
      <c r="AJ43" s="106">
        <v>100</v>
      </c>
      <c r="AK43" s="106">
        <v>100</v>
      </c>
      <c r="AL43" s="106">
        <v>1000</v>
      </c>
      <c r="AM43" s="106">
        <v>0</v>
      </c>
      <c r="AN43" s="106">
        <v>0</v>
      </c>
      <c r="AO43" s="106">
        <v>0</v>
      </c>
      <c r="AP43" s="112" t="str">
        <f>IF(OR(ISBLANK(AI43),AI43=0),"INSERT LIKELIHOOD",IF(ABS(AI43)&lt;='Risk Matrices'!$D$22,'Risk Matrices'!$C$21,IF(ABS(AI43)&lt;='Risk Matrices'!$D$19,'Risk Matrices'!$C$18,IF(ABS(AI43)&lt;='Risk Matrices'!$D$16,'Risk Matrices'!$C$15,IF(ABS(AI43)&lt;='Risk Matrices'!$D$13,'Risk Matrices'!$C$12,'Risk Matrices'!$C$10)))))</f>
        <v>Very Low</v>
      </c>
      <c r="AQ43" s="112" t="str">
        <f>IF(OR(ISBLANK(AK43),AK43=0),"None",IF(ABS(AK43)&lt;='Risk Matrices'!$E$7,'Risk Matrices'!$E$5,IF(ABS(AK43)&lt;='Risk Matrices'!$G$7,'Risk Matrices'!$G$5,IF(ABS(AK43)&lt;='Risk Matrices'!$H$7,'Risk Matrices'!$H$5,'Risk Matrices'!$I$5))))</f>
        <v>Negligible</v>
      </c>
      <c r="AR43" s="112" t="str">
        <f>IF(AN43="","",IF(ABS(AN43)&lt;='Risk Matrices'!$E$8,"Negligible",IF(ABS(AN43)&lt;='Risk Matrices'!$F$8,"Marginal",IF(ABS(AN43)&lt;='Risk Matrices'!$G$8,"Significant",IF(ABS(AN43)&lt;='Risk Matrices'!$H$8,"Critical","Crisis")))))</f>
        <v>Negligible</v>
      </c>
      <c r="AS43" s="102" t="s">
        <v>307</v>
      </c>
      <c r="AT43" s="298">
        <f>IF(OR(ISBLANK(AI43),AI43=0),0,VLOOKUP(AP43,'Risk Matrices'!$B$30:$C$34,2,0))</f>
        <v>1</v>
      </c>
      <c r="AU43" s="298">
        <f>IF(OR(ISBLANK(AK43),AK43=0),0,HLOOKUP(AQ43,'Risk Matrices'!$D$28:$H$29,2,0))</f>
        <v>1</v>
      </c>
      <c r="AV43" s="298">
        <f>IF(OR(ISBLANK(AR43),AR43=0),0,HLOOKUP(AR43,'Risk Matrices'!$D$28:$H$29,2,0))</f>
        <v>1</v>
      </c>
      <c r="AW43" s="298">
        <f>IF(OR(ISBLANK(AS43),AS43=0),0,HLOOKUP(AS43,'Risk Matrices'!$D$28:$H$29,2,0))</f>
        <v>3</v>
      </c>
      <c r="AX43" s="106">
        <f t="shared" si="20"/>
        <v>3</v>
      </c>
      <c r="AY43" s="106">
        <f t="shared" si="21"/>
        <v>3</v>
      </c>
      <c r="AZ43" s="107" t="str">
        <f>IF(B43="Retired","Retired",IF(OR(ISBLANK(AY43),AY43=0),"TBD",IF(AY43&lt;='Risk Matrices'!$D$40,'Risk Matrices'!$B$40,IF(AY43&lt;='Risk Matrices'!$D$39,'Risk Matrices'!$B$39,'Risk Matrices'!$B$38))))</f>
        <v>Retired</v>
      </c>
      <c r="BA43" s="112"/>
      <c r="BB43" s="101" t="s">
        <v>366</v>
      </c>
      <c r="BC43" s="109" t="str">
        <f t="shared" si="22"/>
        <v>Retired</v>
      </c>
      <c r="BD43" s="113"/>
      <c r="BE43" s="114"/>
      <c r="BF43" s="115"/>
      <c r="BG43" s="905" t="s">
        <v>430</v>
      </c>
      <c r="BH43" s="115"/>
      <c r="BI43" s="115"/>
      <c r="BJ43" s="874">
        <f t="shared" si="40"/>
        <v>20</v>
      </c>
      <c r="BK43" s="101" t="s">
        <v>311</v>
      </c>
      <c r="BL43" s="116">
        <v>45301</v>
      </c>
      <c r="BM43" s="116">
        <v>44012</v>
      </c>
      <c r="BN43" s="330">
        <v>44134</v>
      </c>
      <c r="BO43" s="332"/>
      <c r="BP43" s="94">
        <f>AI43*((AJ43+4*AK43+AL43)/6)</f>
        <v>12.5</v>
      </c>
      <c r="BQ43" s="97" t="str">
        <f t="shared" si="32"/>
        <v>100 - 100 - 1000</v>
      </c>
      <c r="BR43" s="97" t="str">
        <f t="shared" si="33"/>
        <v>0 - 0 - 0</v>
      </c>
      <c r="BS43" s="715">
        <f t="shared" si="34"/>
        <v>20</v>
      </c>
      <c r="BT43" s="736">
        <f t="shared" si="35"/>
        <v>0</v>
      </c>
      <c r="BU43" s="735" t="s">
        <v>431</v>
      </c>
      <c r="BV43" s="873">
        <v>45260</v>
      </c>
      <c r="BW43">
        <f>BV43-BN43</f>
        <v>1126</v>
      </c>
    </row>
    <row r="44" spans="2:75" customFormat="1" ht="45" hidden="1" x14ac:dyDescent="0.2">
      <c r="B44" s="101" t="str">
        <f t="shared" si="36"/>
        <v>Retired</v>
      </c>
      <c r="C44" s="781" t="s">
        <v>432</v>
      </c>
      <c r="D44" s="101" t="s">
        <v>151</v>
      </c>
      <c r="E44" s="101" t="s">
        <v>433</v>
      </c>
      <c r="F44" s="143" t="s">
        <v>124</v>
      </c>
      <c r="G44" s="106" t="s">
        <v>434</v>
      </c>
      <c r="H44" s="106"/>
      <c r="I44" s="106" t="s">
        <v>435</v>
      </c>
      <c r="J44" s="143" t="s">
        <v>436</v>
      </c>
      <c r="K44" s="144" t="s">
        <v>437</v>
      </c>
      <c r="L44" s="104" t="s">
        <v>438</v>
      </c>
      <c r="M44" s="103" t="s">
        <v>164</v>
      </c>
      <c r="N44" s="105">
        <v>2500</v>
      </c>
      <c r="O44" s="106" t="str" cm="1">
        <f t="array" ref="O44">_xlfn.IFS(N44="","",ABS(N44)&lt;='Risk Matrices'!$E$7,'Risk Matrices'!$E$5,ABS(N44)&lt;='Risk Matrices'!$F$7,'Risk Matrices'!$F$5,ABS(N44)&lt;='Risk Matrices'!$G$7,'Risk Matrices'!$G$5,ABS(N44)&lt;='Risk Matrices'!$H$7,'Risk Matrices'!$H$5,ABS(N44)&gt;'Risk Matrices'!$H$7,'Risk Matrices'!$I$5)</f>
        <v>Significant</v>
      </c>
      <c r="P44" s="106">
        <v>0</v>
      </c>
      <c r="Q44" s="102" t="s">
        <v>207</v>
      </c>
      <c r="R44" s="102" t="s">
        <v>280</v>
      </c>
      <c r="S44" s="106">
        <f t="shared" si="37"/>
        <v>2</v>
      </c>
      <c r="T44" s="106" cm="1">
        <f t="array" ref="T44">_xlfn.IFS(O44='Risk Matrices'!$D$28,'Risk Matrices'!$D$29,O44='Risk Matrices'!$E$28,'Risk Matrices'!$E$29,O44='Risk Matrices'!$F$28,'Risk Matrices'!$F$29,O44='Risk Matrices'!$G$28,'Risk Matrices'!$G$29,O44='Risk Matrices'!$H$28,'Risk Matrices'!$H$29)</f>
        <v>3</v>
      </c>
      <c r="U44" s="106">
        <f t="shared" si="41"/>
        <v>1</v>
      </c>
      <c r="V44" s="106">
        <f t="shared" si="41"/>
        <v>2</v>
      </c>
      <c r="W44" s="106">
        <f t="shared" si="42"/>
        <v>3</v>
      </c>
      <c r="X44" s="106">
        <f t="shared" si="43"/>
        <v>6</v>
      </c>
      <c r="Y44" s="107" t="str">
        <f t="shared" si="39"/>
        <v>Low</v>
      </c>
      <c r="Z44" s="104"/>
      <c r="AA44" s="108">
        <f t="shared" si="44"/>
        <v>0.17</v>
      </c>
      <c r="AB44" s="109">
        <f t="shared" si="45"/>
        <v>425.00000000000006</v>
      </c>
      <c r="AC44" s="109" t="s">
        <v>155</v>
      </c>
      <c r="AD44" s="145" t="s">
        <v>439</v>
      </c>
      <c r="AE44" s="145"/>
      <c r="AF44" s="145"/>
      <c r="AG44" s="145"/>
      <c r="AH44" s="104" t="s">
        <v>440</v>
      </c>
      <c r="AI44" s="112"/>
      <c r="AJ44" s="106"/>
      <c r="AK44" s="106"/>
      <c r="AL44" s="106"/>
      <c r="AM44" s="106"/>
      <c r="AN44" s="106"/>
      <c r="AO44" s="106"/>
      <c r="AP44" s="112" t="str">
        <f>IF(OR(ISBLANK(AI44),AI44=0),"INSERT LIKELIHOOD",IF(ABS(AI44)&lt;='Risk Matrices'!$D$22,'Risk Matrices'!$C$21,IF(ABS(AI44)&lt;='Risk Matrices'!$D$19,'Risk Matrices'!$C$18,IF(ABS(AI44)&lt;='Risk Matrices'!$D$16,'Risk Matrices'!$C$15,IF(ABS(AI44)&lt;='Risk Matrices'!$D$13,'Risk Matrices'!$C$12,'Risk Matrices'!$C$10)))))</f>
        <v>INSERT LIKELIHOOD</v>
      </c>
      <c r="AQ44" s="112" t="str">
        <f>IF(OR(ISBLANK(AK44),AK44=0),"",IF(ABS(AK44)&lt;='Risk Matrices'!$E$7,'Risk Matrices'!$E$5,IF(ABS(AK44)&lt;='Risk Matrices'!$G$7,'Risk Matrices'!$G$5,IF(ABS(AK44)&lt;='Risk Matrices'!$H$7,'Risk Matrices'!$H$5,'Risk Matrices'!$I$5))))</f>
        <v/>
      </c>
      <c r="AR44" s="112" t="str">
        <f>IF(AN44="","",IF(ABS(AN44)&lt;='Risk Matrices'!$E$8,"Negligible",IF(ABS(AN44)&lt;='Risk Matrices'!$F$8,"Marginal",IF(ABS(AN44)&lt;='Risk Matrices'!$G$8,"Significant",IF(ABS(AN44)&lt;='Risk Matrices'!$H$8,"Critical","Crisis")))))</f>
        <v/>
      </c>
      <c r="AS44" s="103" t="s">
        <v>130</v>
      </c>
      <c r="AT44" s="298">
        <f>IF(OR(ISBLANK(AI44),AI44=0),0,VLOOKUP(AP44,'Risk Matrices'!$B$30:$C$34,2,0))</f>
        <v>0</v>
      </c>
      <c r="AU44" s="298">
        <f>IF(OR(ISBLANK(AK44),AK44=0),0,HLOOKUP(AQ44,'Risk Matrices'!$D$28:$H$29,2,0))</f>
        <v>0</v>
      </c>
      <c r="AV44" s="298" t="e">
        <f>IF(OR(ISBLANK(AR44),AR44=0),0,HLOOKUP(AR44,'Risk Matrices'!$D$28:$H$29,2,0))</f>
        <v>#N/A</v>
      </c>
      <c r="AW44" s="298">
        <f>IF(AS44="None",0,HLOOKUP(AS44,'Risk Matrices'!$D$28:$H$29,2,0))</f>
        <v>0</v>
      </c>
      <c r="AX44" s="106" t="e">
        <f t="shared" si="20"/>
        <v>#N/A</v>
      </c>
      <c r="AY44" s="106" t="e">
        <f t="shared" si="21"/>
        <v>#N/A</v>
      </c>
      <c r="AZ44" s="107" t="str">
        <f>IF(B44="Retired","Retired",IF(OR(ISBLANK(AY44),AY44=0),"TBD",IF(AY44&lt;='Risk Matrices'!$D$40,'Risk Matrices'!$B$40,IF(AY44&lt;='Risk Matrices'!$D$39,'Risk Matrices'!$B$39,'Risk Matrices'!$B$38))))</f>
        <v>Retired</v>
      </c>
      <c r="BA44" s="112"/>
      <c r="BB44" s="746"/>
      <c r="BC44" s="109" t="str">
        <f t="shared" si="22"/>
        <v>Retired</v>
      </c>
      <c r="BD44" s="113"/>
      <c r="BE44" s="114"/>
      <c r="BF44" s="115"/>
      <c r="BG44" s="906" t="s">
        <v>441</v>
      </c>
      <c r="BH44" s="115"/>
      <c r="BI44" s="115"/>
      <c r="BJ44" s="874">
        <f t="shared" si="40"/>
        <v>0</v>
      </c>
      <c r="BK44" s="101" t="s">
        <v>311</v>
      </c>
      <c r="BL44" s="116">
        <v>44353</v>
      </c>
      <c r="BM44" s="116">
        <v>44012</v>
      </c>
      <c r="BN44" s="330">
        <v>44134</v>
      </c>
      <c r="BO44" s="332"/>
      <c r="BP44" s="94">
        <f>AI44*((2*AJ44+4*AK44+2*AL44)/6)</f>
        <v>0</v>
      </c>
      <c r="BQ44" s="97" t="str">
        <f t="shared" si="32"/>
        <v xml:space="preserve"> -  - </v>
      </c>
      <c r="BR44" s="97" t="str">
        <f t="shared" si="33"/>
        <v xml:space="preserve"> -  - </v>
      </c>
      <c r="BS44" s="715">
        <f t="shared" si="34"/>
        <v>0</v>
      </c>
      <c r="BT44" s="736">
        <f t="shared" si="35"/>
        <v>0</v>
      </c>
      <c r="BU44" s="735" t="s">
        <v>432</v>
      </c>
    </row>
    <row r="45" spans="2:75" customFormat="1" ht="135" hidden="1" x14ac:dyDescent="0.2">
      <c r="B45" s="101" t="str">
        <f t="shared" si="36"/>
        <v>Retired</v>
      </c>
      <c r="C45" s="110">
        <v>13</v>
      </c>
      <c r="D45" s="101" t="s">
        <v>151</v>
      </c>
      <c r="E45" s="101" t="s">
        <v>433</v>
      </c>
      <c r="F45" s="143" t="s">
        <v>124</v>
      </c>
      <c r="G45" s="106" t="s">
        <v>434</v>
      </c>
      <c r="H45" s="106"/>
      <c r="I45" s="106" t="s">
        <v>435</v>
      </c>
      <c r="J45" s="103" t="s">
        <v>351</v>
      </c>
      <c r="K45" s="101" t="s">
        <v>442</v>
      </c>
      <c r="L45" s="146" t="s">
        <v>443</v>
      </c>
      <c r="M45" s="103" t="s">
        <v>164</v>
      </c>
      <c r="N45" s="105">
        <v>7000</v>
      </c>
      <c r="O45" s="106" t="str" cm="1">
        <f t="array" ref="O45">_xlfn.IFS(N45="","",ABS(N45)&lt;='Risk Matrices'!$E$7,'Risk Matrices'!$E$5,ABS(N45)&lt;='Risk Matrices'!$F$7,'Risk Matrices'!$F$5,ABS(N45)&lt;='Risk Matrices'!$G$7,'Risk Matrices'!$G$5,ABS(N45)&lt;='Risk Matrices'!$H$7,'Risk Matrices'!$H$5,ABS(N45)&gt;'Risk Matrices'!$H$7,'Risk Matrices'!$I$5)</f>
        <v>Critical</v>
      </c>
      <c r="P45" s="106">
        <v>6</v>
      </c>
      <c r="Q45" s="103" t="s">
        <v>207</v>
      </c>
      <c r="R45" s="123"/>
      <c r="S45" s="106">
        <f t="shared" si="37"/>
        <v>2</v>
      </c>
      <c r="T45" s="106" cm="1">
        <f t="array" ref="T45">_xlfn.IFS(O45='Risk Matrices'!$D$28,'Risk Matrices'!$D$29,O45='Risk Matrices'!$E$28,'Risk Matrices'!$E$29,O45='Risk Matrices'!$F$28,'Risk Matrices'!$F$29,O45='Risk Matrices'!$G$28,'Risk Matrices'!$G$29,O45='Risk Matrices'!$H$28,'Risk Matrices'!$H$29)</f>
        <v>4</v>
      </c>
      <c r="U45" s="106">
        <f t="shared" si="41"/>
        <v>1</v>
      </c>
      <c r="V45" s="106">
        <f t="shared" si="41"/>
        <v>0</v>
      </c>
      <c r="W45" s="106">
        <f t="shared" si="42"/>
        <v>4</v>
      </c>
      <c r="X45" s="106">
        <f t="shared" si="43"/>
        <v>8</v>
      </c>
      <c r="Y45" s="107" t="str">
        <f t="shared" si="39"/>
        <v>Moderate</v>
      </c>
      <c r="Z45" s="104"/>
      <c r="AA45" s="108">
        <f t="shared" si="44"/>
        <v>0.17</v>
      </c>
      <c r="AB45" s="109">
        <f t="shared" si="45"/>
        <v>1190</v>
      </c>
      <c r="AC45" s="109" t="s">
        <v>155</v>
      </c>
      <c r="AD45" s="104"/>
      <c r="AE45" s="104"/>
      <c r="AF45" s="104"/>
      <c r="AG45" s="104"/>
      <c r="AH45" s="104"/>
      <c r="AI45" s="878"/>
      <c r="AJ45" s="101"/>
      <c r="AK45" s="101"/>
      <c r="AL45" s="101"/>
      <c r="AM45" s="101"/>
      <c r="AN45" s="101"/>
      <c r="AO45" s="104"/>
      <c r="AP45" s="112" t="str">
        <f>IF(OR(ISBLANK(AI45),AI45=0),"INSERT LIKELIHOOD",IF(ABS(AI45)&lt;='Risk Matrices'!$D$22,'Risk Matrices'!$C$21,IF(ABS(AI45)&lt;='Risk Matrices'!$D$19,'Risk Matrices'!$C$18,IF(ABS(AI45)&lt;='Risk Matrices'!$D$16,'Risk Matrices'!$C$15,IF(ABS(AI45)&lt;='Risk Matrices'!$D$13,'Risk Matrices'!$C$12,'Risk Matrices'!$C$10)))))</f>
        <v>INSERT LIKELIHOOD</v>
      </c>
      <c r="AQ45" s="112" t="str">
        <f>IF(OR(ISBLANK(AK45),AK45=0),"",IF(ABS(AK45)&lt;='Risk Matrices'!$E$7,'Risk Matrices'!$E$5,IF(ABS(AK45)&lt;='Risk Matrices'!$G$7,'Risk Matrices'!$G$5,IF(ABS(AK45)&lt;='Risk Matrices'!$H$7,'Risk Matrices'!$H$5,'Risk Matrices'!$I$5))))</f>
        <v/>
      </c>
      <c r="AR45" s="112" t="str">
        <f>IF(AN45="","",IF(ABS(AN45)&lt;='Risk Matrices'!$E$8,"Negligible",IF(ABS(AN45)&lt;='Risk Matrices'!$F$8,"Marginal",IF(ABS(AN45)&lt;='Risk Matrices'!$G$8,"Significant",IF(ABS(AN45)&lt;='Risk Matrices'!$H$8,"Critical","Crisis")))))</f>
        <v/>
      </c>
      <c r="AS45" s="103" t="s">
        <v>130</v>
      </c>
      <c r="AT45" s="298">
        <f>IF(OR(ISBLANK(AI45),AI45=0),0,VLOOKUP(AP45,'Risk Matrices'!$B$30:$C$34,2,0))</f>
        <v>0</v>
      </c>
      <c r="AU45" s="298">
        <f>IF(OR(ISBLANK(AK45),AK45=0),0,HLOOKUP(AQ45,'Risk Matrices'!$D$28:$H$29,2,0))</f>
        <v>0</v>
      </c>
      <c r="AV45" s="298" t="e">
        <f>IF(OR(ISBLANK(AR45),AR45=0),0,HLOOKUP(AR45,'Risk Matrices'!$D$28:$H$29,2,0))</f>
        <v>#N/A</v>
      </c>
      <c r="AW45" s="298">
        <f>IF(AS45="None",0,HLOOKUP(AS45,'Risk Matrices'!$D$28:$H$29,2,0))</f>
        <v>0</v>
      </c>
      <c r="AX45" s="106" t="e">
        <f t="shared" si="20"/>
        <v>#N/A</v>
      </c>
      <c r="AY45" s="106" t="e">
        <f t="shared" si="21"/>
        <v>#N/A</v>
      </c>
      <c r="AZ45" s="107" t="str">
        <f>IF(B45="Retired","Retired",IF(OR(ISBLANK(AY45),AY45=0),"TBD",IF(AY45&lt;='Risk Matrices'!$D$40,'Risk Matrices'!$B$40,IF(AY45&lt;='Risk Matrices'!$D$39,'Risk Matrices'!$B$39,'Risk Matrices'!$B$38))))</f>
        <v>Retired</v>
      </c>
      <c r="BA45" s="104"/>
      <c r="BB45" s="104"/>
      <c r="BC45" s="109" t="str">
        <f t="shared" si="22"/>
        <v>Retired</v>
      </c>
      <c r="BD45" s="104"/>
      <c r="BE45" s="104"/>
      <c r="BF45" s="104"/>
      <c r="BG45" s="146" t="s">
        <v>444</v>
      </c>
      <c r="BH45" s="104"/>
      <c r="BI45" s="104"/>
      <c r="BJ45" s="874">
        <f t="shared" si="40"/>
        <v>0</v>
      </c>
      <c r="BK45" s="101" t="s">
        <v>311</v>
      </c>
      <c r="BL45" s="130">
        <v>44134</v>
      </c>
      <c r="BM45" s="116">
        <v>43881</v>
      </c>
      <c r="BN45" s="330">
        <v>43891</v>
      </c>
      <c r="BO45" s="332"/>
      <c r="BP45" s="94">
        <f>AI45*((2*AJ45+4*AK45+2*AL45)/6)</f>
        <v>0</v>
      </c>
      <c r="BQ45" s="97" t="str">
        <f t="shared" si="32"/>
        <v xml:space="preserve"> -  - </v>
      </c>
      <c r="BR45" s="97" t="str">
        <f t="shared" si="33"/>
        <v xml:space="preserve"> -  - </v>
      </c>
      <c r="BS45" s="715">
        <f t="shared" si="34"/>
        <v>0</v>
      </c>
      <c r="BT45" s="736">
        <f t="shared" si="35"/>
        <v>0</v>
      </c>
      <c r="BU45" s="735" t="s">
        <v>445</v>
      </c>
    </row>
    <row r="46" spans="2:75" customFormat="1" ht="60" hidden="1" x14ac:dyDescent="0.2">
      <c r="B46" s="101" t="str">
        <f t="shared" si="36"/>
        <v>Retired</v>
      </c>
      <c r="C46" s="110">
        <v>147</v>
      </c>
      <c r="D46" s="101" t="s">
        <v>151</v>
      </c>
      <c r="E46" s="101" t="s">
        <v>433</v>
      </c>
      <c r="F46" s="143" t="s">
        <v>124</v>
      </c>
      <c r="G46" s="106" t="s">
        <v>434</v>
      </c>
      <c r="H46" s="106"/>
      <c r="I46" s="106" t="s">
        <v>435</v>
      </c>
      <c r="J46" s="143" t="s">
        <v>436</v>
      </c>
      <c r="K46" s="106" t="s">
        <v>446</v>
      </c>
      <c r="L46" s="144" t="s">
        <v>447</v>
      </c>
      <c r="M46" s="103" t="s">
        <v>379</v>
      </c>
      <c r="N46" s="105"/>
      <c r="O46" s="106" t="str" cm="1">
        <f t="array" ref="O46">_xlfn.IFS(N46="","",ABS(N46)&lt;='Risk Matrices'!$E$7,'Risk Matrices'!$E$5,ABS(N46)&lt;='Risk Matrices'!$F$7,'Risk Matrices'!$F$5,ABS(N46)&lt;='Risk Matrices'!$G$7,'Risk Matrices'!$G$5,ABS(N46)&lt;='Risk Matrices'!$H$7,'Risk Matrices'!$H$5,ABS(N46)&gt;'Risk Matrices'!$H$7,'Risk Matrices'!$I$5)</f>
        <v/>
      </c>
      <c r="P46" s="106"/>
      <c r="Q46" s="104"/>
      <c r="R46" s="101" t="s">
        <v>406</v>
      </c>
      <c r="S46" s="106">
        <f t="shared" si="37"/>
        <v>1</v>
      </c>
      <c r="T46" s="106" t="e" cm="1">
        <f t="array" ref="T46">_xlfn.IFS(O46='Risk Matrices'!$D$28,'Risk Matrices'!$D$29,O46='Risk Matrices'!$E$28,'Risk Matrices'!$E$29,O46='Risk Matrices'!$F$28,'Risk Matrices'!$F$29,O46='Risk Matrices'!$G$28,'Risk Matrices'!$G$29,O46='Risk Matrices'!$H$28,'Risk Matrices'!$H$29)</f>
        <v>#N/A</v>
      </c>
      <c r="U46" s="106">
        <f t="shared" si="41"/>
        <v>0</v>
      </c>
      <c r="V46" s="106">
        <f t="shared" si="41"/>
        <v>4</v>
      </c>
      <c r="W46" s="106" t="e">
        <f t="shared" si="42"/>
        <v>#N/A</v>
      </c>
      <c r="X46" s="106" t="e">
        <f t="shared" si="43"/>
        <v>#N/A</v>
      </c>
      <c r="Y46" s="107" t="e">
        <f t="shared" si="39"/>
        <v>#N/A</v>
      </c>
      <c r="Z46" s="104"/>
      <c r="AA46" s="108">
        <f t="shared" si="44"/>
        <v>0.05</v>
      </c>
      <c r="AB46" s="109">
        <f t="shared" si="45"/>
        <v>0</v>
      </c>
      <c r="AC46" s="109" t="s">
        <v>155</v>
      </c>
      <c r="AD46" s="104" t="s">
        <v>448</v>
      </c>
      <c r="AE46" s="104"/>
      <c r="AF46" s="104"/>
      <c r="AG46" s="104"/>
      <c r="AH46" s="104"/>
      <c r="AI46" s="878"/>
      <c r="AJ46" s="101"/>
      <c r="AK46" s="101"/>
      <c r="AL46" s="101"/>
      <c r="AM46" s="101"/>
      <c r="AN46" s="101"/>
      <c r="AO46" s="104"/>
      <c r="AP46" s="112" t="str">
        <f>IF(OR(ISBLANK(AI46),AI46=0),"INSERT LIKELIHOOD",IF(ABS(AI46)&lt;='Risk Matrices'!$D$22,'Risk Matrices'!$C$21,IF(ABS(AI46)&lt;='Risk Matrices'!$D$19,'Risk Matrices'!$C$18,IF(ABS(AI46)&lt;='Risk Matrices'!$D$16,'Risk Matrices'!$C$15,IF(ABS(AI46)&lt;='Risk Matrices'!$D$13,'Risk Matrices'!$C$12,'Risk Matrices'!$C$10)))))</f>
        <v>INSERT LIKELIHOOD</v>
      </c>
      <c r="AQ46" s="112" t="str">
        <f>IF(OR(ISBLANK(AK46),AK46=0),"",IF(ABS(AK46)&lt;='Risk Matrices'!$E$7,'Risk Matrices'!$E$5,IF(ABS(AK46)&lt;='Risk Matrices'!$G$7,'Risk Matrices'!$G$5,IF(ABS(AK46)&lt;='Risk Matrices'!$H$7,'Risk Matrices'!$H$5,'Risk Matrices'!$I$5))))</f>
        <v/>
      </c>
      <c r="AR46" s="112" t="str">
        <f>IF(AN46="","",IF(ABS(AN46)&lt;='Risk Matrices'!$E$8,"Negligible",IF(ABS(AN46)&lt;='Risk Matrices'!$F$8,"Marginal",IF(ABS(AN46)&lt;='Risk Matrices'!$G$8,"Significant",IF(ABS(AN46)&lt;='Risk Matrices'!$H$8,"Critical","Crisis")))))</f>
        <v/>
      </c>
      <c r="AS46" s="103" t="s">
        <v>130</v>
      </c>
      <c r="AT46" s="298">
        <f>IF(OR(ISBLANK(AI46),AI46=0),0,VLOOKUP(AP46,'Risk Matrices'!$B$30:$C$34,2,0))</f>
        <v>0</v>
      </c>
      <c r="AU46" s="298">
        <f>IF(OR(ISBLANK(AK46),AK46=0),0,HLOOKUP(AQ46,'Risk Matrices'!$D$28:$H$29,2,0))</f>
        <v>0</v>
      </c>
      <c r="AV46" s="298" t="e">
        <f>IF(OR(ISBLANK(AR46),AR46=0),0,HLOOKUP(AR46,'Risk Matrices'!$D$28:$H$29,2,0))</f>
        <v>#N/A</v>
      </c>
      <c r="AW46" s="298">
        <f>IF(AS46="None",0,HLOOKUP(AS46,'Risk Matrices'!$D$28:$H$29,2,0))</f>
        <v>0</v>
      </c>
      <c r="AX46" s="106" t="e">
        <f t="shared" si="20"/>
        <v>#N/A</v>
      </c>
      <c r="AY46" s="106" t="e">
        <f t="shared" si="21"/>
        <v>#N/A</v>
      </c>
      <c r="AZ46" s="107" t="str">
        <f>IF(B46="Retired","Retired",IF(OR(ISBLANK(AY46),AY46=0),"TBD",IF(AY46&lt;='Risk Matrices'!$D$40,'Risk Matrices'!$B$40,IF(AY46&lt;='Risk Matrices'!$D$39,'Risk Matrices'!$B$39,'Risk Matrices'!$B$38))))</f>
        <v>Retired</v>
      </c>
      <c r="BA46" s="104"/>
      <c r="BB46" s="104"/>
      <c r="BC46" s="109" t="str">
        <f t="shared" si="22"/>
        <v>Retired</v>
      </c>
      <c r="BD46" s="104"/>
      <c r="BE46" s="104"/>
      <c r="BF46" s="104"/>
      <c r="BG46" s="104" t="s">
        <v>449</v>
      </c>
      <c r="BH46" s="104"/>
      <c r="BI46" s="104"/>
      <c r="BJ46" s="874">
        <f t="shared" si="40"/>
        <v>0</v>
      </c>
      <c r="BK46" s="101" t="s">
        <v>311</v>
      </c>
      <c r="BL46" s="130">
        <v>44154</v>
      </c>
      <c r="BM46" s="116">
        <v>43920</v>
      </c>
      <c r="BN46" s="330">
        <v>44134</v>
      </c>
      <c r="BO46" s="332"/>
      <c r="BP46" s="94">
        <f>AI46*((2*AJ46+4*AK46+2*AL46)/6)</f>
        <v>0</v>
      </c>
      <c r="BQ46" s="97" t="str">
        <f t="shared" si="32"/>
        <v xml:space="preserve"> -  - </v>
      </c>
      <c r="BR46" s="97" t="str">
        <f t="shared" si="33"/>
        <v xml:space="preserve"> -  - </v>
      </c>
      <c r="BS46" s="715">
        <f t="shared" si="34"/>
        <v>0</v>
      </c>
      <c r="BT46" s="736">
        <f t="shared" si="35"/>
        <v>0</v>
      </c>
      <c r="BU46" s="735" t="s">
        <v>450</v>
      </c>
    </row>
    <row r="47" spans="2:75" customFormat="1" ht="45" hidden="1" x14ac:dyDescent="0.2">
      <c r="B47" s="101" t="str">
        <f t="shared" si="36"/>
        <v>Retired</v>
      </c>
      <c r="C47" s="110">
        <v>148</v>
      </c>
      <c r="D47" s="101" t="s">
        <v>151</v>
      </c>
      <c r="E47" s="101" t="s">
        <v>433</v>
      </c>
      <c r="F47" s="143" t="s">
        <v>124</v>
      </c>
      <c r="G47" s="106" t="s">
        <v>434</v>
      </c>
      <c r="H47" s="106"/>
      <c r="I47" s="106" t="s">
        <v>435</v>
      </c>
      <c r="J47" s="103" t="s">
        <v>351</v>
      </c>
      <c r="K47" s="144" t="s">
        <v>451</v>
      </c>
      <c r="L47" s="147" t="s">
        <v>452</v>
      </c>
      <c r="M47" s="104" t="s">
        <v>379</v>
      </c>
      <c r="N47" s="105">
        <v>11000</v>
      </c>
      <c r="O47" s="106" t="str" cm="1">
        <f t="array" ref="O47">_xlfn.IFS(N47="","",ABS(N47)&lt;='Risk Matrices'!$E$7,'Risk Matrices'!$E$5,ABS(N47)&lt;='Risk Matrices'!$F$7,'Risk Matrices'!$F$5,ABS(N47)&lt;='Risk Matrices'!$G$7,'Risk Matrices'!$G$5,ABS(N47)&lt;='Risk Matrices'!$H$7,'Risk Matrices'!$H$5,ABS(N47)&gt;'Risk Matrices'!$H$7,'Risk Matrices'!$I$5)</f>
        <v>Critical</v>
      </c>
      <c r="P47" s="106">
        <v>6</v>
      </c>
      <c r="Q47" s="101" t="s">
        <v>280</v>
      </c>
      <c r="R47" s="101" t="s">
        <v>280</v>
      </c>
      <c r="S47" s="106">
        <f t="shared" si="37"/>
        <v>1</v>
      </c>
      <c r="T47" s="106" cm="1">
        <f t="array" ref="T47">_xlfn.IFS(O47='Risk Matrices'!$D$28,'Risk Matrices'!$D$29,O47='Risk Matrices'!$E$28,'Risk Matrices'!$E$29,O47='Risk Matrices'!$F$28,'Risk Matrices'!$F$29,O47='Risk Matrices'!$G$28,'Risk Matrices'!$G$29,O47='Risk Matrices'!$H$28,'Risk Matrices'!$H$29)</f>
        <v>4</v>
      </c>
      <c r="U47" s="106">
        <f t="shared" si="41"/>
        <v>2</v>
      </c>
      <c r="V47" s="106">
        <f t="shared" si="41"/>
        <v>2</v>
      </c>
      <c r="W47" s="106">
        <f t="shared" si="42"/>
        <v>4</v>
      </c>
      <c r="X47" s="106">
        <f t="shared" si="43"/>
        <v>4</v>
      </c>
      <c r="Y47" s="107" t="str">
        <f t="shared" si="39"/>
        <v>Low</v>
      </c>
      <c r="Z47" s="104"/>
      <c r="AA47" s="108">
        <f t="shared" si="44"/>
        <v>0.05</v>
      </c>
      <c r="AB47" s="109">
        <f t="shared" si="45"/>
        <v>550</v>
      </c>
      <c r="AC47" s="109" t="s">
        <v>155</v>
      </c>
      <c r="AD47" s="104" t="s">
        <v>453</v>
      </c>
      <c r="AE47" s="104"/>
      <c r="AF47" s="104"/>
      <c r="AG47" s="104"/>
      <c r="AH47" s="751" t="s">
        <v>440</v>
      </c>
      <c r="AI47" s="881"/>
      <c r="AJ47" s="101"/>
      <c r="AK47" s="101"/>
      <c r="AL47" s="101"/>
      <c r="AM47" s="106"/>
      <c r="AN47" s="106"/>
      <c r="AO47" s="147"/>
      <c r="AP47" s="112" t="str">
        <f>IF(OR(ISBLANK(AI47),AI47=0),"INSERT LIKELIHOOD",IF(ABS(AI47)&lt;='Risk Matrices'!$D$22,'Risk Matrices'!$C$21,IF(ABS(AI47)&lt;='Risk Matrices'!$D$19,'Risk Matrices'!$C$18,IF(ABS(AI47)&lt;='Risk Matrices'!$D$16,'Risk Matrices'!$C$15,IF(ABS(AI47)&lt;='Risk Matrices'!$D$13,'Risk Matrices'!$C$12,'Risk Matrices'!$C$10)))))</f>
        <v>INSERT LIKELIHOOD</v>
      </c>
      <c r="AQ47" s="112" t="str">
        <f>IF(OR(ISBLANK(AK47),AK47=0),"",IF(ABS(AK47)&lt;='Risk Matrices'!$E$7,'Risk Matrices'!$E$5,IF(ABS(AK47)&lt;='Risk Matrices'!$G$7,'Risk Matrices'!$G$5,IF(ABS(AK47)&lt;='Risk Matrices'!$H$7,'Risk Matrices'!$H$5,'Risk Matrices'!$I$5))))</f>
        <v/>
      </c>
      <c r="AR47" s="112" t="str">
        <f>IF(AN47="","",IF(ABS(AN47)&lt;='Risk Matrices'!$E$8,"Negligible",IF(ABS(AN47)&lt;='Risk Matrices'!$F$8,"Marginal",IF(ABS(AN47)&lt;='Risk Matrices'!$G$8,"Significant",IF(ABS(AN47)&lt;='Risk Matrices'!$H$8,"Critical","Crisis")))))</f>
        <v/>
      </c>
      <c r="AS47" s="103" t="s">
        <v>130</v>
      </c>
      <c r="AT47" s="298">
        <f>IF(OR(ISBLANK(AI47),AI47=0),0,VLOOKUP(AP47,'Risk Matrices'!$B$30:$C$34,2,0))</f>
        <v>0</v>
      </c>
      <c r="AU47" s="298">
        <f>IF(OR(ISBLANK(AK47),AK47=0),0,HLOOKUP(AQ47,'Risk Matrices'!$D$28:$H$29,2,0))</f>
        <v>0</v>
      </c>
      <c r="AV47" s="298" t="e">
        <f>IF(OR(ISBLANK(AR47),AR47=0),0,HLOOKUP(AR47,'Risk Matrices'!$D$28:$H$29,2,0))</f>
        <v>#N/A</v>
      </c>
      <c r="AW47" s="298">
        <f>IF(AS47="None",0,HLOOKUP(AS47,'Risk Matrices'!$D$28:$H$29,2,0))</f>
        <v>0</v>
      </c>
      <c r="AX47" s="106" t="e">
        <f t="shared" si="20"/>
        <v>#N/A</v>
      </c>
      <c r="AY47" s="106" t="e">
        <f t="shared" si="21"/>
        <v>#N/A</v>
      </c>
      <c r="AZ47" s="107" t="str">
        <f>IF(B47="Retired","Retired",IF(OR(ISBLANK(AY47),AY47=0),"TBD",IF(AY47&lt;='Risk Matrices'!$D$40,'Risk Matrices'!$B$40,IF(AY47&lt;='Risk Matrices'!$D$39,'Risk Matrices'!$B$39,'Risk Matrices'!$B$38))))</f>
        <v>Retired</v>
      </c>
      <c r="BA47" s="104"/>
      <c r="BB47" s="104"/>
      <c r="BC47" s="109" t="str">
        <f t="shared" si="22"/>
        <v>Retired</v>
      </c>
      <c r="BD47" s="104"/>
      <c r="BE47" s="104"/>
      <c r="BF47" s="115"/>
      <c r="BG47" s="104" t="s">
        <v>454</v>
      </c>
      <c r="BH47" s="104"/>
      <c r="BI47" s="104"/>
      <c r="BJ47" s="874">
        <f t="shared" si="40"/>
        <v>0</v>
      </c>
      <c r="BK47" s="101" t="s">
        <v>311</v>
      </c>
      <c r="BL47" s="116">
        <v>44384</v>
      </c>
      <c r="BM47" s="116">
        <v>44012</v>
      </c>
      <c r="BN47" s="330">
        <v>44134</v>
      </c>
      <c r="BO47" s="332"/>
      <c r="BP47" s="94">
        <f>AI47*((2*AJ47+4*AK47+2*AL47)/6)</f>
        <v>0</v>
      </c>
      <c r="BQ47" s="97" t="str">
        <f t="shared" si="32"/>
        <v xml:space="preserve"> -  - </v>
      </c>
      <c r="BR47" s="97" t="str">
        <f t="shared" si="33"/>
        <v xml:space="preserve"> -  - </v>
      </c>
      <c r="BS47" s="715">
        <f t="shared" si="34"/>
        <v>0</v>
      </c>
      <c r="BT47" s="736">
        <f t="shared" si="35"/>
        <v>0</v>
      </c>
      <c r="BU47" s="735" t="s">
        <v>455</v>
      </c>
    </row>
    <row r="48" spans="2:75" customFormat="1" ht="112" hidden="1" x14ac:dyDescent="0.2">
      <c r="B48" s="101" t="str">
        <f t="shared" si="36"/>
        <v>Retired</v>
      </c>
      <c r="C48" s="129">
        <v>180</v>
      </c>
      <c r="D48" s="101" t="s">
        <v>151</v>
      </c>
      <c r="E48" s="126" t="s">
        <v>433</v>
      </c>
      <c r="F48" s="143" t="s">
        <v>124</v>
      </c>
      <c r="G48" s="128" t="s">
        <v>434</v>
      </c>
      <c r="H48" s="128"/>
      <c r="I48" s="128" t="s">
        <v>435</v>
      </c>
      <c r="J48" s="103" t="s">
        <v>351</v>
      </c>
      <c r="K48" s="126" t="s">
        <v>456</v>
      </c>
      <c r="L48" s="104" t="s">
        <v>457</v>
      </c>
      <c r="M48" s="121" t="s">
        <v>129</v>
      </c>
      <c r="N48" s="134">
        <v>2000</v>
      </c>
      <c r="O48" s="106" t="str" cm="1">
        <f t="array" ref="O48">_xlfn.IFS(N48="","",ABS(N48)&lt;='Risk Matrices'!$E$7,'Risk Matrices'!$E$5,ABS(N48)&lt;='Risk Matrices'!$F$7,'Risk Matrices'!$F$5,ABS(N48)&lt;='Risk Matrices'!$G$7,'Risk Matrices'!$G$5,ABS(N48)&lt;='Risk Matrices'!$H$7,'Risk Matrices'!$H$5,ABS(N48)&gt;'Risk Matrices'!$H$7,'Risk Matrices'!$I$5)</f>
        <v>Significant</v>
      </c>
      <c r="P48" s="128">
        <v>0</v>
      </c>
      <c r="Q48" s="126" t="s">
        <v>207</v>
      </c>
      <c r="R48" s="126" t="s">
        <v>207</v>
      </c>
      <c r="S48" s="128">
        <f t="shared" si="37"/>
        <v>4</v>
      </c>
      <c r="T48" s="106" cm="1">
        <f t="array" ref="T48">_xlfn.IFS(O48='Risk Matrices'!$D$28,'Risk Matrices'!$D$29,O48='Risk Matrices'!$E$28,'Risk Matrices'!$E$29,O48='Risk Matrices'!$F$28,'Risk Matrices'!$F$29,O48='Risk Matrices'!$G$28,'Risk Matrices'!$G$29,O48='Risk Matrices'!$H$28,'Risk Matrices'!$H$29)</f>
        <v>3</v>
      </c>
      <c r="U48" s="128">
        <f t="shared" si="41"/>
        <v>1</v>
      </c>
      <c r="V48" s="128">
        <f t="shared" si="41"/>
        <v>1</v>
      </c>
      <c r="W48" s="106">
        <f t="shared" si="42"/>
        <v>3</v>
      </c>
      <c r="X48" s="128">
        <f t="shared" si="43"/>
        <v>12</v>
      </c>
      <c r="Y48" s="135" t="str">
        <f t="shared" si="39"/>
        <v>Moderate</v>
      </c>
      <c r="Z48" s="121"/>
      <c r="AA48" s="136">
        <f t="shared" si="44"/>
        <v>0.52</v>
      </c>
      <c r="AB48" s="137">
        <f t="shared" si="45"/>
        <v>1040</v>
      </c>
      <c r="AC48" s="137" t="s">
        <v>155</v>
      </c>
      <c r="AD48" s="104" t="s">
        <v>458</v>
      </c>
      <c r="AE48" s="104"/>
      <c r="AF48" s="104"/>
      <c r="AG48" s="104"/>
      <c r="AH48" s="751" t="s">
        <v>459</v>
      </c>
      <c r="AI48" s="878">
        <v>0.05</v>
      </c>
      <c r="AJ48" s="101">
        <v>0</v>
      </c>
      <c r="AK48" s="101">
        <v>0</v>
      </c>
      <c r="AL48" s="101">
        <v>0</v>
      </c>
      <c r="AM48" s="106">
        <v>0</v>
      </c>
      <c r="AN48" s="106">
        <v>0</v>
      </c>
      <c r="AO48" s="106">
        <v>0</v>
      </c>
      <c r="AP48" s="112" t="str">
        <f>IF(OR(ISBLANK(AI48),AI48=0),"INSERT LIKELIHOOD",IF(ABS(AI48)&lt;='Risk Matrices'!$D$22,'Risk Matrices'!$C$21,IF(ABS(AI48)&lt;='Risk Matrices'!$D$19,'Risk Matrices'!$C$18,IF(ABS(AI48)&lt;='Risk Matrices'!$D$16,'Risk Matrices'!$C$15,IF(ABS(AI48)&lt;='Risk Matrices'!$D$13,'Risk Matrices'!$C$12,'Risk Matrices'!$C$10)))))</f>
        <v>Very Low</v>
      </c>
      <c r="AQ48" s="112" t="str">
        <f>IF(OR(ISBLANK(AK48),AK48=0),"None",IF(ABS(AK48)&lt;='Risk Matrices'!$E$7,'Risk Matrices'!$E$5,IF(ABS(AK48)&lt;='Risk Matrices'!$G$7,'Risk Matrices'!$G$5,IF(ABS(AK48)&lt;='Risk Matrices'!$H$7,'Risk Matrices'!$H$5,'Risk Matrices'!$I$5))))</f>
        <v>None</v>
      </c>
      <c r="AR48" s="112" t="str">
        <f>IF(AN48="","",IF(ABS(AN48)&lt;='Risk Matrices'!$E$8,"Negligible",IF(ABS(AN48)&lt;='Risk Matrices'!$F$8,"Marginal",IF(ABS(AN48)&lt;='Risk Matrices'!$G$8,"Significant",IF(ABS(AN48)&lt;='Risk Matrices'!$H$8,"Critical","Crisis")))))</f>
        <v>Negligible</v>
      </c>
      <c r="AS48" s="103" t="s">
        <v>207</v>
      </c>
      <c r="AT48" s="298">
        <f>IF(OR(ISBLANK(AI48),AI48=0),0,VLOOKUP(AP48,'Risk Matrices'!$B$30:$C$34,2,0))</f>
        <v>1</v>
      </c>
      <c r="AU48" s="298">
        <f>IF(OR(ISBLANK(AK48),AK48=0),0,HLOOKUP(AQ48,'Risk Matrices'!$D$28:$H$29,2,0))</f>
        <v>0</v>
      </c>
      <c r="AV48" s="298">
        <f>IF(OR(ISBLANK(AR48),AR48=0),0,HLOOKUP(AR48,'Risk Matrices'!$D$28:$H$29,2,0))</f>
        <v>1</v>
      </c>
      <c r="AW48" s="298">
        <f>IF(OR(ISBLANK(AS48),AS48=0),0,HLOOKUP(AS48,'Risk Matrices'!$D$28:$H$29,2,0))</f>
        <v>1</v>
      </c>
      <c r="AX48" s="106">
        <f t="shared" si="20"/>
        <v>1</v>
      </c>
      <c r="AY48" s="106">
        <f t="shared" si="21"/>
        <v>1</v>
      </c>
      <c r="AZ48" s="107" t="str">
        <f>IF(B48="Retired","Retired",IF(OR(ISBLANK(AY48),AY48=0),"TBD",IF(AY48&lt;='Risk Matrices'!$D$40,'Risk Matrices'!$B$40,IF(AY48&lt;='Risk Matrices'!$D$39,'Risk Matrices'!$B$39,'Risk Matrices'!$B$38))))</f>
        <v>Retired</v>
      </c>
      <c r="BA48" s="104"/>
      <c r="BB48" s="104"/>
      <c r="BC48" s="109" t="str">
        <f t="shared" si="22"/>
        <v>Retired</v>
      </c>
      <c r="BD48" s="104" t="s">
        <v>460</v>
      </c>
      <c r="BE48" s="104"/>
      <c r="BF48" s="91" t="s">
        <v>460</v>
      </c>
      <c r="BG48" s="335" t="s">
        <v>461</v>
      </c>
      <c r="BH48" s="104"/>
      <c r="BI48" s="104"/>
      <c r="BJ48" s="874">
        <f t="shared" si="40"/>
        <v>0</v>
      </c>
      <c r="BK48" s="101" t="s">
        <v>311</v>
      </c>
      <c r="BL48" s="116">
        <v>44518</v>
      </c>
      <c r="BM48" s="116">
        <v>44012</v>
      </c>
      <c r="BN48" s="330">
        <v>44134</v>
      </c>
      <c r="BO48" s="332"/>
      <c r="BP48" s="94">
        <f>AI48*((2*AJ48+4*AK48+2*AL48)/6)</f>
        <v>0</v>
      </c>
      <c r="BQ48" s="97" t="str">
        <f t="shared" si="32"/>
        <v>0 - 0 - 0</v>
      </c>
      <c r="BR48" s="97" t="str">
        <f t="shared" si="33"/>
        <v>0 - 0 - 0</v>
      </c>
      <c r="BS48" s="715">
        <f t="shared" si="34"/>
        <v>0</v>
      </c>
      <c r="BT48" s="736">
        <f t="shared" si="35"/>
        <v>0</v>
      </c>
      <c r="BU48" s="735" t="s">
        <v>462</v>
      </c>
    </row>
    <row r="49" spans="2:75" customFormat="1" ht="135" hidden="1" x14ac:dyDescent="0.2">
      <c r="B49" s="101" t="str">
        <f t="shared" si="36"/>
        <v>Retired</v>
      </c>
      <c r="C49" s="784" t="s">
        <v>463</v>
      </c>
      <c r="D49" s="101" t="s">
        <v>151</v>
      </c>
      <c r="E49" s="101" t="s">
        <v>433</v>
      </c>
      <c r="F49" s="143" t="s">
        <v>124</v>
      </c>
      <c r="G49" s="106" t="s">
        <v>434</v>
      </c>
      <c r="H49" s="101" t="str">
        <f t="shared" ref="H49:H58" si="46">C49</f>
        <v>RT-6-003-001</v>
      </c>
      <c r="I49" s="106" t="s">
        <v>464</v>
      </c>
      <c r="J49" s="101" t="s">
        <v>465</v>
      </c>
      <c r="K49" s="101" t="s">
        <v>466</v>
      </c>
      <c r="L49" s="123" t="s">
        <v>467</v>
      </c>
      <c r="M49" s="103" t="s">
        <v>164</v>
      </c>
      <c r="N49" s="101">
        <v>150</v>
      </c>
      <c r="O49" s="106" t="str" cm="1">
        <f t="array" ref="O49">_xlfn.IFS(N49="","",ABS(N49)&lt;='Risk Matrices'!$E$7,'Risk Matrices'!$E$5,ABS(N49)&lt;='Risk Matrices'!$F$7,'Risk Matrices'!$F$5,ABS(N49)&lt;='Risk Matrices'!$G$7,'Risk Matrices'!$G$5,ABS(N49)&lt;='Risk Matrices'!$H$7,'Risk Matrices'!$H$5,ABS(N49)&gt;'Risk Matrices'!$H$7,'Risk Matrices'!$I$5)</f>
        <v>Negligible</v>
      </c>
      <c r="P49" s="128">
        <v>9</v>
      </c>
      <c r="Q49" s="101" t="str" cm="1">
        <f t="array" ref="Q49">_xlfn.IFS(P49="","",ABS(P49)&lt;='Risk Matrices'!$E$8,'Risk Matrices'!$E$5,ABS(P49)&lt;='Risk Matrices'!$F$8,'Risk Matrices'!$F$5,ABS(P49)&lt;='Risk Matrices'!$G$8,'Risk Matrices'!$G$5,ABS(P49)&lt;='Risk Matrices'!$H$8,'Risk Matrices'!$H$5,ABS(P49)&gt;'Risk Matrices'!$H$8,'Risk Matrices'!$I$5)</f>
        <v>Significant</v>
      </c>
      <c r="R49" s="101" t="s">
        <v>130</v>
      </c>
      <c r="S49" s="106">
        <f t="shared" si="37"/>
        <v>2</v>
      </c>
      <c r="T49" s="106" cm="1">
        <f t="array" ref="T49">_xlfn.IFS(O49='Risk Matrices'!$D$28,'Risk Matrices'!$D$29,O49='Risk Matrices'!$E$28,'Risk Matrices'!$E$29,O49='Risk Matrices'!$F$28,'Risk Matrices'!$F$29,O49='Risk Matrices'!$G$28,'Risk Matrices'!$G$29,O49='Risk Matrices'!$H$28,'Risk Matrices'!$H$29)</f>
        <v>1</v>
      </c>
      <c r="U49" s="106">
        <f>IF(Q49="",0,IF(Q49="Negligible",1,IF(Q49="Marginal",2,IF(Q49="Significant",3,IF(Q49="Critical",4,IF(Q49="Crisis",5))))))</f>
        <v>3</v>
      </c>
      <c r="V49" s="106">
        <f>IF(R49="None",0,IF(R49="Negligible",1,IF(R49="Marginal",2,IF(R49="Significant",3,IF(R49="Critical",4,IF(R49="Crisis",5))))))</f>
        <v>0</v>
      </c>
      <c r="W49" s="106">
        <f t="shared" si="42"/>
        <v>3</v>
      </c>
      <c r="X49" s="106">
        <f t="shared" si="43"/>
        <v>6</v>
      </c>
      <c r="Y49" s="107" t="str">
        <f t="shared" si="39"/>
        <v>Low</v>
      </c>
      <c r="Z49" s="121"/>
      <c r="AA49" s="136"/>
      <c r="AB49" s="137"/>
      <c r="AC49" s="109" t="s">
        <v>155</v>
      </c>
      <c r="AD49" s="750" t="s">
        <v>468</v>
      </c>
      <c r="AE49" s="770"/>
      <c r="AF49" s="101" t="s">
        <v>200</v>
      </c>
      <c r="AG49" s="101"/>
      <c r="AH49" s="101" t="s">
        <v>469</v>
      </c>
      <c r="AI49" s="878">
        <v>0.05</v>
      </c>
      <c r="AJ49" s="101">
        <v>100</v>
      </c>
      <c r="AK49" s="101">
        <v>150</v>
      </c>
      <c r="AL49" s="101">
        <v>250</v>
      </c>
      <c r="AM49" s="106">
        <v>3</v>
      </c>
      <c r="AN49" s="106">
        <v>9</v>
      </c>
      <c r="AO49" s="106">
        <v>18</v>
      </c>
      <c r="AP49" s="112" t="str">
        <f>IF(OR(ISBLANK(AI49),AI49=0),"INSERT LIKELIHOOD",IF(ABS(AI49)&lt;='Risk Matrices'!$D$22,'Risk Matrices'!$C$21,IF(ABS(AI49)&lt;='Risk Matrices'!$D$19,'Risk Matrices'!$C$18,IF(ABS(AI49)&lt;='Risk Matrices'!$D$16,'Risk Matrices'!$C$15,IF(ABS(AI49)&lt;='Risk Matrices'!$D$13,'Risk Matrices'!$C$12,'Risk Matrices'!$C$10)))))</f>
        <v>Very Low</v>
      </c>
      <c r="AQ49" s="112" t="str">
        <f>IF(OR(ISBLANK(AK49),AK49=0),"None",IF(ABS(AK49)&lt;='Risk Matrices'!$E$7,'Risk Matrices'!$E$5,IF(ABS(AK49)&lt;='Risk Matrices'!$G$7,'Risk Matrices'!$G$5,IF(ABS(AK49)&lt;='Risk Matrices'!$H$7,'Risk Matrices'!$H$5,'Risk Matrices'!$I$5))))</f>
        <v>Negligible</v>
      </c>
      <c r="AR49" s="112" t="str">
        <f>IF(AN49="","",IF(ABS(AN49)&lt;='Risk Matrices'!$E$8,"Negligible",IF(ABS(AN49)&lt;='Risk Matrices'!$F$8,"Marginal",IF(ABS(AN49)&lt;='Risk Matrices'!$G$8,"Significant",IF(ABS(AN49)&lt;='Risk Matrices'!$H$8,"Critical","Crisis")))))</f>
        <v>Significant</v>
      </c>
      <c r="AS49" s="103" t="s">
        <v>130</v>
      </c>
      <c r="AT49" s="298">
        <f>IF(OR(ISBLANK(AI49),AI49=0),0,VLOOKUP(AP49,'Risk Matrices'!$B$30:$C$34,2,0))</f>
        <v>1</v>
      </c>
      <c r="AU49" s="298">
        <f>IF(OR(ISBLANK(AK49),AK49=0),0,HLOOKUP(AQ49,'Risk Matrices'!$D$28:$H$29,2,0))</f>
        <v>1</v>
      </c>
      <c r="AV49" s="298">
        <f>IF(OR(ISBLANK(AR49),AR49=0),0,HLOOKUP(AR49,'Risk Matrices'!$D$28:$H$29,2,0))</f>
        <v>3</v>
      </c>
      <c r="AW49" s="298">
        <f>IF(AS49="None",0,HLOOKUP(AS49,'Risk Matrices'!$D$28:$H$29,2,0))</f>
        <v>0</v>
      </c>
      <c r="AX49" s="106">
        <f t="shared" si="20"/>
        <v>3</v>
      </c>
      <c r="AY49" s="106">
        <f t="shared" si="21"/>
        <v>3</v>
      </c>
      <c r="AZ49" s="107" t="str">
        <f>IF(B49="Retired","Retired",IF(OR(ISBLANK(AY49),AY49=0),"TBD",IF(AY49&lt;='Risk Matrices'!$D$40,'Risk Matrices'!$B$40,IF(AY49&lt;='Risk Matrices'!$D$39,'Risk Matrices'!$B$39,'Risk Matrices'!$B$38))))</f>
        <v>Retired</v>
      </c>
      <c r="BA49" s="104"/>
      <c r="BB49" s="197" t="s">
        <v>470</v>
      </c>
      <c r="BC49" s="109" t="str">
        <f t="shared" si="22"/>
        <v>Retired</v>
      </c>
      <c r="BD49" s="185">
        <v>45559</v>
      </c>
      <c r="BE49" s="104"/>
      <c r="BF49" s="91"/>
      <c r="BG49" s="335" t="s">
        <v>471</v>
      </c>
      <c r="BH49" s="104"/>
      <c r="BI49" s="104"/>
      <c r="BJ49" s="884">
        <f t="shared" si="40"/>
        <v>8.3333333333333339</v>
      </c>
      <c r="BK49" s="101" t="s">
        <v>375</v>
      </c>
      <c r="BL49" s="116">
        <v>45559</v>
      </c>
      <c r="BM49" s="116">
        <v>44895</v>
      </c>
      <c r="BN49" s="330">
        <v>44895</v>
      </c>
      <c r="BO49" s="332"/>
      <c r="BP49" s="94">
        <f t="shared" ref="BP49:BP56" si="47">AI49*((AJ49+4*AK49+AL49)/6)</f>
        <v>7.9166666666666679</v>
      </c>
      <c r="BQ49" s="97" t="str">
        <f t="shared" si="32"/>
        <v>100 - 150 - 250</v>
      </c>
      <c r="BR49" s="97" t="str">
        <f t="shared" si="33"/>
        <v>3 - 9 - 18</v>
      </c>
      <c r="BS49" s="715">
        <f t="shared" si="34"/>
        <v>8.3333333333333339</v>
      </c>
      <c r="BT49" s="736">
        <f t="shared" si="35"/>
        <v>0.5</v>
      </c>
      <c r="BU49" s="735" t="s">
        <v>472</v>
      </c>
      <c r="BV49" s="873">
        <v>45382</v>
      </c>
      <c r="BW49">
        <f>BV49-BN49</f>
        <v>487</v>
      </c>
    </row>
    <row r="50" spans="2:75" customFormat="1" ht="60" hidden="1" x14ac:dyDescent="0.2">
      <c r="B50" s="101" t="str">
        <f t="shared" si="36"/>
        <v>Active</v>
      </c>
      <c r="C50" s="784" t="s">
        <v>473</v>
      </c>
      <c r="D50" s="101" t="s">
        <v>151</v>
      </c>
      <c r="E50" s="101" t="s">
        <v>433</v>
      </c>
      <c r="F50" s="143" t="s">
        <v>124</v>
      </c>
      <c r="G50" s="106" t="s">
        <v>434</v>
      </c>
      <c r="H50" s="101" t="str">
        <f t="shared" si="46"/>
        <v>RT-6-003-002</v>
      </c>
      <c r="I50" s="106" t="s">
        <v>474</v>
      </c>
      <c r="J50" s="103" t="s">
        <v>475</v>
      </c>
      <c r="K50" s="101" t="s">
        <v>476</v>
      </c>
      <c r="L50" s="146" t="s">
        <v>477</v>
      </c>
      <c r="M50" s="103" t="s">
        <v>129</v>
      </c>
      <c r="N50" s="106">
        <v>0</v>
      </c>
      <c r="O50" s="106" t="str" cm="1">
        <f t="array" ref="O50">_xlfn.IFS(N50="","",ABS(N50)&lt;='Risk Matrices'!$E$7,'Risk Matrices'!$E$5,ABS(N50)&lt;='Risk Matrices'!$F$7,'Risk Matrices'!$F$5,ABS(N50)&lt;='Risk Matrices'!$G$7,'Risk Matrices'!$G$5,ABS(N50)&lt;='Risk Matrices'!$H$7,'Risk Matrices'!$H$5,ABS(N50)&gt;'Risk Matrices'!$H$7,'Risk Matrices'!$I$5)</f>
        <v>Negligible</v>
      </c>
      <c r="P50" s="106">
        <v>9</v>
      </c>
      <c r="Q50" s="101" t="str" cm="1">
        <f t="array" ref="Q50">_xlfn.IFS(P50="","",ABS(P50)&lt;='Risk Matrices'!$E$8,'Risk Matrices'!$E$5,ABS(P50)&lt;='Risk Matrices'!$F$8,'Risk Matrices'!$F$5,ABS(P50)&lt;='Risk Matrices'!$G$8,'Risk Matrices'!$G$5,ABS(P50)&lt;='Risk Matrices'!$H$8,'Risk Matrices'!$H$5,ABS(P50)&gt;'Risk Matrices'!$H$8,'Risk Matrices'!$I$5)</f>
        <v>Significant</v>
      </c>
      <c r="R50" s="101" t="s">
        <v>130</v>
      </c>
      <c r="S50" s="106">
        <f t="shared" si="37"/>
        <v>4</v>
      </c>
      <c r="T50" s="106" cm="1">
        <f t="array" ref="T50">_xlfn.IFS(O50='Risk Matrices'!$D$28,'Risk Matrices'!$D$29,O50='Risk Matrices'!$E$28,'Risk Matrices'!$E$29,O50='Risk Matrices'!$F$28,'Risk Matrices'!$F$29,O50='Risk Matrices'!$G$28,'Risk Matrices'!$G$29,O50='Risk Matrices'!$H$28,'Risk Matrices'!$H$29)</f>
        <v>1</v>
      </c>
      <c r="U50" s="106">
        <f>IF(Q50="",0,IF(Q50="Negligible",1,IF(Q50="Marginal",2,IF(Q50="Significant",3,IF(Q50="Critical",4,IF(Q50="Crisis",5))))))</f>
        <v>3</v>
      </c>
      <c r="V50" s="106">
        <f>IF(R50="None",0,IF(R50="Negligible",1,IF(R50="Marginal",2,IF(R50="Significant",3,IF(R50="Critical",4,IF(R50="Crisis",5))))))</f>
        <v>0</v>
      </c>
      <c r="W50" s="106">
        <f t="shared" si="42"/>
        <v>3</v>
      </c>
      <c r="X50" s="106">
        <f t="shared" si="43"/>
        <v>12</v>
      </c>
      <c r="Y50" s="107" t="str">
        <f t="shared" si="39"/>
        <v>Moderate</v>
      </c>
      <c r="Z50" s="104"/>
      <c r="AA50" s="108">
        <f>IF(M50="",0,IF(M50="Very Low (There is a &lt;10% chance that this event will occur)",0.05,IF(M50="Low (Risk is likely to occur with a probability of &gt; 10% to &lt; 25%)",0.17,IF(M50="Moderate (Risk is likely to occur with a probability of &gt; 25% to &lt; 40%)",0.32,IF(M50="High (Risk is likely to occur with a probability of &gt;40 to &lt;65%)",0.52,IF(M50="Very High (Risk is likely to occur with a probability of &gt;65%)",0.82))))))</f>
        <v>0.52</v>
      </c>
      <c r="AB50" s="109">
        <f>+AA50*N50</f>
        <v>0</v>
      </c>
      <c r="AC50" s="109" t="s">
        <v>155</v>
      </c>
      <c r="AD50" s="952" t="s">
        <v>478</v>
      </c>
      <c r="AE50" s="145"/>
      <c r="AF50" s="116" t="s">
        <v>167</v>
      </c>
      <c r="AG50" s="116"/>
      <c r="AH50" s="96" t="s">
        <v>479</v>
      </c>
      <c r="AI50" s="112">
        <v>0.4</v>
      </c>
      <c r="AJ50" s="106">
        <v>0</v>
      </c>
      <c r="AK50" s="106">
        <v>0</v>
      </c>
      <c r="AL50" s="106">
        <v>0</v>
      </c>
      <c r="AM50" s="106">
        <v>3</v>
      </c>
      <c r="AN50" s="106">
        <v>6</v>
      </c>
      <c r="AO50" s="106">
        <v>12</v>
      </c>
      <c r="AP50" s="112" t="str">
        <f>IF(OR(ISBLANK(AI50),AI50=0),"INSERT LIKELIHOOD",IF(ABS(AI50)&lt;='Risk Matrices'!$D$22,'Risk Matrices'!$C$21,IF(ABS(AI50)&lt;='Risk Matrices'!$D$19,'Risk Matrices'!$C$18,IF(ABS(AI50)&lt;='Risk Matrices'!$D$16,'Risk Matrices'!$C$15,IF(ABS(AI50)&lt;='Risk Matrices'!$D$13,'Risk Matrices'!$C$12,'Risk Matrices'!$C$10)))))</f>
        <v>Moderate</v>
      </c>
      <c r="AQ50" s="112" t="str">
        <f>IF(OR(ISBLANK(AK50),AK50=0),"None",IF(ABS(AK50)&lt;='Risk Matrices'!$E$7,'Risk Matrices'!$E$5,IF(ABS(AK50)&lt;='Risk Matrices'!$G$7,'Risk Matrices'!$G$5,IF(ABS(AK50)&lt;='Risk Matrices'!$H$7,'Risk Matrices'!$H$5,'Risk Matrices'!$I$5))))</f>
        <v>None</v>
      </c>
      <c r="AR50" s="112" t="str">
        <f>IF(AN50="","",IF(ABS(AN50)&lt;='Risk Matrices'!$E$8,"Negligible",IF(ABS(AN50)&lt;='Risk Matrices'!$F$8,"Marginal",IF(ABS(AN50)&lt;='Risk Matrices'!$G$8,"Significant",IF(ABS(AN50)&lt;='Risk Matrices'!$H$8,"Critical","Crisis")))))</f>
        <v>Marginal</v>
      </c>
      <c r="AS50" s="103" t="s">
        <v>130</v>
      </c>
      <c r="AT50" s="298">
        <f>IF(OR(ISBLANK(AI50),AI50=0),0,VLOOKUP(AP50,'Risk Matrices'!$B$30:$C$34,2,0))</f>
        <v>3</v>
      </c>
      <c r="AU50" s="298">
        <f>IF(OR(ISBLANK(AK50),AK50=0),0,HLOOKUP(AQ50,'Risk Matrices'!$D$28:$H$29,2,0))</f>
        <v>0</v>
      </c>
      <c r="AV50" s="298">
        <f>IF(OR(ISBLANK(AR50),AR50=0),0,HLOOKUP(AR50,'Risk Matrices'!$D$28:$H$29,2,0))</f>
        <v>2</v>
      </c>
      <c r="AW50" s="298">
        <f>IF(AS50="None",0,HLOOKUP(AS50,'Risk Matrices'!$D$28:$H$29,2,0))</f>
        <v>0</v>
      </c>
      <c r="AX50" s="106">
        <f t="shared" si="20"/>
        <v>2</v>
      </c>
      <c r="AY50" s="106">
        <f t="shared" si="21"/>
        <v>6</v>
      </c>
      <c r="AZ50" s="107" t="str">
        <f>IF(B50="Retired","Retired",IF(OR(ISBLANK(AY50),AY50=0),"TBD",IF(AY50&lt;='Risk Matrices'!$D$40,'Risk Matrices'!$B$40,IF(AY50&lt;='Risk Matrices'!$D$39,'Risk Matrices'!$B$39,'Risk Matrices'!$B$38))))</f>
        <v>Low</v>
      </c>
      <c r="BA50" s="112"/>
      <c r="BB50" s="808" t="s">
        <v>480</v>
      </c>
      <c r="BC50" s="109">
        <f t="shared" si="22"/>
        <v>0</v>
      </c>
      <c r="BD50" s="185">
        <v>45377</v>
      </c>
      <c r="BE50" s="114"/>
      <c r="BF50" s="115"/>
      <c r="BG50" s="115"/>
      <c r="BH50" s="115"/>
      <c r="BI50" s="115"/>
      <c r="BJ50" s="874">
        <f t="shared" si="40"/>
        <v>0</v>
      </c>
      <c r="BK50" s="101"/>
      <c r="BL50" s="101"/>
      <c r="BM50" s="116">
        <v>44928</v>
      </c>
      <c r="BN50" s="330">
        <v>44930</v>
      </c>
      <c r="BO50" s="332"/>
      <c r="BP50" s="94">
        <f t="shared" si="47"/>
        <v>0</v>
      </c>
      <c r="BQ50" s="97" t="str">
        <f t="shared" si="32"/>
        <v>0 - 0 - 0</v>
      </c>
      <c r="BR50" s="97" t="str">
        <f t="shared" si="33"/>
        <v>3 - 6 - 12</v>
      </c>
      <c r="BS50" s="715">
        <f t="shared" si="34"/>
        <v>0</v>
      </c>
      <c r="BT50" s="736">
        <f t="shared" si="35"/>
        <v>2.8000000000000003</v>
      </c>
      <c r="BU50" s="735" t="s">
        <v>481</v>
      </c>
      <c r="BV50" s="873">
        <v>45382</v>
      </c>
      <c r="BW50">
        <f>BV50-BN50</f>
        <v>452</v>
      </c>
    </row>
    <row r="51" spans="2:75" customFormat="1" ht="60" hidden="1" x14ac:dyDescent="0.2">
      <c r="B51" s="101" t="str">
        <f t="shared" si="36"/>
        <v>Active</v>
      </c>
      <c r="C51" s="784" t="s">
        <v>482</v>
      </c>
      <c r="D51" s="101" t="s">
        <v>151</v>
      </c>
      <c r="E51" s="101" t="s">
        <v>433</v>
      </c>
      <c r="F51" s="143" t="s">
        <v>124</v>
      </c>
      <c r="G51" s="106" t="s">
        <v>434</v>
      </c>
      <c r="H51" s="101" t="str">
        <f t="shared" si="46"/>
        <v>RT-6-003-003</v>
      </c>
      <c r="I51" s="106" t="s">
        <v>474</v>
      </c>
      <c r="J51" s="103" t="s">
        <v>475</v>
      </c>
      <c r="K51" s="101" t="s">
        <v>483</v>
      </c>
      <c r="L51" s="146" t="s">
        <v>484</v>
      </c>
      <c r="M51" s="103" t="s">
        <v>141</v>
      </c>
      <c r="N51" s="105">
        <v>50</v>
      </c>
      <c r="O51" s="106" t="str" cm="1">
        <f t="array" ref="O51">_xlfn.IFS(N51="","",ABS(N51)&lt;='Risk Matrices'!$E$7,'Risk Matrices'!$E$5,ABS(N51)&lt;='Risk Matrices'!$F$7,'Risk Matrices'!$F$5,ABS(N51)&lt;='Risk Matrices'!$G$7,'Risk Matrices'!$G$5,ABS(N51)&lt;='Risk Matrices'!$H$7,'Risk Matrices'!$H$5,ABS(N51)&gt;'Risk Matrices'!$H$7,'Risk Matrices'!$I$5)</f>
        <v>Negligible</v>
      </c>
      <c r="P51" s="106">
        <v>3</v>
      </c>
      <c r="Q51" s="101" t="str" cm="1">
        <f t="array" ref="Q51">_xlfn.IFS(P51="","",ABS(P51)&lt;='Risk Matrices'!$E$8,'Risk Matrices'!$E$5,ABS(P51)&lt;='Risk Matrices'!$F$8,'Risk Matrices'!$F$5,ABS(P51)&lt;='Risk Matrices'!$G$8,'Risk Matrices'!$G$5,ABS(P51)&lt;='Risk Matrices'!$H$8,'Risk Matrices'!$H$5,ABS(P51)&gt;'Risk Matrices'!$H$8,'Risk Matrices'!$I$5)</f>
        <v>Negligible</v>
      </c>
      <c r="R51" s="101" t="s">
        <v>130</v>
      </c>
      <c r="S51" s="106">
        <f t="shared" si="37"/>
        <v>3</v>
      </c>
      <c r="T51" s="106" cm="1">
        <f t="array" ref="T51">_xlfn.IFS(O51='Risk Matrices'!$D$28,'Risk Matrices'!$D$29,O51='Risk Matrices'!$E$28,'Risk Matrices'!$E$29,O51='Risk Matrices'!$F$28,'Risk Matrices'!$F$29,O51='Risk Matrices'!$G$28,'Risk Matrices'!$G$29,O51='Risk Matrices'!$H$28,'Risk Matrices'!$H$29)</f>
        <v>1</v>
      </c>
      <c r="U51" s="106">
        <f>IF(Q51="",0,IF(Q51="Negligible",1,IF(Q51="Marginal",2,IF(Q51="Significant",3,IF(Q51="Critical",4,IF(Q51="Crisis",5))))))</f>
        <v>1</v>
      </c>
      <c r="V51" s="106">
        <f>IF(R51="None",0,IF(R51="Negligible",1,IF(R51="Marginal",2,IF(R51="Significant",3,IF(R51="Critical",4,IF(R51="Crisis",5))))))</f>
        <v>0</v>
      </c>
      <c r="W51" s="106">
        <f t="shared" si="42"/>
        <v>1</v>
      </c>
      <c r="X51" s="106">
        <f t="shared" si="43"/>
        <v>3</v>
      </c>
      <c r="Y51" s="107" t="str">
        <f t="shared" si="39"/>
        <v>Low</v>
      </c>
      <c r="Z51" s="104"/>
      <c r="AA51" s="108">
        <f>IF(M51="",0,IF(M51="Very Low (There is a &lt;10% chance that this event will occur)",0.05,IF(M51="Low (Risk is likely to occur with a probability of &gt; 10% to &lt; 25%)",0.17,IF(M51="Moderate (Risk is likely to occur with a probability of &gt; 25% to &lt; 40%)",0.32,IF(M51="High (Risk is likely to occur with a probability of &gt;40 to &lt;65%)",0.52,IF(M51="Very High (Risk is likely to occur with a probability of &gt;65%)",0.82))))))</f>
        <v>0.32</v>
      </c>
      <c r="AB51" s="109">
        <f>+AA51*N51</f>
        <v>16</v>
      </c>
      <c r="AC51" s="109" t="s">
        <v>155</v>
      </c>
      <c r="AD51" s="691" t="s">
        <v>485</v>
      </c>
      <c r="AE51" s="145"/>
      <c r="AF51" s="101" t="s">
        <v>200</v>
      </c>
      <c r="AG51" s="101"/>
      <c r="AH51" s="96" t="s">
        <v>486</v>
      </c>
      <c r="AI51" s="112">
        <v>0.2</v>
      </c>
      <c r="AJ51" s="106">
        <v>40</v>
      </c>
      <c r="AK51" s="106">
        <v>50</v>
      </c>
      <c r="AL51" s="106">
        <v>60</v>
      </c>
      <c r="AM51" s="106">
        <v>1</v>
      </c>
      <c r="AN51" s="106">
        <v>3</v>
      </c>
      <c r="AO51" s="106">
        <v>5</v>
      </c>
      <c r="AP51" s="112" t="str">
        <f>IF(OR(ISBLANK(AI51),AI51=0),"INSERT LIKELIHOOD",IF(ABS(AI51)&lt;='Risk Matrices'!$D$22,'Risk Matrices'!$C$21,IF(ABS(AI51)&lt;='Risk Matrices'!$D$19,'Risk Matrices'!$C$18,IF(ABS(AI51)&lt;='Risk Matrices'!$D$16,'Risk Matrices'!$C$15,IF(ABS(AI51)&lt;='Risk Matrices'!$D$13,'Risk Matrices'!$C$12,'Risk Matrices'!$C$10)))))</f>
        <v>Low</v>
      </c>
      <c r="AQ51" s="112" t="str">
        <f>IF(OR(ISBLANK(AK51),AK51=0),"None",IF(ABS(AK51)&lt;='Risk Matrices'!$E$7,'Risk Matrices'!$E$5,IF(ABS(AK51)&lt;='Risk Matrices'!$G$7,'Risk Matrices'!$G$5,IF(ABS(AK51)&lt;='Risk Matrices'!$H$7,'Risk Matrices'!$H$5,'Risk Matrices'!$I$5))))</f>
        <v>Negligible</v>
      </c>
      <c r="AR51" s="112" t="str">
        <f>IF(AN51="","",IF(ABS(AN51)&lt;='Risk Matrices'!$E$8,"Negligible",IF(ABS(AN51)&lt;='Risk Matrices'!$F$8,"Marginal",IF(ABS(AN51)&lt;='Risk Matrices'!$G$8,"Significant",IF(ABS(AN51)&lt;='Risk Matrices'!$H$8,"Critical","Crisis")))))</f>
        <v>Negligible</v>
      </c>
      <c r="AS51" s="103" t="s">
        <v>130</v>
      </c>
      <c r="AT51" s="298">
        <f>IF(OR(ISBLANK(AI51),AI51=0),0,VLOOKUP(AP51,'Risk Matrices'!$B$30:$C$34,2,0))</f>
        <v>2</v>
      </c>
      <c r="AU51" s="298">
        <f>IF(OR(ISBLANK(AK51),AK51=0),0,HLOOKUP(AQ51,'Risk Matrices'!$D$28:$H$29,2,0))</f>
        <v>1</v>
      </c>
      <c r="AV51" s="298">
        <f>IF(OR(ISBLANK(AR51),AR51=0),0,HLOOKUP(AR51,'Risk Matrices'!$D$28:$H$29,2,0))</f>
        <v>1</v>
      </c>
      <c r="AW51" s="298">
        <f>IF(AS51="None",0,HLOOKUP(AS51,'Risk Matrices'!$D$28:$H$29,2,0))</f>
        <v>0</v>
      </c>
      <c r="AX51" s="106">
        <f t="shared" si="20"/>
        <v>1</v>
      </c>
      <c r="AY51" s="106">
        <f t="shared" si="21"/>
        <v>2</v>
      </c>
      <c r="AZ51" s="107" t="str">
        <f>IF(B51="Retired","Retired",IF(OR(ISBLANK(AY51),AY51=0),"TBD",IF(AY51&lt;='Risk Matrices'!$D$40,'Risk Matrices'!$B$40,IF(AY51&lt;='Risk Matrices'!$D$39,'Risk Matrices'!$B$39,'Risk Matrices'!$B$38))))</f>
        <v>Low</v>
      </c>
      <c r="BA51" s="112"/>
      <c r="BB51" s="746" t="s">
        <v>487</v>
      </c>
      <c r="BC51" s="109">
        <f t="shared" si="22"/>
        <v>10</v>
      </c>
      <c r="BD51" s="185">
        <v>45377</v>
      </c>
      <c r="BE51" s="114"/>
      <c r="BF51" s="115"/>
      <c r="BG51" s="730"/>
      <c r="BH51" s="115"/>
      <c r="BI51" s="115"/>
      <c r="BJ51" s="874">
        <f t="shared" si="40"/>
        <v>10</v>
      </c>
      <c r="BK51" s="101"/>
      <c r="BL51" s="101"/>
      <c r="BM51" s="116">
        <v>44928</v>
      </c>
      <c r="BN51" s="116">
        <v>44932</v>
      </c>
      <c r="BO51" s="332"/>
      <c r="BP51" s="94">
        <f t="shared" si="47"/>
        <v>10</v>
      </c>
      <c r="BQ51" s="97" t="str">
        <f t="shared" si="32"/>
        <v>40 - 50 - 60</v>
      </c>
      <c r="BR51" s="97" t="str">
        <f t="shared" si="33"/>
        <v>1 - 3 - 5</v>
      </c>
      <c r="BS51" s="715">
        <f t="shared" si="34"/>
        <v>10</v>
      </c>
      <c r="BT51" s="736">
        <f t="shared" si="35"/>
        <v>0.6</v>
      </c>
      <c r="BU51" s="689" t="s">
        <v>488</v>
      </c>
      <c r="BV51" s="873">
        <v>45382</v>
      </c>
      <c r="BW51">
        <f>BV51-BN51</f>
        <v>450</v>
      </c>
    </row>
    <row r="52" spans="2:75" customFormat="1" ht="45" hidden="1" x14ac:dyDescent="0.2">
      <c r="B52" s="101" t="str">
        <f t="shared" si="36"/>
        <v>Active</v>
      </c>
      <c r="C52" s="784" t="s">
        <v>489</v>
      </c>
      <c r="D52" s="101" t="s">
        <v>151</v>
      </c>
      <c r="E52" s="101" t="s">
        <v>433</v>
      </c>
      <c r="F52" s="143" t="s">
        <v>124</v>
      </c>
      <c r="G52" s="106" t="s">
        <v>434</v>
      </c>
      <c r="H52" s="101" t="str">
        <f t="shared" si="46"/>
        <v>RT-6-003-004</v>
      </c>
      <c r="I52" s="106" t="s">
        <v>435</v>
      </c>
      <c r="J52" s="143" t="s">
        <v>490</v>
      </c>
      <c r="K52" s="144" t="s">
        <v>491</v>
      </c>
      <c r="L52" s="146" t="s">
        <v>492</v>
      </c>
      <c r="M52" s="103" t="s">
        <v>164</v>
      </c>
      <c r="N52" s="105">
        <v>10000</v>
      </c>
      <c r="O52" s="106" t="str" cm="1">
        <f t="array" ref="O52">_xlfn.IFS(N52="","",ABS(N52)&lt;='Risk Matrices'!$E$7,'Risk Matrices'!$E$5,ABS(N52)&lt;='Risk Matrices'!$F$7,'Risk Matrices'!$F$5,ABS(N52)&lt;='Risk Matrices'!$G$7,'Risk Matrices'!$G$5,ABS(N52)&lt;='Risk Matrices'!$H$7,'Risk Matrices'!$H$5,ABS(N52)&gt;'Risk Matrices'!$H$7,'Risk Matrices'!$I$5)</f>
        <v>Critical</v>
      </c>
      <c r="P52" s="106">
        <v>0</v>
      </c>
      <c r="Q52" s="101" t="str" cm="1">
        <f t="array" ref="Q52">_xlfn.IFS(P52="","",ABS(P52)&lt;='Risk Matrices'!$E$8,'Risk Matrices'!$E$5,ABS(P52)&lt;='Risk Matrices'!$F$8,'Risk Matrices'!$F$5,ABS(P52)&lt;='Risk Matrices'!$G$8,'Risk Matrices'!$G$5,ABS(P52)&lt;='Risk Matrices'!$H$8,'Risk Matrices'!$H$5,ABS(P52)&gt;'Risk Matrices'!$H$8,'Risk Matrices'!$I$5)</f>
        <v>Negligible</v>
      </c>
      <c r="R52" s="102" t="s">
        <v>207</v>
      </c>
      <c r="S52" s="106">
        <f t="shared" si="37"/>
        <v>2</v>
      </c>
      <c r="T52" s="106" cm="1">
        <f t="array" ref="T52">_xlfn.IFS(O52='Risk Matrices'!$D$28,'Risk Matrices'!$D$29,O52='Risk Matrices'!$E$28,'Risk Matrices'!$E$29,O52='Risk Matrices'!$F$28,'Risk Matrices'!$F$29,O52='Risk Matrices'!$G$28,'Risk Matrices'!$G$29,O52='Risk Matrices'!$H$28,'Risk Matrices'!$H$29)</f>
        <v>4</v>
      </c>
      <c r="U52" s="106">
        <f>IF(Q52="",0,IF(Q52="Negligible",1,IF(Q52="Marginal",2,IF(Q52="Significant",3,IF(Q52="Critical",4,IF(Q52="Crisis",5))))))</f>
        <v>1</v>
      </c>
      <c r="V52" s="106">
        <f>IF(R52="None",0,IF(R52="Negligible",1,IF(R52="Marginal",2,IF(R52="Significant",3,IF(R52="Critical",4,IF(R52="Crisis",5))))))</f>
        <v>1</v>
      </c>
      <c r="W52" s="106">
        <f t="shared" si="42"/>
        <v>4</v>
      </c>
      <c r="X52" s="106">
        <f t="shared" si="43"/>
        <v>8</v>
      </c>
      <c r="Y52" s="107" t="str">
        <f t="shared" si="39"/>
        <v>Moderate</v>
      </c>
      <c r="Z52" s="104"/>
      <c r="AA52" s="108">
        <f>IF(M52="",0,IF(M52="Very Low (There is a &lt;10% chance that this event will occur)",0.05,IF(M52="Low (Risk is likely to occur with a probability of &gt; 10% to &lt; 25%)",0.17,IF(M52="Moderate (Risk is likely to occur with a probability of &gt; 25% to &lt; 40%)",0.32,IF(M52="High (Risk is likely to occur with a probability of &gt;40 to &lt;65%)",0.52,IF(M52="Very High (Risk is likely to occur with a probability of &gt;65%)",0.82))))))</f>
        <v>0.17</v>
      </c>
      <c r="AB52" s="109">
        <f>+AA52*N52</f>
        <v>1700.0000000000002</v>
      </c>
      <c r="AC52" s="109" t="s">
        <v>143</v>
      </c>
      <c r="AD52" s="145"/>
      <c r="AE52" s="145"/>
      <c r="AF52" s="101" t="s">
        <v>493</v>
      </c>
      <c r="AG52" s="101"/>
      <c r="AH52" s="953" t="s">
        <v>494</v>
      </c>
      <c r="AI52" s="112">
        <v>0.1</v>
      </c>
      <c r="AJ52" s="106">
        <v>5000</v>
      </c>
      <c r="AK52" s="106">
        <v>10000</v>
      </c>
      <c r="AL52" s="106">
        <v>15000</v>
      </c>
      <c r="AM52" s="106">
        <v>0</v>
      </c>
      <c r="AN52" s="106">
        <v>0</v>
      </c>
      <c r="AO52" s="106">
        <v>0</v>
      </c>
      <c r="AP52" s="112" t="str">
        <f>IF(OR(ISBLANK(AI52),AI52=0),"INSERT LIKELIHOOD",IF(ABS(AI52)&lt;='Risk Matrices'!$D$22,'Risk Matrices'!$C$21,IF(ABS(AI52)&lt;='Risk Matrices'!$D$19,'Risk Matrices'!$C$18,IF(ABS(AI52)&lt;='Risk Matrices'!$D$16,'Risk Matrices'!$C$15,IF(ABS(AI52)&lt;='Risk Matrices'!$D$13,'Risk Matrices'!$C$12,'Risk Matrices'!$C$10)))))</f>
        <v>Very Low</v>
      </c>
      <c r="AQ52" s="112" t="str">
        <f>IF(OR(ISBLANK(AK52),AK52=0),"None",IF(ABS(AK52)&lt;='Risk Matrices'!$E$7,'Risk Matrices'!$E$5,IF(ABS(AK52)&lt;='Risk Matrices'!$G$7,'Risk Matrices'!$G$5,IF(ABS(AK52)&lt;='Risk Matrices'!$H$7,'Risk Matrices'!$H$5,'Risk Matrices'!$I$5))))</f>
        <v>Critical</v>
      </c>
      <c r="AR52" s="112" t="str">
        <f>IF(AN52="","",IF(ABS(AN52)&lt;='Risk Matrices'!$E$8,"Negligible",IF(ABS(AN52)&lt;='Risk Matrices'!$F$8,"Marginal",IF(ABS(AN52)&lt;='Risk Matrices'!$G$8,"Significant",IF(ABS(AN52)&lt;='Risk Matrices'!$H$8,"Critical","Crisis")))))</f>
        <v>Negligible</v>
      </c>
      <c r="AS52" s="102" t="s">
        <v>130</v>
      </c>
      <c r="AT52" s="298">
        <f>IF(OR(ISBLANK(AI52),AI52=0),0,VLOOKUP(AP52,'Risk Matrices'!$B$30:$C$34,2,0))</f>
        <v>1</v>
      </c>
      <c r="AU52" s="298">
        <f>IF(OR(ISBLANK(AK52),AK52=0),0,HLOOKUP(AQ52,'Risk Matrices'!$D$28:$H$29,2,0))</f>
        <v>4</v>
      </c>
      <c r="AV52" s="298">
        <f>IF(OR(ISBLANK(AR52),AR52=0),0,HLOOKUP(AR52,'Risk Matrices'!$D$28:$H$29,2,0))</f>
        <v>1</v>
      </c>
      <c r="AW52" s="298">
        <f>IF(AS52="None",0,HLOOKUP(AS52,'Risk Matrices'!$D$28:$H$29,2,0))</f>
        <v>0</v>
      </c>
      <c r="AX52" s="106">
        <f t="shared" si="20"/>
        <v>4</v>
      </c>
      <c r="AY52" s="106">
        <f t="shared" si="21"/>
        <v>4</v>
      </c>
      <c r="AZ52" s="107" t="str">
        <f>IF(B52="Retired","Retired",IF(OR(ISBLANK(AY52),AY52=0),"TBD",IF(AY52&lt;='Risk Matrices'!$D$40,'Risk Matrices'!$B$40,IF(AY52&lt;='Risk Matrices'!$D$39,'Risk Matrices'!$B$39,'Risk Matrices'!$B$38))))</f>
        <v>Low</v>
      </c>
      <c r="BA52" s="112"/>
      <c r="BB52" s="101" t="s">
        <v>366</v>
      </c>
      <c r="BC52" s="109">
        <f t="shared" si="22"/>
        <v>1000</v>
      </c>
      <c r="BD52" s="185">
        <v>45219</v>
      </c>
      <c r="BE52" s="114"/>
      <c r="BF52" s="115"/>
      <c r="BG52" s="115"/>
      <c r="BH52" s="115"/>
      <c r="BI52" s="115"/>
      <c r="BJ52" s="874">
        <f t="shared" si="40"/>
        <v>1000</v>
      </c>
      <c r="BK52" s="101"/>
      <c r="BL52" s="101"/>
      <c r="BM52" s="116">
        <v>44012</v>
      </c>
      <c r="BN52" s="330">
        <v>44134</v>
      </c>
      <c r="BO52" s="332"/>
      <c r="BP52" s="94">
        <f t="shared" si="47"/>
        <v>1000</v>
      </c>
      <c r="BQ52" s="97" t="str">
        <f t="shared" si="32"/>
        <v>5000 - 10000 - 15000</v>
      </c>
      <c r="BR52" s="97" t="str">
        <f t="shared" si="33"/>
        <v>0 - 0 - 0</v>
      </c>
      <c r="BS52" s="715">
        <f t="shared" si="34"/>
        <v>1000</v>
      </c>
      <c r="BT52" s="736">
        <f t="shared" si="35"/>
        <v>0</v>
      </c>
      <c r="BU52" s="735" t="s">
        <v>495</v>
      </c>
      <c r="BV52" s="873">
        <v>45382</v>
      </c>
      <c r="BW52">
        <f>BV52-BN52</f>
        <v>1248</v>
      </c>
    </row>
    <row r="53" spans="2:75" customFormat="1" ht="120" hidden="1" x14ac:dyDescent="0.2">
      <c r="B53" s="101" t="str">
        <f t="shared" si="36"/>
        <v>Retired</v>
      </c>
      <c r="C53" s="784" t="s">
        <v>496</v>
      </c>
      <c r="D53" s="101" t="s">
        <v>151</v>
      </c>
      <c r="E53" s="101" t="s">
        <v>433</v>
      </c>
      <c r="F53" s="143" t="s">
        <v>124</v>
      </c>
      <c r="G53" s="106" t="s">
        <v>434</v>
      </c>
      <c r="H53" s="101" t="str">
        <f t="shared" si="46"/>
        <v>RT-6-003-005</v>
      </c>
      <c r="I53" s="140" t="s">
        <v>435</v>
      </c>
      <c r="J53" s="101" t="s">
        <v>497</v>
      </c>
      <c r="K53" s="123" t="s">
        <v>498</v>
      </c>
      <c r="L53" s="123" t="s">
        <v>499</v>
      </c>
      <c r="M53" s="121"/>
      <c r="N53" s="134"/>
      <c r="O53" s="106" t="str" cm="1">
        <f t="array" ref="O53">_xlfn.IFS(N53="","",ABS(N53)&lt;='Risk Matrices'!$E$7,'Risk Matrices'!$E$5,ABS(N53)&lt;='Risk Matrices'!$F$7,'Risk Matrices'!$F$5,ABS(N53)&lt;='Risk Matrices'!$G$7,'Risk Matrices'!$G$5,ABS(N53)&lt;='Risk Matrices'!$H$7,'Risk Matrices'!$H$5,ABS(N53)&gt;'Risk Matrices'!$H$7,'Risk Matrices'!$I$5)</f>
        <v/>
      </c>
      <c r="P53" s="128"/>
      <c r="Q53" s="101" t="str">
        <f>IF(P53="","",IF(P53&lt;=3,"Negligible",IF(P53&lt;=6,"Marginal",IF(P53&lt;=12,"Significant",IF(P53&lt;=18,"Critical","Crisis")))))</f>
        <v/>
      </c>
      <c r="R53" s="126"/>
      <c r="S53" s="128"/>
      <c r="T53" s="106" t="e" cm="1">
        <f t="array" ref="T53">_xlfn.IFS(O53='Risk Matrices'!$D$28,'Risk Matrices'!$D$29,O53='Risk Matrices'!$E$28,'Risk Matrices'!$E$29,O53='Risk Matrices'!$F$28,'Risk Matrices'!$F$29,O53='Risk Matrices'!$G$28,'Risk Matrices'!$G$29,O53='Risk Matrices'!$H$28,'Risk Matrices'!$H$29)</f>
        <v>#N/A</v>
      </c>
      <c r="U53" s="128"/>
      <c r="V53" s="128"/>
      <c r="W53" s="106"/>
      <c r="X53" s="128"/>
      <c r="Y53" s="135"/>
      <c r="Z53" s="121"/>
      <c r="AA53" s="136"/>
      <c r="AB53" s="137"/>
      <c r="AC53" s="109" t="s">
        <v>155</v>
      </c>
      <c r="AD53" s="197" t="s">
        <v>500</v>
      </c>
      <c r="AE53" s="197"/>
      <c r="AF53" s="103" t="s">
        <v>175</v>
      </c>
      <c r="AG53" s="103"/>
      <c r="AH53" s="111" t="s">
        <v>501</v>
      </c>
      <c r="AI53" s="878">
        <v>0.01</v>
      </c>
      <c r="AJ53" s="101">
        <v>1</v>
      </c>
      <c r="AK53" s="101">
        <v>1</v>
      </c>
      <c r="AL53" s="101">
        <v>1</v>
      </c>
      <c r="AM53" s="106">
        <v>1</v>
      </c>
      <c r="AN53" s="106">
        <v>1</v>
      </c>
      <c r="AO53" s="106">
        <v>1</v>
      </c>
      <c r="AP53" s="112" t="str">
        <f>IF(OR(ISBLANK(AI53),AI53=0),"INSERT LIKELIHOOD",IF(ABS(AI53)&lt;='Risk Matrices'!$D$22,'Risk Matrices'!$C$21,IF(ABS(AI53)&lt;='Risk Matrices'!$D$19,'Risk Matrices'!$C$18,IF(ABS(AI53)&lt;='Risk Matrices'!$D$16,'Risk Matrices'!$C$15,IF(ABS(AI53)&lt;='Risk Matrices'!$D$13,'Risk Matrices'!$C$12,'Risk Matrices'!$C$10)))))</f>
        <v>Very Low</v>
      </c>
      <c r="AQ53" s="112" t="str">
        <f>IF(OR(ISBLANK(AK53),AK53=0),"None",IF(ABS(AK53)&lt;='Risk Matrices'!$E$7,'Risk Matrices'!$E$5,IF(ABS(AK53)&lt;='Risk Matrices'!$G$7,'Risk Matrices'!$G$5,IF(ABS(AK53)&lt;='Risk Matrices'!$H$7,'Risk Matrices'!$H$5,'Risk Matrices'!$I$5))))</f>
        <v>Negligible</v>
      </c>
      <c r="AR53" s="112" t="str">
        <f>IF(AN53="","",IF(ABS(AN53)&lt;='Risk Matrices'!$E$8,"Negligible",IF(ABS(AN53)&lt;='Risk Matrices'!$F$8,"Marginal",IF(ABS(AN53)&lt;='Risk Matrices'!$G$8,"Significant",IF(ABS(AN53)&lt;='Risk Matrices'!$H$8,"Critical","Crisis")))))</f>
        <v>Negligible</v>
      </c>
      <c r="AS53" s="103" t="s">
        <v>130</v>
      </c>
      <c r="AT53" s="298">
        <f>IF(OR(ISBLANK(AI53),AI53=0),0,VLOOKUP(AP53,'Risk Matrices'!$B$30:$C$34,2,0))</f>
        <v>1</v>
      </c>
      <c r="AU53" s="298">
        <f>IF(OR(ISBLANK(AK53),AK53=0),0,HLOOKUP(AQ53,'Risk Matrices'!$D$28:$H$29,2,0))</f>
        <v>1</v>
      </c>
      <c r="AV53" s="298">
        <f>IF(OR(ISBLANK(AR53),AR53=0),0,HLOOKUP(AR53,'Risk Matrices'!$D$28:$H$29,2,0))</f>
        <v>1</v>
      </c>
      <c r="AW53" s="298">
        <f>IF(AS53="None",0,HLOOKUP(AS53,'Risk Matrices'!$D$28:$H$29,2,0))</f>
        <v>0</v>
      </c>
      <c r="AX53" s="106">
        <f t="shared" si="20"/>
        <v>1</v>
      </c>
      <c r="AY53" s="106">
        <f t="shared" si="21"/>
        <v>1</v>
      </c>
      <c r="AZ53" s="107" t="str">
        <f>IF(B53="Retired","Retired",IF(OR(ISBLANK(AY53),AY53=0),"TBD",IF(AY53&lt;='Risk Matrices'!$D$40,'Risk Matrices'!$B$40,IF(AY53&lt;='Risk Matrices'!$D$39,'Risk Matrices'!$B$39,'Risk Matrices'!$B$38))))</f>
        <v>Retired</v>
      </c>
      <c r="BA53" s="104"/>
      <c r="BB53" s="104"/>
      <c r="BC53" s="109" t="str">
        <f t="shared" si="22"/>
        <v>Retired</v>
      </c>
      <c r="BD53" s="104"/>
      <c r="BE53" s="104"/>
      <c r="BF53" s="91"/>
      <c r="BG53" s="766" t="s">
        <v>502</v>
      </c>
      <c r="BH53" s="104"/>
      <c r="BI53" s="104"/>
      <c r="BJ53" s="874">
        <f t="shared" si="40"/>
        <v>0.01</v>
      </c>
      <c r="BK53" s="101" t="s">
        <v>375</v>
      </c>
      <c r="BL53" s="116">
        <v>45222</v>
      </c>
      <c r="BM53" s="116">
        <v>44854</v>
      </c>
      <c r="BN53" s="330">
        <v>44854</v>
      </c>
      <c r="BO53" s="332"/>
      <c r="BP53" s="94">
        <f t="shared" si="47"/>
        <v>0.01</v>
      </c>
      <c r="BQ53" s="97" t="str">
        <f t="shared" si="32"/>
        <v>1 - 1 - 1</v>
      </c>
      <c r="BR53" s="97" t="str">
        <f t="shared" si="33"/>
        <v>1 - 1 - 1</v>
      </c>
      <c r="BS53" s="715">
        <f t="shared" si="34"/>
        <v>0.01</v>
      </c>
      <c r="BT53" s="736">
        <f t="shared" si="35"/>
        <v>0.01</v>
      </c>
      <c r="BU53" s="735" t="s">
        <v>503</v>
      </c>
    </row>
    <row r="54" spans="2:75" customFormat="1" ht="60" hidden="1" x14ac:dyDescent="0.2">
      <c r="B54" s="101" t="str">
        <f t="shared" si="36"/>
        <v>Active</v>
      </c>
      <c r="C54" s="784" t="s">
        <v>504</v>
      </c>
      <c r="D54" s="101" t="s">
        <v>151</v>
      </c>
      <c r="E54" s="101" t="s">
        <v>433</v>
      </c>
      <c r="F54" s="143" t="s">
        <v>124</v>
      </c>
      <c r="G54" s="106" t="s">
        <v>434</v>
      </c>
      <c r="H54" s="101" t="str">
        <f t="shared" si="46"/>
        <v>RT-6-003-006</v>
      </c>
      <c r="I54" s="106" t="s">
        <v>360</v>
      </c>
      <c r="J54" s="103" t="s">
        <v>475</v>
      </c>
      <c r="K54" s="101" t="s">
        <v>505</v>
      </c>
      <c r="L54" s="104" t="s">
        <v>506</v>
      </c>
      <c r="M54" s="103" t="s">
        <v>129</v>
      </c>
      <c r="N54" s="105">
        <v>2000</v>
      </c>
      <c r="O54" s="106" t="str" cm="1">
        <f t="array" ref="O54">_xlfn.IFS(N54="","",ABS(N54)&lt;='Risk Matrices'!$E$7,'Risk Matrices'!$E$5,ABS(N54)&lt;='Risk Matrices'!$F$7,'Risk Matrices'!$F$5,ABS(N54)&lt;='Risk Matrices'!$G$7,'Risk Matrices'!$G$5,ABS(N54)&lt;='Risk Matrices'!$H$7,'Risk Matrices'!$H$5,ABS(N54)&gt;'Risk Matrices'!$H$7,'Risk Matrices'!$I$5)</f>
        <v>Significant</v>
      </c>
      <c r="P54" s="106">
        <v>6</v>
      </c>
      <c r="Q54" s="101" t="str" cm="1">
        <f t="array" ref="Q54">_xlfn.IFS(P54="","",ABS(P54)&lt;='Risk Matrices'!$E$8,'Risk Matrices'!$E$5,ABS(P54)&lt;='Risk Matrices'!$F$8,'Risk Matrices'!$F$5,ABS(P54)&lt;='Risk Matrices'!$G$8,'Risk Matrices'!$G$5,ABS(P54)&lt;='Risk Matrices'!$H$8,'Risk Matrices'!$H$5,ABS(P54)&gt;'Risk Matrices'!$H$8,'Risk Matrices'!$I$5)</f>
        <v>Marginal</v>
      </c>
      <c r="R54" s="101" t="s">
        <v>130</v>
      </c>
      <c r="S54" s="106">
        <f>IF(M54="",0,IF(M54="Very Low (There is a &lt;10% chance that this event will occur)",1,IF(M54="Low (Risk is likely to occur with a probability of &gt; 10% to &lt; 25%)",2,IF(M54="Moderate (Risk is likely to occur with a probability of &gt; 25% to &lt; 40%)",3,IF(M54="High (Risk is likely to occur with a probability of &gt;40 to &lt;65%)",4,IF(M54="Very High (Risk is likely to occur with a probability of &gt;65%)",5))))))</f>
        <v>4</v>
      </c>
      <c r="T54" s="106" cm="1">
        <f t="array" ref="T54">_xlfn.IFS(O54='Risk Matrices'!$D$28,'Risk Matrices'!$D$29,O54='Risk Matrices'!$E$28,'Risk Matrices'!$E$29,O54='Risk Matrices'!$F$28,'Risk Matrices'!$F$29,O54='Risk Matrices'!$G$28,'Risk Matrices'!$G$29,O54='Risk Matrices'!$H$28,'Risk Matrices'!$H$29)</f>
        <v>3</v>
      </c>
      <c r="U54" s="106">
        <f>IF(Q54="",0,IF(Q54="Negligible",1,IF(Q54="Marginal",2,IF(Q54="Significant",3,IF(Q54="Critical",4,IF(Q54="Crisis",5))))))</f>
        <v>2</v>
      </c>
      <c r="V54" s="106">
        <f>IF(R54="None",0,IF(R54="Negligible",1,IF(R54="Marginal",2,IF(R54="Significant",3,IF(R54="Critical",4,IF(R54="Crisis",5))))))</f>
        <v>0</v>
      </c>
      <c r="W54" s="106">
        <f>MAX(T54,U54,V54)</f>
        <v>3</v>
      </c>
      <c r="X54" s="106">
        <f>S54*W54</f>
        <v>12</v>
      </c>
      <c r="Y54" s="107" t="str">
        <f>IF(X54&lt;=6,"Low",IF(X54&lt;=14,"Moderate",IF(X54&lt;=25,"High")))</f>
        <v>Moderate</v>
      </c>
      <c r="Z54" s="104"/>
      <c r="AA54" s="108">
        <f>IF(M54="",0,IF(M54="Very Low (There is a &lt;10% chance that this event will occur)",0.05,IF(M54="Low (Risk is likely to occur with a probability of &gt; 10% to &lt; 25%)",0.17,IF(M54="Moderate (Risk is likely to occur with a probability of &gt; 25% to &lt; 40%)",0.32,IF(M54="High (Risk is likely to occur with a probability of &gt;40 to &lt;65%)",0.52,IF(M54="Very High (Risk is likely to occur with a probability of &gt;65%)",0.82))))))</f>
        <v>0.52</v>
      </c>
      <c r="AB54" s="109">
        <f>+AA54*N54</f>
        <v>1040</v>
      </c>
      <c r="AC54" s="109" t="s">
        <v>155</v>
      </c>
      <c r="AD54" s="104"/>
      <c r="AE54" s="104"/>
      <c r="AF54" s="103" t="s">
        <v>507</v>
      </c>
      <c r="AG54" s="103"/>
      <c r="AH54" s="927" t="s">
        <v>508</v>
      </c>
      <c r="AI54" s="112">
        <v>0.4</v>
      </c>
      <c r="AJ54" s="689">
        <v>1000</v>
      </c>
      <c r="AK54" s="689">
        <v>2000</v>
      </c>
      <c r="AL54" s="689">
        <v>3300</v>
      </c>
      <c r="AM54" s="689">
        <v>3</v>
      </c>
      <c r="AN54" s="689">
        <v>6</v>
      </c>
      <c r="AO54" s="689">
        <v>12</v>
      </c>
      <c r="AP54" s="112" t="str">
        <f>IF(OR(ISBLANK(AI54),AI54=0),"INSERT LIKELIHOOD",IF(ABS(AI54)&lt;='Risk Matrices'!$D$22,'Risk Matrices'!$C$21,IF(ABS(AI54)&lt;='Risk Matrices'!$D$19,'Risk Matrices'!$C$18,IF(ABS(AI54)&lt;='Risk Matrices'!$D$16,'Risk Matrices'!$C$15,IF(ABS(AI54)&lt;='Risk Matrices'!$D$13,'Risk Matrices'!$C$12,'Risk Matrices'!$C$10)))))</f>
        <v>Moderate</v>
      </c>
      <c r="AQ54" s="112" t="str">
        <f>IF(OR(ISBLANK(AK54),AK54=0),"None",IF(ABS(AK54)&lt;='Risk Matrices'!$E$7,'Risk Matrices'!$E$5,IF(ABS(AK54)&lt;='Risk Matrices'!$G$7,'Risk Matrices'!$G$5,IF(ABS(AK54)&lt;='Risk Matrices'!$H$7,'Risk Matrices'!$H$5,'Risk Matrices'!$I$5))))</f>
        <v>Significant</v>
      </c>
      <c r="AR54" s="112" t="str">
        <f>IF(AN54="","",IF(ABS(AN54)&lt;='Risk Matrices'!$E$8,"Negligible",IF(ABS(AN54)&lt;='Risk Matrices'!$F$8,"Marginal",IF(ABS(AN54)&lt;='Risk Matrices'!$G$8,"Significant",IF(ABS(AN54)&lt;='Risk Matrices'!$H$8,"Critical","Crisis")))))</f>
        <v>Marginal</v>
      </c>
      <c r="AS54" s="103" t="s">
        <v>130</v>
      </c>
      <c r="AT54" s="298">
        <f>IF(OR(ISBLANK(AI54),AI54=0),0,VLOOKUP(AP54,'Risk Matrices'!$B$30:$C$34,2,0))</f>
        <v>3</v>
      </c>
      <c r="AU54" s="298">
        <f>IF(OR(ISBLANK(AK54),AK54=0),0,HLOOKUP(AQ54,'Risk Matrices'!$D$28:$H$29,2,0))</f>
        <v>3</v>
      </c>
      <c r="AV54" s="298">
        <f>IF(OR(ISBLANK(AR54),AR54=0),0,HLOOKUP(AR54,'Risk Matrices'!$D$28:$H$29,2,0))</f>
        <v>2</v>
      </c>
      <c r="AW54" s="298">
        <f>IF(AS54="None",0,HLOOKUP(AS54,'Risk Matrices'!$D$28:$H$29,2,0))</f>
        <v>0</v>
      </c>
      <c r="AX54" s="106">
        <f t="shared" si="20"/>
        <v>3</v>
      </c>
      <c r="AY54" s="106">
        <f t="shared" si="21"/>
        <v>9</v>
      </c>
      <c r="AZ54" s="107" t="str">
        <f>IF(B54="Retired","Retired",IF(OR(ISBLANK(AY54),AY54=0),"TBD",IF(AY54&lt;='Risk Matrices'!$D$40,'Risk Matrices'!$B$40,IF(AY54&lt;='Risk Matrices'!$D$39,'Risk Matrices'!$B$39,'Risk Matrices'!$B$38))))</f>
        <v>Moderate</v>
      </c>
      <c r="BA54" s="112"/>
      <c r="BB54" s="101" t="s">
        <v>366</v>
      </c>
      <c r="BC54" s="109">
        <f t="shared" si="22"/>
        <v>800</v>
      </c>
      <c r="BD54" s="185">
        <v>45315</v>
      </c>
      <c r="BE54" s="114"/>
      <c r="BF54" s="115"/>
      <c r="BG54" s="115"/>
      <c r="BH54" s="115"/>
      <c r="BI54" s="115"/>
      <c r="BJ54" s="874">
        <f t="shared" si="40"/>
        <v>840</v>
      </c>
      <c r="BK54" s="101"/>
      <c r="BL54" s="116"/>
      <c r="BM54" s="116">
        <v>44852</v>
      </c>
      <c r="BN54" s="330">
        <v>44852</v>
      </c>
      <c r="BO54" s="332"/>
      <c r="BP54" s="94">
        <f t="shared" si="47"/>
        <v>820</v>
      </c>
      <c r="BQ54" s="97" t="str">
        <f t="shared" si="32"/>
        <v>1000 - 2000 - 3300</v>
      </c>
      <c r="BR54" s="97" t="str">
        <f t="shared" si="33"/>
        <v>3 - 6 - 12</v>
      </c>
      <c r="BS54" s="715">
        <f t="shared" si="34"/>
        <v>840</v>
      </c>
      <c r="BT54" s="736">
        <f t="shared" si="35"/>
        <v>2.8000000000000003</v>
      </c>
      <c r="BU54" s="735" t="s">
        <v>509</v>
      </c>
      <c r="BV54" s="873">
        <v>45382</v>
      </c>
      <c r="BW54">
        <f>BV54-BN54</f>
        <v>530</v>
      </c>
    </row>
    <row r="55" spans="2:75" customFormat="1" ht="64" hidden="1" x14ac:dyDescent="0.2">
      <c r="B55" s="101" t="str">
        <f t="shared" si="36"/>
        <v>Retired</v>
      </c>
      <c r="C55" s="781" t="s">
        <v>510</v>
      </c>
      <c r="D55" s="101" t="s">
        <v>151</v>
      </c>
      <c r="E55" s="101" t="s">
        <v>433</v>
      </c>
      <c r="F55" s="143" t="s">
        <v>124</v>
      </c>
      <c r="G55" s="106" t="s">
        <v>434</v>
      </c>
      <c r="H55" s="101" t="str">
        <f t="shared" si="46"/>
        <v>RT-6-003-007</v>
      </c>
      <c r="I55" s="106" t="s">
        <v>464</v>
      </c>
      <c r="J55" s="101"/>
      <c r="K55" s="101" t="s">
        <v>511</v>
      </c>
      <c r="L55" s="123" t="s">
        <v>512</v>
      </c>
      <c r="M55" s="121"/>
      <c r="N55" s="134"/>
      <c r="O55" s="106" t="str" cm="1">
        <f t="array" ref="O55">_xlfn.IFS(N55="","",ABS(N55)&lt;='Risk Matrices'!$E$7,'Risk Matrices'!$E$5,ABS(N55)&lt;='Risk Matrices'!$F$7,'Risk Matrices'!$F$5,ABS(N55)&lt;='Risk Matrices'!$G$7,'Risk Matrices'!$G$5,ABS(N55)&lt;='Risk Matrices'!$H$7,'Risk Matrices'!$H$5,ABS(N55)&gt;'Risk Matrices'!$H$7,'Risk Matrices'!$I$5)</f>
        <v/>
      </c>
      <c r="P55" s="128"/>
      <c r="Q55" s="126"/>
      <c r="R55" s="126"/>
      <c r="S55" s="128"/>
      <c r="T55" s="106" t="e" cm="1">
        <f t="array" ref="T55">_xlfn.IFS(O55='Risk Matrices'!$D$28,'Risk Matrices'!$D$29,O55='Risk Matrices'!$E$28,'Risk Matrices'!$E$29,O55='Risk Matrices'!$F$28,'Risk Matrices'!$F$29,O55='Risk Matrices'!$G$28,'Risk Matrices'!$G$29,O55='Risk Matrices'!$H$28,'Risk Matrices'!$H$29)</f>
        <v>#N/A</v>
      </c>
      <c r="U55" s="128"/>
      <c r="V55" s="128"/>
      <c r="W55" s="106"/>
      <c r="X55" s="128"/>
      <c r="Y55" s="135"/>
      <c r="Z55" s="121"/>
      <c r="AA55" s="136"/>
      <c r="AB55" s="137"/>
      <c r="AC55" s="109" t="s">
        <v>155</v>
      </c>
      <c r="AD55" s="123" t="s">
        <v>513</v>
      </c>
      <c r="AE55" s="123"/>
      <c r="AF55" s="101" t="s">
        <v>167</v>
      </c>
      <c r="AG55" s="101"/>
      <c r="AH55" s="111" t="s">
        <v>175</v>
      </c>
      <c r="AI55" s="878">
        <v>0.2</v>
      </c>
      <c r="AJ55" s="101">
        <v>100</v>
      </c>
      <c r="AK55" s="101">
        <v>200</v>
      </c>
      <c r="AL55" s="101">
        <v>400</v>
      </c>
      <c r="AM55" s="106">
        <v>0</v>
      </c>
      <c r="AN55" s="106">
        <v>0</v>
      </c>
      <c r="AO55" s="106">
        <v>0</v>
      </c>
      <c r="AP55" s="112" t="str">
        <f>IF(OR(ISBLANK(AI55),AI55=0),"INSERT LIKELIHOOD",IF(ABS(AI55)&lt;='Risk Matrices'!$D$22,'Risk Matrices'!$C$21,IF(ABS(AI55)&lt;='Risk Matrices'!$D$19,'Risk Matrices'!$C$18,IF(ABS(AI55)&lt;='Risk Matrices'!$D$16,'Risk Matrices'!$C$15,IF(ABS(AI55)&lt;='Risk Matrices'!$D$13,'Risk Matrices'!$C$12,'Risk Matrices'!$C$10)))))</f>
        <v>Low</v>
      </c>
      <c r="AQ55" s="112" t="str">
        <f>IF(OR(ISBLANK(AK55),AK55=0),"None",IF(ABS(AK55)&lt;='Risk Matrices'!$E$7,'Risk Matrices'!$E$5,IF(ABS(AK55)&lt;='Risk Matrices'!$G$7,'Risk Matrices'!$G$5,IF(ABS(AK55)&lt;='Risk Matrices'!$H$7,'Risk Matrices'!$H$5,'Risk Matrices'!$I$5))))</f>
        <v>Negligible</v>
      </c>
      <c r="AR55" s="112" t="str">
        <f>IF(AN55="","",IF(ABS(AN55)&lt;='Risk Matrices'!$E$8,"Negligible",IF(ABS(AN55)&lt;='Risk Matrices'!$F$8,"Marginal",IF(ABS(AN55)&lt;='Risk Matrices'!$G$8,"Significant",IF(ABS(AN55)&lt;='Risk Matrices'!$H$8,"Critical","Crisis")))))</f>
        <v>Negligible</v>
      </c>
      <c r="AS55" s="103" t="s">
        <v>130</v>
      </c>
      <c r="AT55" s="298">
        <f>IF(OR(ISBLANK(AI55),AI55=0),0,VLOOKUP(AP55,'Risk Matrices'!$B$30:$C$34,2,0))</f>
        <v>2</v>
      </c>
      <c r="AU55" s="298">
        <f>IF(OR(ISBLANK(AK55),AK55=0),0,HLOOKUP(AQ55,'Risk Matrices'!$D$28:$H$29,2,0))</f>
        <v>1</v>
      </c>
      <c r="AV55" s="298">
        <f>IF(OR(ISBLANK(AR55),AR55=0),0,HLOOKUP(AR55,'Risk Matrices'!$D$28:$H$29,2,0))</f>
        <v>1</v>
      </c>
      <c r="AW55" s="298">
        <f>IF(AS55="None",0,HLOOKUP(AS55,'Risk Matrices'!$D$28:$H$29,2,0))</f>
        <v>0</v>
      </c>
      <c r="AX55" s="106">
        <f t="shared" si="20"/>
        <v>1</v>
      </c>
      <c r="AY55" s="106">
        <f t="shared" si="21"/>
        <v>2</v>
      </c>
      <c r="AZ55" s="107" t="str">
        <f>IF(B55="Retired","Retired",IF(OR(ISBLANK(AY55),AY55=0),"TBD",IF(AY55&lt;='Risk Matrices'!$D$40,'Risk Matrices'!$B$40,IF(AY55&lt;='Risk Matrices'!$D$39,'Risk Matrices'!$B$39,'Risk Matrices'!$B$38))))</f>
        <v>Retired</v>
      </c>
      <c r="BA55" s="104"/>
      <c r="BB55" s="197" t="s">
        <v>514</v>
      </c>
      <c r="BC55" s="109" t="str">
        <f t="shared" si="22"/>
        <v>Retired</v>
      </c>
      <c r="BD55" s="104"/>
      <c r="BE55" s="104"/>
      <c r="BF55" s="91"/>
      <c r="BG55" s="95" t="s">
        <v>515</v>
      </c>
      <c r="BH55" s="104"/>
      <c r="BI55" s="104"/>
      <c r="BJ55" s="884">
        <f t="shared" si="40"/>
        <v>46.666666666666671</v>
      </c>
      <c r="BK55" s="101" t="s">
        <v>311</v>
      </c>
      <c r="BL55" s="116">
        <v>45127</v>
      </c>
      <c r="BM55" s="116">
        <v>45105</v>
      </c>
      <c r="BN55" s="330">
        <v>45118</v>
      </c>
      <c r="BO55" s="332"/>
      <c r="BP55" s="94">
        <f t="shared" si="47"/>
        <v>43.333333333333336</v>
      </c>
      <c r="BQ55" s="97" t="str">
        <f t="shared" si="32"/>
        <v>100 - 200 - 400</v>
      </c>
      <c r="BR55" s="97" t="str">
        <f t="shared" si="33"/>
        <v>0 - 0 - 0</v>
      </c>
      <c r="BS55" s="715">
        <f t="shared" si="34"/>
        <v>46.666666666666671</v>
      </c>
      <c r="BT55" s="736">
        <f t="shared" si="35"/>
        <v>0</v>
      </c>
      <c r="BU55" s="735"/>
    </row>
    <row r="56" spans="2:75" customFormat="1" ht="64" hidden="1" x14ac:dyDescent="0.2">
      <c r="B56" s="101" t="str">
        <f t="shared" si="36"/>
        <v>Retired</v>
      </c>
      <c r="C56" s="781" t="s">
        <v>516</v>
      </c>
      <c r="D56" s="101" t="s">
        <v>151</v>
      </c>
      <c r="E56" s="101" t="s">
        <v>433</v>
      </c>
      <c r="F56" s="143" t="s">
        <v>124</v>
      </c>
      <c r="G56" s="106" t="s">
        <v>434</v>
      </c>
      <c r="H56" s="101" t="str">
        <f t="shared" si="46"/>
        <v>RT-6-003-008</v>
      </c>
      <c r="I56" s="106" t="s">
        <v>464</v>
      </c>
      <c r="J56" s="101"/>
      <c r="K56" s="101" t="s">
        <v>517</v>
      </c>
      <c r="L56" s="123"/>
      <c r="M56" s="121"/>
      <c r="N56" s="134"/>
      <c r="O56" s="106" t="str" cm="1">
        <f t="array" ref="O56">_xlfn.IFS(N56="","",ABS(N56)&lt;='Risk Matrices'!$E$7,'Risk Matrices'!$E$5,ABS(N56)&lt;='Risk Matrices'!$F$7,'Risk Matrices'!$F$5,ABS(N56)&lt;='Risk Matrices'!$G$7,'Risk Matrices'!$G$5,ABS(N56)&lt;='Risk Matrices'!$H$7,'Risk Matrices'!$H$5,ABS(N56)&gt;'Risk Matrices'!$H$7,'Risk Matrices'!$I$5)</f>
        <v/>
      </c>
      <c r="P56" s="128"/>
      <c r="Q56" s="126"/>
      <c r="R56" s="126"/>
      <c r="S56" s="128"/>
      <c r="T56" s="106" t="e" cm="1">
        <f t="array" ref="T56">_xlfn.IFS(O56='Risk Matrices'!$D$28,'Risk Matrices'!$D$29,O56='Risk Matrices'!$E$28,'Risk Matrices'!$E$29,O56='Risk Matrices'!$F$28,'Risk Matrices'!$F$29,O56='Risk Matrices'!$G$28,'Risk Matrices'!$G$29,O56='Risk Matrices'!$H$28,'Risk Matrices'!$H$29)</f>
        <v>#N/A</v>
      </c>
      <c r="U56" s="128"/>
      <c r="V56" s="128"/>
      <c r="W56" s="106"/>
      <c r="X56" s="128"/>
      <c r="Y56" s="135"/>
      <c r="Z56" s="121"/>
      <c r="AA56" s="136"/>
      <c r="AB56" s="137"/>
      <c r="AC56" s="109" t="s">
        <v>155</v>
      </c>
      <c r="AD56" s="123"/>
      <c r="AE56" s="123"/>
      <c r="AF56" s="101"/>
      <c r="AG56" s="101"/>
      <c r="AH56" s="287" t="s">
        <v>518</v>
      </c>
      <c r="AI56" s="878">
        <v>0.2</v>
      </c>
      <c r="AJ56" s="101">
        <v>0</v>
      </c>
      <c r="AK56" s="101">
        <v>0</v>
      </c>
      <c r="AL56" s="101">
        <v>0</v>
      </c>
      <c r="AM56" s="106">
        <v>1</v>
      </c>
      <c r="AN56" s="106">
        <v>2</v>
      </c>
      <c r="AO56" s="106">
        <v>4</v>
      </c>
      <c r="AP56" s="112" t="str">
        <f>IF(OR(ISBLANK(AI56),AI56=0),"INSERT LIKELIHOOD",IF(ABS(AI56)&lt;='Risk Matrices'!$D$22,'Risk Matrices'!$C$21,IF(ABS(AI56)&lt;='Risk Matrices'!$D$19,'Risk Matrices'!$C$18,IF(ABS(AI56)&lt;='Risk Matrices'!$D$16,'Risk Matrices'!$C$15,IF(ABS(AI56)&lt;='Risk Matrices'!$D$13,'Risk Matrices'!$C$12,'Risk Matrices'!$C$10)))))</f>
        <v>Low</v>
      </c>
      <c r="AQ56" s="112" t="str">
        <f>IF(OR(ISBLANK(AK56),AK56=0),"None",IF(ABS(AK56)&lt;='Risk Matrices'!$E$7,'Risk Matrices'!$E$5,IF(ABS(AK56)&lt;='Risk Matrices'!$G$7,'Risk Matrices'!$G$5,IF(ABS(AK56)&lt;='Risk Matrices'!$H$7,'Risk Matrices'!$H$5,'Risk Matrices'!$I$5))))</f>
        <v>None</v>
      </c>
      <c r="AR56" s="112" t="str">
        <f>IF(AN56="","",IF(ABS(AN56)&lt;='Risk Matrices'!$E$8,"Negligible",IF(ABS(AN56)&lt;='Risk Matrices'!$F$8,"Marginal",IF(ABS(AN56)&lt;='Risk Matrices'!$G$8,"Significant",IF(ABS(AN56)&lt;='Risk Matrices'!$H$8,"Critical","Crisis")))))</f>
        <v>Negligible</v>
      </c>
      <c r="AS56" s="103" t="s">
        <v>130</v>
      </c>
      <c r="AT56" s="298">
        <f>IF(OR(ISBLANK(AI56),AI56=0),0,VLOOKUP(AP56,'Risk Matrices'!$B$30:$C$34,2,0))</f>
        <v>2</v>
      </c>
      <c r="AU56" s="298">
        <f>IF(OR(ISBLANK(AK56),AK56=0),0,HLOOKUP(AQ56,'Risk Matrices'!$D$28:$H$29,2,0))</f>
        <v>0</v>
      </c>
      <c r="AV56" s="298">
        <f>IF(OR(ISBLANK(AR56),AR56=0),0,HLOOKUP(AR56,'Risk Matrices'!$D$28:$H$29,2,0))</f>
        <v>1</v>
      </c>
      <c r="AW56" s="298">
        <f>IF(AS56="None",0,HLOOKUP(AS56,'Risk Matrices'!$D$28:$H$29,2,0))</f>
        <v>0</v>
      </c>
      <c r="AX56" s="106">
        <f t="shared" si="20"/>
        <v>1</v>
      </c>
      <c r="AY56" s="106">
        <f t="shared" si="21"/>
        <v>2</v>
      </c>
      <c r="AZ56" s="107" t="str">
        <f>IF(B56="Retired","Retired",IF(OR(ISBLANK(AY56),AY56=0),"TBD",IF(AY56&lt;='Risk Matrices'!$D$40,'Risk Matrices'!$B$40,IF(AY56&lt;='Risk Matrices'!$D$39,'Risk Matrices'!$B$39,'Risk Matrices'!$B$38))))</f>
        <v>Retired</v>
      </c>
      <c r="BA56" s="104"/>
      <c r="BB56" s="197" t="s">
        <v>519</v>
      </c>
      <c r="BC56" s="109" t="str">
        <f t="shared" si="22"/>
        <v>Retired</v>
      </c>
      <c r="BD56" s="104"/>
      <c r="BE56" s="104"/>
      <c r="BF56" s="91"/>
      <c r="BG56" s="95" t="s">
        <v>520</v>
      </c>
      <c r="BH56" s="104"/>
      <c r="BI56" s="104"/>
      <c r="BJ56" s="884">
        <f t="shared" si="40"/>
        <v>0</v>
      </c>
      <c r="BK56" s="101" t="s">
        <v>311</v>
      </c>
      <c r="BL56" s="116">
        <v>45158</v>
      </c>
      <c r="BM56" s="116">
        <v>45153</v>
      </c>
      <c r="BN56" s="330">
        <v>45153</v>
      </c>
      <c r="BO56" s="332"/>
      <c r="BP56" s="94">
        <f t="shared" si="47"/>
        <v>0</v>
      </c>
      <c r="BQ56" s="97" t="str">
        <f t="shared" si="32"/>
        <v>0 - 0 - 0</v>
      </c>
      <c r="BR56" s="97" t="str">
        <f t="shared" si="33"/>
        <v>1 - 2 - 4</v>
      </c>
      <c r="BS56" s="715">
        <f t="shared" si="34"/>
        <v>0</v>
      </c>
      <c r="BT56" s="736">
        <f t="shared" si="35"/>
        <v>0.46666666666666673</v>
      </c>
      <c r="BU56" s="735"/>
    </row>
    <row r="57" spans="2:75" customFormat="1" ht="36" hidden="1" customHeight="1" x14ac:dyDescent="0.2">
      <c r="B57" s="101" t="str">
        <f t="shared" si="36"/>
        <v>Proposed</v>
      </c>
      <c r="C57" s="781" t="s">
        <v>521</v>
      </c>
      <c r="D57" s="101" t="s">
        <v>151</v>
      </c>
      <c r="E57" s="101" t="s">
        <v>433</v>
      </c>
      <c r="F57" s="143" t="s">
        <v>124</v>
      </c>
      <c r="G57" s="106" t="s">
        <v>434</v>
      </c>
      <c r="H57" s="101" t="str">
        <f t="shared" si="46"/>
        <v>RT-6-003-009</v>
      </c>
      <c r="I57" s="106" t="s">
        <v>435</v>
      </c>
      <c r="J57" s="101" t="s">
        <v>465</v>
      </c>
      <c r="K57" s="101" t="s">
        <v>522</v>
      </c>
      <c r="L57" s="123"/>
      <c r="M57" s="121"/>
      <c r="N57" s="134"/>
      <c r="O57" s="106"/>
      <c r="P57" s="128"/>
      <c r="Q57" s="126"/>
      <c r="R57" s="126"/>
      <c r="S57" s="128"/>
      <c r="T57" s="106"/>
      <c r="U57" s="128"/>
      <c r="V57" s="128"/>
      <c r="W57" s="106"/>
      <c r="X57" s="128"/>
      <c r="Y57" s="135"/>
      <c r="Z57" s="121"/>
      <c r="AA57" s="136"/>
      <c r="AB57" s="137"/>
      <c r="AC57" s="109"/>
      <c r="AD57" s="123"/>
      <c r="AE57" s="123"/>
      <c r="AF57" s="101"/>
      <c r="AG57" s="101"/>
      <c r="AH57" s="287"/>
      <c r="AI57" s="878"/>
      <c r="AJ57" s="101"/>
      <c r="AK57" s="101"/>
      <c r="AL57" s="101"/>
      <c r="AM57" s="106"/>
      <c r="AN57" s="106"/>
      <c r="AO57" s="106"/>
      <c r="AP57" s="112"/>
      <c r="AQ57" s="112"/>
      <c r="AR57" s="112"/>
      <c r="AS57" s="103"/>
      <c r="AT57" s="298"/>
      <c r="AU57" s="298"/>
      <c r="AV57" s="298"/>
      <c r="AW57" s="298"/>
      <c r="AX57" s="106"/>
      <c r="AY57" s="106"/>
      <c r="AZ57" s="107"/>
      <c r="BA57" s="104"/>
      <c r="BB57" s="950"/>
      <c r="BC57" s="109"/>
      <c r="BD57" s="104"/>
      <c r="BE57" s="104"/>
      <c r="BF57" s="91"/>
      <c r="BG57" s="95"/>
      <c r="BH57" s="104"/>
      <c r="BI57" s="104"/>
      <c r="BJ57" s="884"/>
      <c r="BK57" s="101"/>
      <c r="BL57" s="116"/>
      <c r="BM57" s="116"/>
      <c r="BN57" s="330"/>
      <c r="BO57" s="332"/>
      <c r="BP57" s="94"/>
      <c r="BQ57" s="97"/>
      <c r="BR57" s="97"/>
      <c r="BS57" s="715"/>
      <c r="BT57" s="736"/>
      <c r="BU57" s="735"/>
    </row>
    <row r="58" spans="2:75" customFormat="1" ht="46.25" hidden="1" customHeight="1" x14ac:dyDescent="0.2">
      <c r="B58" s="101" t="str">
        <f t="shared" si="36"/>
        <v>Proposed</v>
      </c>
      <c r="C58" s="781" t="s">
        <v>523</v>
      </c>
      <c r="D58" s="101" t="s">
        <v>151</v>
      </c>
      <c r="E58" s="101" t="s">
        <v>433</v>
      </c>
      <c r="F58" s="143" t="s">
        <v>124</v>
      </c>
      <c r="G58" s="106" t="s">
        <v>434</v>
      </c>
      <c r="H58" s="101" t="str">
        <f t="shared" si="46"/>
        <v>RT-6-003-010</v>
      </c>
      <c r="I58" s="106" t="s">
        <v>435</v>
      </c>
      <c r="J58" s="101" t="s">
        <v>465</v>
      </c>
      <c r="K58" s="101" t="s">
        <v>524</v>
      </c>
      <c r="L58" s="123"/>
      <c r="M58" s="121"/>
      <c r="N58" s="134"/>
      <c r="O58" s="106"/>
      <c r="P58" s="128"/>
      <c r="Q58" s="126"/>
      <c r="R58" s="126"/>
      <c r="S58" s="128"/>
      <c r="T58" s="106"/>
      <c r="U58" s="128"/>
      <c r="V58" s="128"/>
      <c r="W58" s="106"/>
      <c r="X58" s="128"/>
      <c r="Y58" s="135"/>
      <c r="Z58" s="121"/>
      <c r="AA58" s="136"/>
      <c r="AB58" s="137"/>
      <c r="AC58" s="109"/>
      <c r="AD58" s="123"/>
      <c r="AE58" s="123"/>
      <c r="AF58" s="101"/>
      <c r="AG58" s="101"/>
      <c r="AH58" s="287"/>
      <c r="AI58" s="878"/>
      <c r="AJ58" s="101"/>
      <c r="AK58" s="101"/>
      <c r="AL58" s="101"/>
      <c r="AM58" s="106"/>
      <c r="AN58" s="106"/>
      <c r="AO58" s="106"/>
      <c r="AP58" s="112"/>
      <c r="AQ58" s="112"/>
      <c r="AR58" s="112"/>
      <c r="AS58" s="103"/>
      <c r="AT58" s="298"/>
      <c r="AU58" s="298"/>
      <c r="AV58" s="298"/>
      <c r="AW58" s="298"/>
      <c r="AX58" s="106"/>
      <c r="AY58" s="106"/>
      <c r="AZ58" s="107"/>
      <c r="BA58" s="104"/>
      <c r="BB58" s="950"/>
      <c r="BC58" s="109"/>
      <c r="BD58" s="104"/>
      <c r="BE58" s="104"/>
      <c r="BF58" s="91"/>
      <c r="BG58" s="95"/>
      <c r="BH58" s="104"/>
      <c r="BI58" s="104"/>
      <c r="BJ58" s="884"/>
      <c r="BK58" s="101"/>
      <c r="BL58" s="116"/>
      <c r="BM58" s="116"/>
      <c r="BN58" s="330"/>
      <c r="BO58" s="332"/>
      <c r="BP58" s="94"/>
      <c r="BQ58" s="97"/>
      <c r="BR58" s="97"/>
      <c r="BS58" s="715"/>
      <c r="BT58" s="736"/>
      <c r="BU58" s="735"/>
    </row>
    <row r="59" spans="2:75" customFormat="1" ht="51" hidden="1" x14ac:dyDescent="0.2">
      <c r="B59" s="101" t="str">
        <f t="shared" si="36"/>
        <v>Retired</v>
      </c>
      <c r="C59" s="784" t="s">
        <v>525</v>
      </c>
      <c r="D59" s="118" t="s">
        <v>122</v>
      </c>
      <c r="E59" s="103" t="s">
        <v>526</v>
      </c>
      <c r="F59" s="127" t="s">
        <v>124</v>
      </c>
      <c r="G59" s="106" t="s">
        <v>527</v>
      </c>
      <c r="H59" s="106"/>
      <c r="I59" s="103" t="s">
        <v>179</v>
      </c>
      <c r="J59" s="103" t="s">
        <v>475</v>
      </c>
      <c r="K59" s="158" t="s">
        <v>528</v>
      </c>
      <c r="L59" s="124" t="s">
        <v>529</v>
      </c>
      <c r="M59" s="132"/>
      <c r="N59" s="134"/>
      <c r="O59" s="106" t="str" cm="1">
        <f t="array" ref="O59">_xlfn.IFS(N59="","",ABS(N59)&lt;='Risk Matrices'!$E$7,'Risk Matrices'!$E$5,ABS(N59)&lt;='Risk Matrices'!$F$7,'Risk Matrices'!$F$5,ABS(N59)&lt;='Risk Matrices'!$G$7,'Risk Matrices'!$G$5,ABS(N59)&lt;='Risk Matrices'!$H$7,'Risk Matrices'!$H$5,ABS(N59)&gt;'Risk Matrices'!$H$7,'Risk Matrices'!$I$5)</f>
        <v/>
      </c>
      <c r="P59" s="128"/>
      <c r="Q59" s="101" t="str">
        <f>IF(P59="","",IF(P59&lt;=3,"Negligible",IF(P59&lt;=6,"Marginal",IF(P59&lt;=12,"Significant",IF(P59&lt;=18,"Critical","Crisis")))))</f>
        <v/>
      </c>
      <c r="R59" s="131"/>
      <c r="S59" s="128"/>
      <c r="T59" s="106" t="e" cm="1">
        <f t="array" ref="T59">_xlfn.IFS(O59='Risk Matrices'!$D$28,'Risk Matrices'!$D$29,O59='Risk Matrices'!$E$28,'Risk Matrices'!$E$29,O59='Risk Matrices'!$F$28,'Risk Matrices'!$F$29,O59='Risk Matrices'!$G$28,'Risk Matrices'!$G$29,O59='Risk Matrices'!$H$28,'Risk Matrices'!$H$29)</f>
        <v>#N/A</v>
      </c>
      <c r="U59" s="128"/>
      <c r="V59" s="128"/>
      <c r="W59" s="106"/>
      <c r="X59" s="128"/>
      <c r="Y59" s="135"/>
      <c r="Z59" s="121"/>
      <c r="AA59" s="136"/>
      <c r="AB59" s="137"/>
      <c r="AC59" s="119" t="s">
        <v>132</v>
      </c>
      <c r="AD59" s="121" t="s">
        <v>530</v>
      </c>
      <c r="AE59" s="121"/>
      <c r="AF59" s="116" t="s">
        <v>531</v>
      </c>
      <c r="AG59" s="116"/>
      <c r="AH59" s="101" t="s">
        <v>532</v>
      </c>
      <c r="AI59" s="112">
        <v>0.75</v>
      </c>
      <c r="AJ59" s="191">
        <v>-6000</v>
      </c>
      <c r="AK59" s="191">
        <v>-3500</v>
      </c>
      <c r="AL59" s="191">
        <v>-8000</v>
      </c>
      <c r="AM59" s="191">
        <v>-6</v>
      </c>
      <c r="AN59" s="191">
        <v>-12</v>
      </c>
      <c r="AO59" s="191">
        <v>-18</v>
      </c>
      <c r="AP59" s="112" t="str">
        <f>IF(OR(ISBLANK(AI59),AI59=0),"INSERT LIKELIHOOD",IF(ABS(AI59)&lt;='Risk Matrices'!$D$22,'Risk Matrices'!$C$21,IF(ABS(AI59)&lt;='Risk Matrices'!$D$19,'Risk Matrices'!$C$18,IF(ABS(AI59)&lt;='Risk Matrices'!$D$16,'Risk Matrices'!$C$15,IF(ABS(AI59)&lt;='Risk Matrices'!$D$13,'Risk Matrices'!$C$12,'Risk Matrices'!$C$10)))))</f>
        <v>Very High</v>
      </c>
      <c r="AQ59" s="112" t="str">
        <f>IF(OR(ISBLANK(AK59),AK59=0),"None",IF(ABS(AK59)&lt;='Risk Matrices'!$E$7,'Risk Matrices'!$E$5,IF(ABS(AK59)&lt;='Risk Matrices'!$G$7,'Risk Matrices'!$G$5,IF(ABS(AK59)&lt;='Risk Matrices'!$H$7,'Risk Matrices'!$H$5,'Risk Matrices'!$I$5))))</f>
        <v>Significant</v>
      </c>
      <c r="AR59" s="112" t="str">
        <f>IF(AN59="","",IF(ABS(AN59)&lt;='Risk Matrices'!$E$8,"Negligible",IF(ABS(AN59)&lt;='Risk Matrices'!$F$8,"Marginal",IF(ABS(AN59)&lt;='Risk Matrices'!$G$8,"Significant",IF(ABS(AN59)&lt;='Risk Matrices'!$H$8,"Critical","Crisis")))))</f>
        <v>Significant</v>
      </c>
      <c r="AS59" s="103" t="s">
        <v>130</v>
      </c>
      <c r="AT59" s="298">
        <f>IF(OR(ISBLANK(AI59),AI59=0),0,VLOOKUP(AP59,'Risk Matrices'!$B$30:$C$34,2,0))</f>
        <v>5</v>
      </c>
      <c r="AU59" s="298">
        <f>IF(OR(ISBLANK(AK59),AK59=0),0,HLOOKUP(AQ59,'Risk Matrices'!$D$28:$H$29,2,0))</f>
        <v>3</v>
      </c>
      <c r="AV59" s="298">
        <f>IF(OR(ISBLANK(AR59),AR59=0),0,HLOOKUP(AR59,'Risk Matrices'!$D$28:$H$29,2,0))</f>
        <v>3</v>
      </c>
      <c r="AW59" s="298">
        <f>IF(AS59="None",0,HLOOKUP(AS59,'Risk Matrices'!$D$28:$H$29,2,0))</f>
        <v>0</v>
      </c>
      <c r="AX59" s="106">
        <f t="shared" ref="AX59:AX90" si="48">MAX(AU59,AV59,AW59)</f>
        <v>3</v>
      </c>
      <c r="AY59" s="106">
        <f t="shared" ref="AY59:AY90" si="49">AT59*AX59</f>
        <v>15</v>
      </c>
      <c r="AZ59" s="107" t="str">
        <f>IF(B59="Retired","Retired",IF(OR(ISBLANK(AY59),AY59=0),"TBD",IF(AY59&lt;='Risk Matrices'!$D$40,'Risk Matrices'!$B$40,IF(AY59&lt;='Risk Matrices'!$D$39,'Risk Matrices'!$B$39,'Risk Matrices'!$B$38))))</f>
        <v>Retired</v>
      </c>
      <c r="BA59" s="150"/>
      <c r="BB59" s="746" t="s">
        <v>533</v>
      </c>
      <c r="BC59" s="109" t="str">
        <f t="shared" ref="BC59:BC90" si="50">IF(B59="Active",AI59*AK59,B59)</f>
        <v>Retired</v>
      </c>
      <c r="BD59" s="113"/>
      <c r="BE59" s="114"/>
      <c r="BF59" s="142"/>
      <c r="BG59" s="115" t="s">
        <v>534</v>
      </c>
      <c r="BH59" s="115"/>
      <c r="BI59" s="115"/>
      <c r="BJ59" s="874">
        <f t="shared" ref="BJ59:BJ96" si="51">AI59*(SUM(AJ59:AL59)/3)</f>
        <v>-4375</v>
      </c>
      <c r="BK59" s="101" t="s">
        <v>375</v>
      </c>
      <c r="BL59" s="116">
        <v>45275</v>
      </c>
      <c r="BM59" s="116">
        <v>44903</v>
      </c>
      <c r="BN59" s="116">
        <v>44903</v>
      </c>
      <c r="BO59" s="332" t="s">
        <v>535</v>
      </c>
      <c r="BP59" s="94">
        <f t="shared" ref="BP59:BP67" si="52">AI59*((AJ59+4*AK59+AL59)/6)</f>
        <v>-3500</v>
      </c>
      <c r="BQ59" s="97" t="str">
        <f t="shared" ref="BQ59:BQ95" si="53">CONCATENATE(AJ59," - ",AK59," - ",AL59)</f>
        <v>-6000 - -3500 - -8000</v>
      </c>
      <c r="BR59" s="97" t="str">
        <f t="shared" ref="BR59:BR95" si="54">CONCATENATE(AM59," - ",AN59," - ",AO59)</f>
        <v>-6 - -12 - -18</v>
      </c>
      <c r="BS59" s="715">
        <f>BJ59</f>
        <v>-4375</v>
      </c>
      <c r="BT59" s="736">
        <f t="shared" ref="BT59:BT95" si="55">AI59*(AM59+AN59+AO59)/3</f>
        <v>-9</v>
      </c>
      <c r="BU59" s="689" t="s">
        <v>536</v>
      </c>
      <c r="BV59" s="873">
        <v>45260</v>
      </c>
      <c r="BW59">
        <f t="shared" ref="BW59:BW67" si="56">BV59-BN59</f>
        <v>357</v>
      </c>
    </row>
    <row r="60" spans="2:75" customFormat="1" ht="70.25" hidden="1" customHeight="1" x14ac:dyDescent="0.2">
      <c r="B60" s="101" t="str">
        <f t="shared" si="36"/>
        <v>Active</v>
      </c>
      <c r="C60" s="784" t="s">
        <v>537</v>
      </c>
      <c r="D60" s="101" t="s">
        <v>151</v>
      </c>
      <c r="E60" s="132" t="s">
        <v>526</v>
      </c>
      <c r="F60" s="148" t="s">
        <v>124</v>
      </c>
      <c r="G60" s="106" t="s">
        <v>527</v>
      </c>
      <c r="H60" s="101" t="str">
        <f>C60</f>
        <v>RT-6-004-001</v>
      </c>
      <c r="I60" s="157" t="s">
        <v>417</v>
      </c>
      <c r="J60" s="102" t="s">
        <v>409</v>
      </c>
      <c r="K60" s="101" t="s">
        <v>538</v>
      </c>
      <c r="L60" s="123" t="s">
        <v>539</v>
      </c>
      <c r="M60" s="103" t="s">
        <v>129</v>
      </c>
      <c r="N60" s="134">
        <v>0</v>
      </c>
      <c r="O60" s="106" t="str" cm="1">
        <f t="array" ref="O60">_xlfn.IFS(N60="","",ABS(N60)&lt;='Risk Matrices'!$E$7,'Risk Matrices'!$E$5,ABS(N60)&lt;='Risk Matrices'!$F$7,'Risk Matrices'!$F$5,ABS(N60)&lt;='Risk Matrices'!$G$7,'Risk Matrices'!$G$5,ABS(N60)&lt;='Risk Matrices'!$H$7,'Risk Matrices'!$H$5,ABS(N60)&gt;'Risk Matrices'!$H$7,'Risk Matrices'!$I$5)</f>
        <v>Negligible</v>
      </c>
      <c r="P60" s="126">
        <v>9</v>
      </c>
      <c r="Q60" s="101" t="str" cm="1">
        <f t="array" ref="Q60">_xlfn.IFS(P60="","",ABS(P60)&lt;='Risk Matrices'!$E$8,'Risk Matrices'!$E$5,ABS(P60)&lt;='Risk Matrices'!$F$8,'Risk Matrices'!$F$5,ABS(P60)&lt;='Risk Matrices'!$G$8,'Risk Matrices'!$G$5,ABS(P60)&lt;='Risk Matrices'!$H$8,'Risk Matrices'!$H$5,ABS(P60)&gt;'Risk Matrices'!$H$8,'Risk Matrices'!$I$5)</f>
        <v>Significant</v>
      </c>
      <c r="R60" s="101" t="s">
        <v>130</v>
      </c>
      <c r="S60" s="106">
        <f t="shared" ref="S60:S96" si="57">IF(M60="",0,IF(M60="Very Low (There is a &lt;10% chance that this event will occur)",1,IF(M60="Low (Risk is likely to occur with a probability of &gt; 10% to &lt; 25%)",2,IF(M60="Moderate (Risk is likely to occur with a probability of &gt; 25% to &lt; 40%)",3,IF(M60="High (Risk is likely to occur with a probability of &gt;40 to &lt;65%)",4,IF(M60="Very High (Risk is likely to occur with a probability of &gt;65%)",5))))))</f>
        <v>4</v>
      </c>
      <c r="T60" s="106" cm="1">
        <f t="array" ref="T60">_xlfn.IFS(O60='Risk Matrices'!$D$28,'Risk Matrices'!$D$29,O60='Risk Matrices'!$E$28,'Risk Matrices'!$E$29,O60='Risk Matrices'!$F$28,'Risk Matrices'!$F$29,O60='Risk Matrices'!$G$28,'Risk Matrices'!$G$29,O60='Risk Matrices'!$H$28,'Risk Matrices'!$H$29)</f>
        <v>1</v>
      </c>
      <c r="U60" s="106">
        <f t="shared" ref="U60:U66" si="58">IF(Q60="",0,IF(Q60="Negligible",1,IF(Q60="Marginal",2,IF(Q60="Significant",3,IF(Q60="Critical",4,IF(Q60="Crisis",5))))))</f>
        <v>3</v>
      </c>
      <c r="V60" s="106">
        <f>IF(R60="None",0,IF(R60="Negligible",1,IF(R60="Marginal",2,IF(R60="Significant",3,IF(R60="Critical",4,IF(R60="Crisis",5))))))</f>
        <v>0</v>
      </c>
      <c r="W60" s="106">
        <f t="shared" ref="W60:W66" si="59">MAX(T60,U60,V60)</f>
        <v>3</v>
      </c>
      <c r="X60" s="106">
        <f t="shared" ref="X60:X66" si="60">S60*W60</f>
        <v>12</v>
      </c>
      <c r="Y60" s="107" t="str">
        <f t="shared" ref="Y60:Y96" si="61">IF(X60&lt;=6,"Low",IF(X60&lt;=14,"Moderate",IF(X60&lt;=25,"High")))</f>
        <v>Moderate</v>
      </c>
      <c r="Z60" s="121"/>
      <c r="AA60" s="136"/>
      <c r="AB60" s="137"/>
      <c r="AC60" s="137" t="s">
        <v>155</v>
      </c>
      <c r="AD60" s="123" t="s">
        <v>540</v>
      </c>
      <c r="AE60" s="123"/>
      <c r="AF60" s="116" t="s">
        <v>167</v>
      </c>
      <c r="AG60" s="116"/>
      <c r="AH60" s="119" t="s">
        <v>541</v>
      </c>
      <c r="AI60" s="885">
        <v>0.4</v>
      </c>
      <c r="AJ60" s="126">
        <v>0</v>
      </c>
      <c r="AK60" s="126">
        <v>0</v>
      </c>
      <c r="AL60" s="126">
        <v>0</v>
      </c>
      <c r="AM60" s="128">
        <v>3</v>
      </c>
      <c r="AN60" s="128">
        <v>9</v>
      </c>
      <c r="AO60" s="128">
        <v>12</v>
      </c>
      <c r="AP60" s="112" t="str">
        <f>IF(OR(ISBLANK(AI60),AI60=0),"INSERT LIKELIHOOD",IF(ABS(AI60)&lt;='Risk Matrices'!$D$22,'Risk Matrices'!$C$21,IF(ABS(AI60)&lt;='Risk Matrices'!$D$19,'Risk Matrices'!$C$18,IF(ABS(AI60)&lt;='Risk Matrices'!$D$16,'Risk Matrices'!$C$15,IF(ABS(AI60)&lt;='Risk Matrices'!$D$13,'Risk Matrices'!$C$12,'Risk Matrices'!$C$10)))))</f>
        <v>Moderate</v>
      </c>
      <c r="AQ60" s="112" t="str">
        <f>IF(OR(ISBLANK(AK60),AK60=0),"None",IF(ABS(AK60)&lt;='Risk Matrices'!$E$7,'Risk Matrices'!$E$5,IF(ABS(AK60)&lt;='Risk Matrices'!$G$7,'Risk Matrices'!$G$5,IF(ABS(AK60)&lt;='Risk Matrices'!$H$7,'Risk Matrices'!$H$5,'Risk Matrices'!$I$5))))</f>
        <v>None</v>
      </c>
      <c r="AR60" s="112" t="str">
        <f>IF(AN60="","",IF(ABS(AN60)&lt;='Risk Matrices'!$E$8,"Negligible",IF(ABS(AN60)&lt;='Risk Matrices'!$F$8,"Marginal",IF(ABS(AN60)&lt;='Risk Matrices'!$G$8,"Significant",IF(ABS(AN60)&lt;='Risk Matrices'!$H$8,"Critical","Crisis")))))</f>
        <v>Significant</v>
      </c>
      <c r="AS60" s="103" t="s">
        <v>130</v>
      </c>
      <c r="AT60" s="298">
        <f>IF(OR(ISBLANK(AI60),AI60=0),0,VLOOKUP(AP60,'Risk Matrices'!$B$30:$C$34,2,0))</f>
        <v>3</v>
      </c>
      <c r="AU60" s="298">
        <f>IF(OR(ISBLANK(AK60),AK60=0),0,HLOOKUP(AQ60,'Risk Matrices'!$D$28:$H$29,2,0))</f>
        <v>0</v>
      </c>
      <c r="AV60" s="298">
        <f>IF(OR(ISBLANK(AR60),AR60=0),0,HLOOKUP(AR60,'Risk Matrices'!$D$28:$H$29,2,0))</f>
        <v>3</v>
      </c>
      <c r="AW60" s="298">
        <f>IF(AS60="None",0,HLOOKUP(AS60,'Risk Matrices'!$D$28:$H$29,2,0))</f>
        <v>0</v>
      </c>
      <c r="AX60" s="106">
        <f t="shared" si="48"/>
        <v>3</v>
      </c>
      <c r="AY60" s="106">
        <f t="shared" si="49"/>
        <v>9</v>
      </c>
      <c r="AZ60" s="107" t="str">
        <f>IF(B60="Retired","Retired",IF(OR(ISBLANK(AY60),AY60=0),"TBD",IF(AY60&lt;='Risk Matrices'!$D$40,'Risk Matrices'!$B$40,IF(AY60&lt;='Risk Matrices'!$D$39,'Risk Matrices'!$B$39,'Risk Matrices'!$B$38))))</f>
        <v>Moderate</v>
      </c>
      <c r="BA60" s="121"/>
      <c r="BB60" s="113" t="s">
        <v>542</v>
      </c>
      <c r="BC60" s="109">
        <f t="shared" si="50"/>
        <v>0</v>
      </c>
      <c r="BD60" s="932">
        <v>45320</v>
      </c>
      <c r="BE60" s="104"/>
      <c r="BF60" s="104"/>
      <c r="BG60" s="104"/>
      <c r="BH60" s="104"/>
      <c r="BI60" s="104"/>
      <c r="BJ60" s="874">
        <f t="shared" si="51"/>
        <v>0</v>
      </c>
      <c r="BK60" s="101"/>
      <c r="BL60" s="101"/>
      <c r="BM60" s="116">
        <v>44935</v>
      </c>
      <c r="BN60" s="330">
        <v>44935</v>
      </c>
      <c r="BO60" s="332"/>
      <c r="BP60" s="94">
        <f t="shared" si="52"/>
        <v>0</v>
      </c>
      <c r="BQ60" s="97" t="str">
        <f t="shared" si="53"/>
        <v>0 - 0 - 0</v>
      </c>
      <c r="BR60" s="97" t="str">
        <f t="shared" si="54"/>
        <v>3 - 9 - 12</v>
      </c>
      <c r="BS60" s="715"/>
      <c r="BT60" s="736">
        <f t="shared" si="55"/>
        <v>3.2000000000000006</v>
      </c>
      <c r="BU60" s="735" t="s">
        <v>543</v>
      </c>
      <c r="BV60" s="873">
        <v>45382</v>
      </c>
      <c r="BW60">
        <f t="shared" si="56"/>
        <v>447</v>
      </c>
    </row>
    <row r="61" spans="2:75" customFormat="1" ht="75" hidden="1" x14ac:dyDescent="0.2">
      <c r="B61" s="101" t="str">
        <f t="shared" si="36"/>
        <v>Retired</v>
      </c>
      <c r="C61" s="784" t="s">
        <v>544</v>
      </c>
      <c r="D61" s="101" t="s">
        <v>151</v>
      </c>
      <c r="E61" s="132" t="s">
        <v>526</v>
      </c>
      <c r="F61" s="148" t="s">
        <v>124</v>
      </c>
      <c r="G61" s="128" t="s">
        <v>527</v>
      </c>
      <c r="H61" s="101" t="str">
        <f>C61</f>
        <v>RT-6-004-002</v>
      </c>
      <c r="I61" s="907" t="s">
        <v>545</v>
      </c>
      <c r="J61" s="103" t="s">
        <v>351</v>
      </c>
      <c r="K61" s="132" t="s">
        <v>546</v>
      </c>
      <c r="L61" s="104" t="s">
        <v>547</v>
      </c>
      <c r="M61" s="132" t="s">
        <v>206</v>
      </c>
      <c r="N61" s="134">
        <v>1</v>
      </c>
      <c r="O61" s="106" t="str" cm="1">
        <f t="array" ref="O61">_xlfn.IFS(N61="","",ABS(N61)&lt;='Risk Matrices'!$E$7,'Risk Matrices'!$E$5,ABS(N61)&lt;='Risk Matrices'!$F$7,'Risk Matrices'!$F$5,ABS(N61)&lt;='Risk Matrices'!$G$7,'Risk Matrices'!$G$5,ABS(N61)&lt;='Risk Matrices'!$H$7,'Risk Matrices'!$H$5,ABS(N61)&gt;'Risk Matrices'!$H$7,'Risk Matrices'!$I$5)</f>
        <v>Negligible</v>
      </c>
      <c r="P61" s="128">
        <v>0</v>
      </c>
      <c r="Q61" s="101" t="str">
        <f>IF(P61="","",IF(P61&lt;=3,"Negligible",IF(P61&lt;=6,"Marginal",IF(P61&lt;=12,"Significant",IF(P61&lt;=18,"Critical","Crisis")))))</f>
        <v>Negligible</v>
      </c>
      <c r="R61" s="131" t="s">
        <v>280</v>
      </c>
      <c r="S61" s="128">
        <f t="shared" si="57"/>
        <v>2</v>
      </c>
      <c r="T61" s="106" cm="1">
        <f t="array" ref="T61">_xlfn.IFS(O61='Risk Matrices'!$D$28,'Risk Matrices'!$D$29,O61='Risk Matrices'!$E$28,'Risk Matrices'!$E$29,O61='Risk Matrices'!$F$28,'Risk Matrices'!$F$29,O61='Risk Matrices'!$G$28,'Risk Matrices'!$G$29,O61='Risk Matrices'!$H$28,'Risk Matrices'!$H$29)</f>
        <v>1</v>
      </c>
      <c r="U61" s="128">
        <f t="shared" si="58"/>
        <v>1</v>
      </c>
      <c r="V61" s="128">
        <f>IF(R61="",0,IF(R61="Negligible",1,IF(R61="Marginal",2,IF(R61="Significant",3,IF(R61="Critical",4,IF(R61="Crisis",5))))))</f>
        <v>2</v>
      </c>
      <c r="W61" s="106">
        <f t="shared" si="59"/>
        <v>2</v>
      </c>
      <c r="X61" s="128">
        <f t="shared" si="60"/>
        <v>4</v>
      </c>
      <c r="Y61" s="135" t="str">
        <f t="shared" si="61"/>
        <v>Low</v>
      </c>
      <c r="Z61" s="121"/>
      <c r="AA61" s="136">
        <f t="shared" ref="AA61:AA66" si="62">IF(M61="",0,IF(M61="Very Low (There is a &lt;10% chance that this event will occur)",0.05,IF(M61="Low (Risk is likely to occur with a probability of &gt; 10% to &lt; 25%)",0.17,IF(M61="Moderate (Risk is likely to occur with a probability of &gt; 25% to &lt; 40%)",0.32,IF(M61="High (Risk is likely to occur with a probability of &gt;40 to &lt;65%)",0.52,IF(M61="Very High (Risk is likely to occur with a probability of &gt;65%)",0.82))))))</f>
        <v>0.17</v>
      </c>
      <c r="AB61" s="137">
        <f t="shared" ref="AB61:AB66" si="63">+AA61*N61</f>
        <v>0.17</v>
      </c>
      <c r="AC61" s="178" t="s">
        <v>155</v>
      </c>
      <c r="AD61" s="113" t="s">
        <v>548</v>
      </c>
      <c r="AE61" s="113"/>
      <c r="AF61" s="901" t="s">
        <v>175</v>
      </c>
      <c r="AG61" s="901"/>
      <c r="AH61" s="190" t="s">
        <v>549</v>
      </c>
      <c r="AI61" s="150">
        <v>0.2</v>
      </c>
      <c r="AJ61" s="151">
        <v>500</v>
      </c>
      <c r="AK61" s="151">
        <v>750</v>
      </c>
      <c r="AL61" s="151">
        <v>1000</v>
      </c>
      <c r="AM61" s="151">
        <v>0</v>
      </c>
      <c r="AN61" s="151">
        <v>0</v>
      </c>
      <c r="AO61" s="151">
        <v>0</v>
      </c>
      <c r="AP61" s="112" t="str">
        <f>IF(OR(ISBLANK(AI61),AI61=0),"INSERT LIKELIHOOD",IF(ABS(AI61)&lt;='Risk Matrices'!$D$22,'Risk Matrices'!$C$21,IF(ABS(AI61)&lt;='Risk Matrices'!$D$19,'Risk Matrices'!$C$18,IF(ABS(AI61)&lt;='Risk Matrices'!$D$16,'Risk Matrices'!$C$15,IF(ABS(AI61)&lt;='Risk Matrices'!$D$13,'Risk Matrices'!$C$12,'Risk Matrices'!$C$10)))))</f>
        <v>Low</v>
      </c>
      <c r="AQ61" s="112" t="str">
        <f>IF(OR(ISBLANK(AK61),AK61=0),"None",IF(ABS(AK61)&lt;='Risk Matrices'!$E$7,'Risk Matrices'!$E$5,IF(ABS(AK61)&lt;='Risk Matrices'!$G$7,'Risk Matrices'!$G$5,IF(ABS(AK61)&lt;='Risk Matrices'!$H$7,'Risk Matrices'!$H$5,'Risk Matrices'!$I$5))))</f>
        <v>Significant</v>
      </c>
      <c r="AR61" s="112" t="str">
        <f>IF(AN61="","",IF(ABS(AN61)&lt;='Risk Matrices'!$E$8,"Negligible",IF(ABS(AN61)&lt;='Risk Matrices'!$F$8,"Marginal",IF(ABS(AN61)&lt;='Risk Matrices'!$G$8,"Significant",IF(ABS(AN61)&lt;='Risk Matrices'!$H$8,"Critical","Crisis")))))</f>
        <v>Negligible</v>
      </c>
      <c r="AS61" s="131" t="s">
        <v>280</v>
      </c>
      <c r="AT61" s="298">
        <f>IF(OR(ISBLANK(AI61),AI61=0),0,VLOOKUP(AP61,'Risk Matrices'!$B$30:$C$34,2,0))</f>
        <v>2</v>
      </c>
      <c r="AU61" s="298">
        <f>IF(OR(ISBLANK(AK61),AK61=0),0,HLOOKUP(AQ61,'Risk Matrices'!$D$28:$H$29,2,0))</f>
        <v>3</v>
      </c>
      <c r="AV61" s="298">
        <f>IF(OR(ISBLANK(AR61),AR61=0),0,HLOOKUP(AR61,'Risk Matrices'!$D$28:$H$29,2,0))</f>
        <v>1</v>
      </c>
      <c r="AW61" s="298">
        <f>IF(OR(ISBLANK(AS61),AS61=0),0,HLOOKUP(AS61,'Risk Matrices'!$D$28:$H$29,2,0))</f>
        <v>2</v>
      </c>
      <c r="AX61" s="106">
        <f t="shared" si="48"/>
        <v>3</v>
      </c>
      <c r="AY61" s="106">
        <f t="shared" si="49"/>
        <v>6</v>
      </c>
      <c r="AZ61" s="107" t="str">
        <f>IF(B61="Retired","Retired",IF(OR(ISBLANK(AY61),AY61=0),"TBD",IF(AY61&lt;='Risk Matrices'!$D$40,'Risk Matrices'!$B$40,IF(AY61&lt;='Risk Matrices'!$D$39,'Risk Matrices'!$B$39,'Risk Matrices'!$B$38))))</f>
        <v>Retired</v>
      </c>
      <c r="BA61" s="150"/>
      <c r="BB61" s="101" t="s">
        <v>366</v>
      </c>
      <c r="BC61" s="109" t="str">
        <f t="shared" si="50"/>
        <v>Retired</v>
      </c>
      <c r="BD61" s="113"/>
      <c r="BE61" s="114"/>
      <c r="BF61" s="115"/>
      <c r="BG61" s="928" t="s">
        <v>550</v>
      </c>
      <c r="BH61" s="115"/>
      <c r="BI61" s="115"/>
      <c r="BJ61" s="874">
        <f t="shared" si="51"/>
        <v>150</v>
      </c>
      <c r="BK61" s="101" t="s">
        <v>311</v>
      </c>
      <c r="BL61" s="116">
        <v>45320</v>
      </c>
      <c r="BM61" s="116">
        <v>44012</v>
      </c>
      <c r="BN61" s="330">
        <v>44134</v>
      </c>
      <c r="BO61" s="332"/>
      <c r="BP61" s="94">
        <f t="shared" si="52"/>
        <v>150</v>
      </c>
      <c r="BQ61" s="97" t="str">
        <f t="shared" si="53"/>
        <v>500 - 750 - 1000</v>
      </c>
      <c r="BR61" s="97" t="str">
        <f t="shared" si="54"/>
        <v>0 - 0 - 0</v>
      </c>
      <c r="BS61" s="715">
        <f t="shared" ref="BS61:BS82" si="64">BJ61</f>
        <v>150</v>
      </c>
      <c r="BT61" s="736">
        <f t="shared" si="55"/>
        <v>0</v>
      </c>
      <c r="BU61" s="735" t="s">
        <v>551</v>
      </c>
      <c r="BV61" s="873">
        <v>45260</v>
      </c>
      <c r="BW61">
        <f t="shared" si="56"/>
        <v>1126</v>
      </c>
    </row>
    <row r="62" spans="2:75" customFormat="1" ht="50" hidden="1" customHeight="1" x14ac:dyDescent="0.2">
      <c r="B62" s="101" t="str">
        <f t="shared" si="36"/>
        <v>Active</v>
      </c>
      <c r="C62" s="784" t="s">
        <v>552</v>
      </c>
      <c r="D62" s="101" t="s">
        <v>151</v>
      </c>
      <c r="E62" s="103" t="s">
        <v>526</v>
      </c>
      <c r="F62" s="148" t="s">
        <v>124</v>
      </c>
      <c r="G62" s="106" t="s">
        <v>527</v>
      </c>
      <c r="H62" s="101" t="str">
        <f>C62</f>
        <v>RT-6-004-003</v>
      </c>
      <c r="I62" s="157" t="s">
        <v>417</v>
      </c>
      <c r="J62" s="103" t="s">
        <v>351</v>
      </c>
      <c r="K62" s="103" t="s">
        <v>553</v>
      </c>
      <c r="L62" s="104" t="s">
        <v>554</v>
      </c>
      <c r="M62" s="132" t="s">
        <v>141</v>
      </c>
      <c r="N62" s="134">
        <v>1000</v>
      </c>
      <c r="O62" s="106" t="str" cm="1">
        <f t="array" ref="O62">_xlfn.IFS(N62="","",ABS(N62)&lt;='Risk Matrices'!$E$7,'Risk Matrices'!$E$5,ABS(N62)&lt;='Risk Matrices'!$F$7,'Risk Matrices'!$F$5,ABS(N62)&lt;='Risk Matrices'!$G$7,'Risk Matrices'!$G$5,ABS(N62)&lt;='Risk Matrices'!$H$7,'Risk Matrices'!$H$5,ABS(N62)&gt;'Risk Matrices'!$H$7,'Risk Matrices'!$I$5)</f>
        <v>Marginal</v>
      </c>
      <c r="P62" s="128">
        <v>0</v>
      </c>
      <c r="Q62" s="101" t="str" cm="1">
        <f t="array" ref="Q62">_xlfn.IFS(P62="","",ABS(P62)&lt;='Risk Matrices'!$E$8,'Risk Matrices'!$E$5,ABS(P62)&lt;='Risk Matrices'!$F$8,'Risk Matrices'!$F$5,ABS(P62)&lt;='Risk Matrices'!$G$8,'Risk Matrices'!$G$5,ABS(P62)&lt;='Risk Matrices'!$H$8,'Risk Matrices'!$H$5,ABS(P62)&gt;'Risk Matrices'!$H$8,'Risk Matrices'!$I$5)</f>
        <v>Negligible</v>
      </c>
      <c r="R62" s="102" t="s">
        <v>130</v>
      </c>
      <c r="S62" s="128">
        <f t="shared" si="57"/>
        <v>3</v>
      </c>
      <c r="T62" s="106" cm="1">
        <f t="array" ref="T62">_xlfn.IFS(O62='Risk Matrices'!$D$28,'Risk Matrices'!$D$29,O62='Risk Matrices'!$E$28,'Risk Matrices'!$E$29,O62='Risk Matrices'!$F$28,'Risk Matrices'!$F$29,O62='Risk Matrices'!$G$28,'Risk Matrices'!$G$29,O62='Risk Matrices'!$H$28,'Risk Matrices'!$H$29)</f>
        <v>2</v>
      </c>
      <c r="U62" s="128">
        <f t="shared" si="58"/>
        <v>1</v>
      </c>
      <c r="V62" s="106">
        <f t="shared" ref="V62:V67" si="65">IF(R62="None",0,IF(R62="Negligible",1,IF(R62="Marginal",2,IF(R62="Significant",3,IF(R62="Critical",4,IF(R62="Crisis",5))))))</f>
        <v>0</v>
      </c>
      <c r="W62" s="106">
        <f t="shared" si="59"/>
        <v>2</v>
      </c>
      <c r="X62" s="128">
        <f t="shared" si="60"/>
        <v>6</v>
      </c>
      <c r="Y62" s="107" t="str">
        <f t="shared" si="61"/>
        <v>Low</v>
      </c>
      <c r="Z62" s="121"/>
      <c r="AA62" s="136">
        <f t="shared" si="62"/>
        <v>0.32</v>
      </c>
      <c r="AB62" s="137">
        <f t="shared" si="63"/>
        <v>320</v>
      </c>
      <c r="AC62" s="137" t="s">
        <v>155</v>
      </c>
      <c r="AD62" s="104" t="s">
        <v>555</v>
      </c>
      <c r="AE62" s="104"/>
      <c r="AF62" s="101" t="s">
        <v>134</v>
      </c>
      <c r="AG62" s="101"/>
      <c r="AH62" s="101" t="s">
        <v>556</v>
      </c>
      <c r="AI62" s="112">
        <v>0.3</v>
      </c>
      <c r="AJ62" s="127">
        <v>1000</v>
      </c>
      <c r="AK62" s="127">
        <v>1500</v>
      </c>
      <c r="AL62" s="127">
        <v>2000</v>
      </c>
      <c r="AM62" s="143">
        <v>0</v>
      </c>
      <c r="AN62" s="143">
        <v>0</v>
      </c>
      <c r="AO62" s="143">
        <v>6</v>
      </c>
      <c r="AP62" s="112" t="str">
        <f>IF(OR(ISBLANK(AI62),AI62=0),"INSERT LIKELIHOOD",IF(ABS(AI62)&lt;='Risk Matrices'!$D$22,'Risk Matrices'!$C$21,IF(ABS(AI62)&lt;='Risk Matrices'!$D$19,'Risk Matrices'!$C$18,IF(ABS(AI62)&lt;='Risk Matrices'!$D$16,'Risk Matrices'!$C$15,IF(ABS(AI62)&lt;='Risk Matrices'!$D$13,'Risk Matrices'!$C$12,'Risk Matrices'!$C$10)))))</f>
        <v>Moderate</v>
      </c>
      <c r="AQ62" s="112" t="str">
        <f>IF(OR(ISBLANK(AK62),AK62=0),"None",IF(ABS(AK62)&lt;='Risk Matrices'!$E$7,'Risk Matrices'!$E$5,IF(ABS(AK62)&lt;='Risk Matrices'!$G$7,'Risk Matrices'!$G$5,IF(ABS(AK62)&lt;='Risk Matrices'!$H$7,'Risk Matrices'!$H$5,'Risk Matrices'!$I$5))))</f>
        <v>Significant</v>
      </c>
      <c r="AR62" s="112" t="str">
        <f>IF(AN62="","",IF(ABS(AN62)&lt;='Risk Matrices'!$E$8,"Negligible",IF(ABS(AN62)&lt;='Risk Matrices'!$F$8,"Marginal",IF(ABS(AN62)&lt;='Risk Matrices'!$G$8,"Significant",IF(ABS(AN62)&lt;='Risk Matrices'!$H$8,"Critical","Crisis")))))</f>
        <v>Negligible</v>
      </c>
      <c r="AS62" s="103" t="s">
        <v>280</v>
      </c>
      <c r="AT62" s="298">
        <f>IF(OR(ISBLANK(AI62),AI62=0),0,VLOOKUP(AP62,'Risk Matrices'!$B$30:$C$34,2,0))</f>
        <v>3</v>
      </c>
      <c r="AU62" s="298">
        <f>IF(OR(ISBLANK(AK62),AK62=0),0,HLOOKUP(AQ62,'Risk Matrices'!$D$28:$H$29,2,0))</f>
        <v>3</v>
      </c>
      <c r="AV62" s="298">
        <f>IF(OR(ISBLANK(AR62),AR62=0),0,HLOOKUP(AR62,'Risk Matrices'!$D$28:$H$29,2,0))</f>
        <v>1</v>
      </c>
      <c r="AW62" s="298">
        <f>IF(OR(ISBLANK(AS62),AS62=0),0,HLOOKUP(AS62,'Risk Matrices'!$D$28:$H$29,2,0))</f>
        <v>2</v>
      </c>
      <c r="AX62" s="106">
        <f t="shared" si="48"/>
        <v>3</v>
      </c>
      <c r="AY62" s="106">
        <f t="shared" si="49"/>
        <v>9</v>
      </c>
      <c r="AZ62" s="107" t="str">
        <f>IF(B62="Retired","Retired",IF(OR(ISBLANK(AY62),AY62=0),"TBD",IF(AY62&lt;='Risk Matrices'!$D$40,'Risk Matrices'!$B$40,IF(AY62&lt;='Risk Matrices'!$D$39,'Risk Matrices'!$B$39,'Risk Matrices'!$B$38))))</f>
        <v>Moderate</v>
      </c>
      <c r="BA62" s="150"/>
      <c r="BB62" s="104" t="s">
        <v>366</v>
      </c>
      <c r="BC62" s="109">
        <f t="shared" si="50"/>
        <v>450</v>
      </c>
      <c r="BD62" s="932">
        <v>45320</v>
      </c>
      <c r="BE62" s="114"/>
      <c r="BF62" s="115"/>
      <c r="BG62" s="115"/>
      <c r="BH62" s="115"/>
      <c r="BI62" s="115"/>
      <c r="BJ62" s="874">
        <f t="shared" si="51"/>
        <v>450</v>
      </c>
      <c r="BK62" s="101"/>
      <c r="BL62" s="101"/>
      <c r="BM62" s="116">
        <v>44012</v>
      </c>
      <c r="BN62" s="330">
        <v>44134</v>
      </c>
      <c r="BO62" s="332"/>
      <c r="BP62" s="94">
        <f t="shared" si="52"/>
        <v>450</v>
      </c>
      <c r="BQ62" s="97" t="str">
        <f t="shared" si="53"/>
        <v>1000 - 1500 - 2000</v>
      </c>
      <c r="BR62" s="97" t="str">
        <f t="shared" si="54"/>
        <v>0 - 0 - 6</v>
      </c>
      <c r="BS62" s="715">
        <f t="shared" si="64"/>
        <v>450</v>
      </c>
      <c r="BT62" s="736">
        <f t="shared" si="55"/>
        <v>0.6</v>
      </c>
      <c r="BU62" s="735" t="s">
        <v>557</v>
      </c>
      <c r="BV62" s="873">
        <v>45382</v>
      </c>
      <c r="BW62">
        <f t="shared" si="56"/>
        <v>1248</v>
      </c>
    </row>
    <row r="63" spans="2:75" customFormat="1" ht="50" hidden="1" customHeight="1" x14ac:dyDescent="0.2">
      <c r="B63" s="101" t="str">
        <f t="shared" si="36"/>
        <v>Active</v>
      </c>
      <c r="C63" s="784" t="s">
        <v>558</v>
      </c>
      <c r="D63" s="101" t="s">
        <v>151</v>
      </c>
      <c r="E63" s="132" t="s">
        <v>526</v>
      </c>
      <c r="F63" s="148" t="s">
        <v>124</v>
      </c>
      <c r="G63" s="128" t="s">
        <v>527</v>
      </c>
      <c r="H63" s="128" t="str">
        <f>C63</f>
        <v>RT-6-004-004</v>
      </c>
      <c r="I63" s="132" t="s">
        <v>179</v>
      </c>
      <c r="J63" s="131" t="s">
        <v>559</v>
      </c>
      <c r="K63" s="103" t="s">
        <v>560</v>
      </c>
      <c r="L63" s="104" t="s">
        <v>561</v>
      </c>
      <c r="M63" s="132" t="s">
        <v>164</v>
      </c>
      <c r="N63" s="134">
        <v>500</v>
      </c>
      <c r="O63" s="106" t="str" cm="1">
        <f t="array" ref="O63">_xlfn.IFS(N63="","",ABS(N63)&lt;='Risk Matrices'!$E$7,'Risk Matrices'!$E$5,ABS(N63)&lt;='Risk Matrices'!$F$7,'Risk Matrices'!$F$5,ABS(N63)&lt;='Risk Matrices'!$G$7,'Risk Matrices'!$G$5,ABS(N63)&lt;='Risk Matrices'!$H$7,'Risk Matrices'!$H$5,ABS(N63)&gt;'Risk Matrices'!$H$7,'Risk Matrices'!$I$5)</f>
        <v>Marginal</v>
      </c>
      <c r="P63" s="128">
        <v>0</v>
      </c>
      <c r="Q63" s="101" t="str" cm="1">
        <f t="array" ref="Q63">_xlfn.IFS(P63="","",ABS(P63)&lt;='Risk Matrices'!$E$8,'Risk Matrices'!$E$5,ABS(P63)&lt;='Risk Matrices'!$F$8,'Risk Matrices'!$F$5,ABS(P63)&lt;='Risk Matrices'!$G$8,'Risk Matrices'!$G$5,ABS(P63)&lt;='Risk Matrices'!$H$8,'Risk Matrices'!$H$5,ABS(P63)&gt;'Risk Matrices'!$H$8,'Risk Matrices'!$I$5)</f>
        <v>Negligible</v>
      </c>
      <c r="R63" s="131" t="s">
        <v>307</v>
      </c>
      <c r="S63" s="128">
        <f t="shared" si="57"/>
        <v>2</v>
      </c>
      <c r="T63" s="106" cm="1">
        <f t="array" ref="T63">_xlfn.IFS(O63='Risk Matrices'!$D$28,'Risk Matrices'!$D$29,O63='Risk Matrices'!$E$28,'Risk Matrices'!$E$29,O63='Risk Matrices'!$F$28,'Risk Matrices'!$F$29,O63='Risk Matrices'!$G$28,'Risk Matrices'!$G$29,O63='Risk Matrices'!$H$28,'Risk Matrices'!$H$29)</f>
        <v>2</v>
      </c>
      <c r="U63" s="128">
        <f t="shared" si="58"/>
        <v>1</v>
      </c>
      <c r="V63" s="106">
        <f t="shared" si="65"/>
        <v>3</v>
      </c>
      <c r="W63" s="106">
        <f t="shared" si="59"/>
        <v>3</v>
      </c>
      <c r="X63" s="128">
        <f t="shared" si="60"/>
        <v>6</v>
      </c>
      <c r="Y63" s="107" t="str">
        <f t="shared" si="61"/>
        <v>Low</v>
      </c>
      <c r="Z63" s="121"/>
      <c r="AA63" s="136">
        <f t="shared" si="62"/>
        <v>0.17</v>
      </c>
      <c r="AB63" s="137">
        <f t="shared" si="63"/>
        <v>85</v>
      </c>
      <c r="AC63" s="137" t="s">
        <v>155</v>
      </c>
      <c r="AD63" s="121" t="s">
        <v>562</v>
      </c>
      <c r="AE63" s="121"/>
      <c r="AF63" s="101" t="s">
        <v>134</v>
      </c>
      <c r="AG63" s="101"/>
      <c r="AH63" s="101" t="s">
        <v>563</v>
      </c>
      <c r="AI63" s="150">
        <v>0.2</v>
      </c>
      <c r="AJ63" s="151">
        <v>250</v>
      </c>
      <c r="AK63" s="151">
        <v>500</v>
      </c>
      <c r="AL63" s="151">
        <v>750</v>
      </c>
      <c r="AM63" s="151">
        <v>0</v>
      </c>
      <c r="AN63" s="151">
        <v>0</v>
      </c>
      <c r="AO63" s="151">
        <v>0</v>
      </c>
      <c r="AP63" s="112" t="str">
        <f>IF(OR(ISBLANK(AI63),AI63=0),"INSERT LIKELIHOOD",IF(ABS(AI63)&lt;='Risk Matrices'!$D$22,'Risk Matrices'!$C$21,IF(ABS(AI63)&lt;='Risk Matrices'!$D$19,'Risk Matrices'!$C$18,IF(ABS(AI63)&lt;='Risk Matrices'!$D$16,'Risk Matrices'!$C$15,IF(ABS(AI63)&lt;='Risk Matrices'!$D$13,'Risk Matrices'!$C$12,'Risk Matrices'!$C$10)))))</f>
        <v>Low</v>
      </c>
      <c r="AQ63" s="112" t="str">
        <f>IF(OR(ISBLANK(AK63),AK63=0),"None",IF(ABS(AK63)&lt;='Risk Matrices'!$E$7,'Risk Matrices'!$E$5,IF(ABS(AK63)&lt;='Risk Matrices'!$G$7,'Risk Matrices'!$G$5,IF(ABS(AK63)&lt;='Risk Matrices'!$H$7,'Risk Matrices'!$H$5,'Risk Matrices'!$I$5))))</f>
        <v>Significant</v>
      </c>
      <c r="AR63" s="112" t="str">
        <f>IF(AN63="","",IF(ABS(AN63)&lt;='Risk Matrices'!$E$8,"Negligible",IF(ABS(AN63)&lt;='Risk Matrices'!$F$8,"Marginal",IF(ABS(AN63)&lt;='Risk Matrices'!$G$8,"Significant",IF(ABS(AN63)&lt;='Risk Matrices'!$H$8,"Critical","Crisis")))))</f>
        <v>Negligible</v>
      </c>
      <c r="AS63" s="131" t="s">
        <v>307</v>
      </c>
      <c r="AT63" s="298">
        <f>IF(OR(ISBLANK(AI63),AI63=0),0,VLOOKUP(AP63,'Risk Matrices'!$B$30:$C$34,2,0))</f>
        <v>2</v>
      </c>
      <c r="AU63" s="298">
        <f>IF(OR(ISBLANK(AK63),AK63=0),0,HLOOKUP(AQ63,'Risk Matrices'!$D$28:$H$29,2,0))</f>
        <v>3</v>
      </c>
      <c r="AV63" s="298">
        <f>IF(OR(ISBLANK(AR63),AR63=0),0,HLOOKUP(AR63,'Risk Matrices'!$D$28:$H$29,2,0))</f>
        <v>1</v>
      </c>
      <c r="AW63" s="298">
        <f>IF(OR(ISBLANK(AS63),AS63=0),0,HLOOKUP(AS63,'Risk Matrices'!$D$28:$H$29,2,0))</f>
        <v>3</v>
      </c>
      <c r="AX63" s="106">
        <f t="shared" si="48"/>
        <v>3</v>
      </c>
      <c r="AY63" s="106">
        <f t="shared" si="49"/>
        <v>6</v>
      </c>
      <c r="AZ63" s="107" t="str">
        <f>IF(B63="Retired","Retired",IF(OR(ISBLANK(AY63),AY63=0),"TBD",IF(AY63&lt;='Risk Matrices'!$D$40,'Risk Matrices'!$B$40,IF(AY63&lt;='Risk Matrices'!$D$39,'Risk Matrices'!$B$39,'Risk Matrices'!$B$38))))</f>
        <v>Low</v>
      </c>
      <c r="BA63" s="150"/>
      <c r="BB63" s="101" t="s">
        <v>366</v>
      </c>
      <c r="BC63" s="109">
        <f t="shared" si="50"/>
        <v>100</v>
      </c>
      <c r="BD63" s="929">
        <v>45320</v>
      </c>
      <c r="BE63" s="114"/>
      <c r="BF63" s="142"/>
      <c r="BG63" s="115"/>
      <c r="BH63" s="115"/>
      <c r="BI63" s="115"/>
      <c r="BJ63" s="874">
        <f t="shared" si="51"/>
        <v>100</v>
      </c>
      <c r="BK63" s="101"/>
      <c r="BL63" s="101"/>
      <c r="BM63" s="116">
        <v>44012</v>
      </c>
      <c r="BN63" s="330">
        <v>44134</v>
      </c>
      <c r="BO63" s="332"/>
      <c r="BP63" s="94">
        <f t="shared" si="52"/>
        <v>100</v>
      </c>
      <c r="BQ63" s="97" t="str">
        <f t="shared" si="53"/>
        <v>250 - 500 - 750</v>
      </c>
      <c r="BR63" s="97" t="str">
        <f t="shared" si="54"/>
        <v>0 - 0 - 0</v>
      </c>
      <c r="BS63" s="715">
        <f t="shared" si="64"/>
        <v>100</v>
      </c>
      <c r="BT63" s="736">
        <f t="shared" si="55"/>
        <v>0</v>
      </c>
      <c r="BU63" s="735" t="s">
        <v>564</v>
      </c>
      <c r="BV63" s="873">
        <v>45382</v>
      </c>
      <c r="BW63">
        <f t="shared" si="56"/>
        <v>1248</v>
      </c>
    </row>
    <row r="64" spans="2:75" customFormat="1" ht="80" hidden="1" x14ac:dyDescent="0.2">
      <c r="B64" s="101" t="str">
        <f t="shared" si="36"/>
        <v>Retired</v>
      </c>
      <c r="C64" s="784" t="s">
        <v>565</v>
      </c>
      <c r="D64" s="101" t="s">
        <v>151</v>
      </c>
      <c r="E64" s="132" t="s">
        <v>526</v>
      </c>
      <c r="F64" s="148" t="s">
        <v>124</v>
      </c>
      <c r="G64" s="128" t="s">
        <v>527</v>
      </c>
      <c r="H64" s="128"/>
      <c r="I64" s="139" t="s">
        <v>417</v>
      </c>
      <c r="J64" s="102" t="s">
        <v>409</v>
      </c>
      <c r="K64" s="153" t="s">
        <v>566</v>
      </c>
      <c r="L64" s="121" t="s">
        <v>567</v>
      </c>
      <c r="M64" s="126" t="s">
        <v>141</v>
      </c>
      <c r="N64" s="134">
        <v>2000</v>
      </c>
      <c r="O64" s="106" t="str" cm="1">
        <f t="array" ref="O64">_xlfn.IFS(N64="","",ABS(N64)&lt;='Risk Matrices'!$E$7,'Risk Matrices'!$E$5,ABS(N64)&lt;='Risk Matrices'!$F$7,'Risk Matrices'!$F$5,ABS(N64)&lt;='Risk Matrices'!$G$7,'Risk Matrices'!$G$5,ABS(N64)&lt;='Risk Matrices'!$H$7,'Risk Matrices'!$H$5,ABS(N64)&gt;'Risk Matrices'!$H$7,'Risk Matrices'!$I$5)</f>
        <v>Significant</v>
      </c>
      <c r="P64" s="126">
        <v>0</v>
      </c>
      <c r="Q64" s="101" t="str">
        <f>IF(P64="","",IF(P64&lt;=3,"Negligible",IF(P64&lt;=6,"Marginal",IF(P64&lt;=12,"Significant",IF(P64&lt;=18,"Critical","Crisis")))))</f>
        <v>Negligible</v>
      </c>
      <c r="R64" s="102" t="s">
        <v>130</v>
      </c>
      <c r="S64" s="128">
        <f t="shared" si="57"/>
        <v>3</v>
      </c>
      <c r="T64" s="106" cm="1">
        <f t="array" ref="T64">_xlfn.IFS(O64='Risk Matrices'!$D$28,'Risk Matrices'!$D$29,O64='Risk Matrices'!$E$28,'Risk Matrices'!$E$29,O64='Risk Matrices'!$F$28,'Risk Matrices'!$F$29,O64='Risk Matrices'!$G$28,'Risk Matrices'!$G$29,O64='Risk Matrices'!$H$28,'Risk Matrices'!$H$29)</f>
        <v>3</v>
      </c>
      <c r="U64" s="128">
        <f t="shared" si="58"/>
        <v>1</v>
      </c>
      <c r="V64" s="106">
        <f t="shared" si="65"/>
        <v>0</v>
      </c>
      <c r="W64" s="106">
        <f t="shared" si="59"/>
        <v>3</v>
      </c>
      <c r="X64" s="128">
        <f t="shared" si="60"/>
        <v>9</v>
      </c>
      <c r="Y64" s="135" t="str">
        <f t="shared" si="61"/>
        <v>Moderate</v>
      </c>
      <c r="Z64" s="121"/>
      <c r="AA64" s="136">
        <f t="shared" si="62"/>
        <v>0.32</v>
      </c>
      <c r="AB64" s="137">
        <f t="shared" si="63"/>
        <v>640</v>
      </c>
      <c r="AC64" s="137" t="s">
        <v>155</v>
      </c>
      <c r="AD64" s="149" t="s">
        <v>568</v>
      </c>
      <c r="AE64" s="149"/>
      <c r="AF64" s="101" t="s">
        <v>134</v>
      </c>
      <c r="AG64" s="101"/>
      <c r="AH64" s="750" t="s">
        <v>556</v>
      </c>
      <c r="AI64" s="881">
        <v>0.3</v>
      </c>
      <c r="AJ64" s="101">
        <v>1500</v>
      </c>
      <c r="AK64" s="101">
        <v>2500</v>
      </c>
      <c r="AL64" s="101">
        <v>3500</v>
      </c>
      <c r="AM64" s="128">
        <v>0</v>
      </c>
      <c r="AN64" s="128">
        <v>0</v>
      </c>
      <c r="AO64" s="128">
        <v>6</v>
      </c>
      <c r="AP64" s="112" t="str">
        <f>IF(OR(ISBLANK(AI64),AI64=0),"INSERT LIKELIHOOD",IF(ABS(AI64)&lt;='Risk Matrices'!$D$22,'Risk Matrices'!$C$21,IF(ABS(AI64)&lt;='Risk Matrices'!$D$19,'Risk Matrices'!$C$18,IF(ABS(AI64)&lt;='Risk Matrices'!$D$16,'Risk Matrices'!$C$15,IF(ABS(AI64)&lt;='Risk Matrices'!$D$13,'Risk Matrices'!$C$12,'Risk Matrices'!$C$10)))))</f>
        <v>Moderate</v>
      </c>
      <c r="AQ64" s="112" t="str">
        <f>IF(OR(ISBLANK(AK64),AK64=0),"None",IF(ABS(AK64)&lt;='Risk Matrices'!$E$7,'Risk Matrices'!$E$5,IF(ABS(AK64)&lt;='Risk Matrices'!$G$7,'Risk Matrices'!$G$5,IF(ABS(AK64)&lt;='Risk Matrices'!$H$7,'Risk Matrices'!$H$5,'Risk Matrices'!$I$5))))</f>
        <v>Significant</v>
      </c>
      <c r="AR64" s="112" t="str">
        <f>IF(AN64="","",IF(ABS(AN64)&lt;='Risk Matrices'!$E$8,"Negligible",IF(ABS(AN64)&lt;='Risk Matrices'!$F$8,"Marginal",IF(ABS(AN64)&lt;='Risk Matrices'!$G$8,"Significant",IF(ABS(AN64)&lt;='Risk Matrices'!$H$8,"Critical","Crisis")))))</f>
        <v>Negligible</v>
      </c>
      <c r="AS64" s="132" t="s">
        <v>207</v>
      </c>
      <c r="AT64" s="298">
        <f>IF(OR(ISBLANK(AI64),AI64=0),0,VLOOKUP(AP64,'Risk Matrices'!$B$30:$C$34,2,0))</f>
        <v>3</v>
      </c>
      <c r="AU64" s="298">
        <f>IF(OR(ISBLANK(AK64),AK64=0),0,HLOOKUP(AQ64,'Risk Matrices'!$D$28:$H$29,2,0))</f>
        <v>3</v>
      </c>
      <c r="AV64" s="298">
        <f>IF(OR(ISBLANK(AR64),AR64=0),0,HLOOKUP(AR64,'Risk Matrices'!$D$28:$H$29,2,0))</f>
        <v>1</v>
      </c>
      <c r="AW64" s="298">
        <f>IF(OR(ISBLANK(AS64),AS64=0),0,HLOOKUP(AS64,'Risk Matrices'!$D$28:$H$29,2,0))</f>
        <v>1</v>
      </c>
      <c r="AX64" s="106">
        <f t="shared" si="48"/>
        <v>3</v>
      </c>
      <c r="AY64" s="106">
        <f t="shared" si="49"/>
        <v>9</v>
      </c>
      <c r="AZ64" s="107" t="str">
        <f>IF(B64="Retired","Retired",IF(OR(ISBLANK(AY64),AY64=0),"TBD",IF(AY64&lt;='Risk Matrices'!$D$40,'Risk Matrices'!$B$40,IF(AY64&lt;='Risk Matrices'!$D$39,'Risk Matrices'!$B$39,'Risk Matrices'!$B$38))))</f>
        <v>Retired</v>
      </c>
      <c r="BA64" s="121"/>
      <c r="BB64" s="101" t="s">
        <v>366</v>
      </c>
      <c r="BC64" s="109" t="str">
        <f t="shared" si="50"/>
        <v>Retired</v>
      </c>
      <c r="BD64" s="116">
        <v>45320</v>
      </c>
      <c r="BE64" s="104"/>
      <c r="BF64" s="104"/>
      <c r="BG64" s="930" t="s">
        <v>569</v>
      </c>
      <c r="BH64" s="104"/>
      <c r="BI64" s="104"/>
      <c r="BJ64" s="874">
        <f t="shared" si="51"/>
        <v>750</v>
      </c>
      <c r="BK64" s="101" t="s">
        <v>311</v>
      </c>
      <c r="BL64" s="116">
        <v>45320</v>
      </c>
      <c r="BM64" s="116">
        <v>44012</v>
      </c>
      <c r="BN64" s="116">
        <v>44134</v>
      </c>
      <c r="BO64" s="332"/>
      <c r="BP64" s="94">
        <f t="shared" si="52"/>
        <v>750</v>
      </c>
      <c r="BQ64" s="97" t="str">
        <f t="shared" si="53"/>
        <v>1500 - 2500 - 3500</v>
      </c>
      <c r="BR64" s="97" t="str">
        <f t="shared" si="54"/>
        <v>0 - 0 - 6</v>
      </c>
      <c r="BS64" s="715">
        <f t="shared" si="64"/>
        <v>750</v>
      </c>
      <c r="BT64" s="736">
        <f t="shared" si="55"/>
        <v>0.6</v>
      </c>
      <c r="BU64" s="689" t="s">
        <v>570</v>
      </c>
      <c r="BV64" s="873">
        <v>45260</v>
      </c>
      <c r="BW64">
        <f t="shared" si="56"/>
        <v>1126</v>
      </c>
    </row>
    <row r="65" spans="2:75" customFormat="1" ht="68" hidden="1" customHeight="1" x14ac:dyDescent="0.2">
      <c r="B65" s="101" t="str">
        <f t="shared" si="36"/>
        <v>Active</v>
      </c>
      <c r="C65" s="785" t="s">
        <v>571</v>
      </c>
      <c r="D65" s="101" t="s">
        <v>151</v>
      </c>
      <c r="E65" s="815" t="s">
        <v>526</v>
      </c>
      <c r="F65" s="102" t="s">
        <v>124</v>
      </c>
      <c r="G65" s="106" t="s">
        <v>527</v>
      </c>
      <c r="H65" s="691" t="str">
        <f>C65</f>
        <v>RT-6-004-006-LLP-CD3B</v>
      </c>
      <c r="I65" s="106" t="s">
        <v>360</v>
      </c>
      <c r="J65" s="103" t="s">
        <v>475</v>
      </c>
      <c r="K65" s="101" t="s">
        <v>572</v>
      </c>
      <c r="L65" s="104" t="s">
        <v>573</v>
      </c>
      <c r="M65" s="103" t="s">
        <v>129</v>
      </c>
      <c r="N65" s="134">
        <v>1000</v>
      </c>
      <c r="O65" s="106" t="str" cm="1">
        <f t="array" ref="O65">_xlfn.IFS(N65="","",ABS(N65)&lt;='Risk Matrices'!$E$7,'Risk Matrices'!$E$5,ABS(N65)&lt;='Risk Matrices'!$F$7,'Risk Matrices'!$F$5,ABS(N65)&lt;='Risk Matrices'!$G$7,'Risk Matrices'!$G$5,ABS(N65)&lt;='Risk Matrices'!$H$7,'Risk Matrices'!$H$5,ABS(N65)&gt;'Risk Matrices'!$H$7,'Risk Matrices'!$I$5)</f>
        <v>Marginal</v>
      </c>
      <c r="P65" s="128">
        <v>18</v>
      </c>
      <c r="Q65" s="101" t="str" cm="1">
        <f t="array" ref="Q65">_xlfn.IFS(P65="","",ABS(P65)&lt;='Risk Matrices'!$E$8,'Risk Matrices'!$E$5,ABS(P65)&lt;='Risk Matrices'!$F$8,'Risk Matrices'!$F$5,ABS(P65)&lt;='Risk Matrices'!$G$8,'Risk Matrices'!$G$5,ABS(P65)&lt;='Risk Matrices'!$H$8,'Risk Matrices'!$H$5,ABS(P65)&gt;'Risk Matrices'!$H$8,'Risk Matrices'!$I$5)</f>
        <v>Critical</v>
      </c>
      <c r="R65" s="101" t="s">
        <v>307</v>
      </c>
      <c r="S65" s="106">
        <f t="shared" si="57"/>
        <v>4</v>
      </c>
      <c r="T65" s="106" cm="1">
        <f t="array" ref="T65">_xlfn.IFS(O65='Risk Matrices'!$D$28,'Risk Matrices'!$D$29,O65='Risk Matrices'!$E$28,'Risk Matrices'!$E$29,O65='Risk Matrices'!$F$28,'Risk Matrices'!$F$29,O65='Risk Matrices'!$G$28,'Risk Matrices'!$G$29,O65='Risk Matrices'!$H$28,'Risk Matrices'!$H$29)</f>
        <v>2</v>
      </c>
      <c r="U65" s="128">
        <f t="shared" si="58"/>
        <v>4</v>
      </c>
      <c r="V65" s="106">
        <f t="shared" si="65"/>
        <v>3</v>
      </c>
      <c r="W65" s="106">
        <f t="shared" si="59"/>
        <v>4</v>
      </c>
      <c r="X65" s="128">
        <f t="shared" si="60"/>
        <v>16</v>
      </c>
      <c r="Y65" s="107" t="str">
        <f t="shared" si="61"/>
        <v>High</v>
      </c>
      <c r="Z65" s="121"/>
      <c r="AA65" s="136">
        <f t="shared" si="62"/>
        <v>0.52</v>
      </c>
      <c r="AB65" s="137">
        <f t="shared" si="63"/>
        <v>520</v>
      </c>
      <c r="AC65" s="137" t="s">
        <v>155</v>
      </c>
      <c r="AD65" s="104" t="s">
        <v>574</v>
      </c>
      <c r="AE65" s="104"/>
      <c r="AF65" s="815" t="s">
        <v>575</v>
      </c>
      <c r="AG65" s="103"/>
      <c r="AH65" s="927" t="s">
        <v>576</v>
      </c>
      <c r="AI65" s="883">
        <v>0.4</v>
      </c>
      <c r="AJ65" s="148">
        <v>500</v>
      </c>
      <c r="AK65" s="148">
        <v>750</v>
      </c>
      <c r="AL65" s="148">
        <v>1000</v>
      </c>
      <c r="AM65" s="148">
        <v>6</v>
      </c>
      <c r="AN65" s="148">
        <v>9</v>
      </c>
      <c r="AO65" s="148">
        <v>18</v>
      </c>
      <c r="AP65" s="112" t="str">
        <f>IF(OR(ISBLANK(AI65),AI65=0),"INSERT LIKELIHOOD",IF(ABS(AI65)&lt;='Risk Matrices'!$D$22,'Risk Matrices'!$C$21,IF(ABS(AI65)&lt;='Risk Matrices'!$D$19,'Risk Matrices'!$C$18,IF(ABS(AI65)&lt;='Risk Matrices'!$D$16,'Risk Matrices'!$C$15,IF(ABS(AI65)&lt;='Risk Matrices'!$D$13,'Risk Matrices'!$C$12,'Risk Matrices'!$C$10)))))</f>
        <v>Moderate</v>
      </c>
      <c r="AQ65" s="112" t="str">
        <f>IF(OR(ISBLANK(AK65),AK65=0),"None",IF(ABS(AK65)&lt;='Risk Matrices'!$E$7,'Risk Matrices'!$E$5,IF(ABS(AK65)&lt;='Risk Matrices'!$G$7,'Risk Matrices'!$G$5,IF(ABS(AK65)&lt;='Risk Matrices'!$H$7,'Risk Matrices'!$H$5,'Risk Matrices'!$I$5))))</f>
        <v>Significant</v>
      </c>
      <c r="AR65" s="112" t="str">
        <f>IF(AN65="","",IF(ABS(AN65)&lt;='Risk Matrices'!$E$8,"Negligible",IF(ABS(AN65)&lt;='Risk Matrices'!$F$8,"Marginal",IF(ABS(AN65)&lt;='Risk Matrices'!$G$8,"Significant",IF(ABS(AN65)&lt;='Risk Matrices'!$H$8,"Critical","Crisis")))))</f>
        <v>Significant</v>
      </c>
      <c r="AS65" s="131" t="s">
        <v>280</v>
      </c>
      <c r="AT65" s="298">
        <f>IF(OR(ISBLANK(AI65),AI65=0),0,VLOOKUP(AP65,'Risk Matrices'!$B$30:$C$34,2,0))</f>
        <v>3</v>
      </c>
      <c r="AU65" s="298">
        <f>IF(OR(ISBLANK(AK65),AK65=0),0,HLOOKUP(AQ65,'Risk Matrices'!$D$28:$H$29,2,0))</f>
        <v>3</v>
      </c>
      <c r="AV65" s="298">
        <f>IF(OR(ISBLANK(AR65),AR65=0),0,HLOOKUP(AR65,'Risk Matrices'!$D$28:$H$29,2,0))</f>
        <v>3</v>
      </c>
      <c r="AW65" s="298">
        <f>IF(OR(ISBLANK(AS65),AS65=0),0,HLOOKUP(AS65,'Risk Matrices'!$D$28:$H$29,2,0))</f>
        <v>2</v>
      </c>
      <c r="AX65" s="106">
        <f t="shared" si="48"/>
        <v>3</v>
      </c>
      <c r="AY65" s="106">
        <f t="shared" si="49"/>
        <v>9</v>
      </c>
      <c r="AZ65" s="967" t="str">
        <f>IF(B65="Retired","Retired",IF(OR(ISBLANK(AY65),AY65=0),"TBD",IF(AY65&lt;='Risk Matrices'!$D$40,'Risk Matrices'!$B$40,IF(AY65&lt;='Risk Matrices'!$D$39,'Risk Matrices'!$B$39,'Risk Matrices'!$B$38))))</f>
        <v>Moderate</v>
      </c>
      <c r="BA65" s="104"/>
      <c r="BB65" s="101" t="s">
        <v>577</v>
      </c>
      <c r="BC65" s="109">
        <f t="shared" si="50"/>
        <v>300</v>
      </c>
      <c r="BD65" s="185">
        <v>45315</v>
      </c>
      <c r="BE65" s="104"/>
      <c r="BF65" s="91"/>
      <c r="BG65" s="335"/>
      <c r="BH65" s="104"/>
      <c r="BI65" s="104"/>
      <c r="BJ65" s="884">
        <f t="shared" si="51"/>
        <v>300</v>
      </c>
      <c r="BK65" s="101"/>
      <c r="BL65" s="101"/>
      <c r="BM65" s="116">
        <v>44852</v>
      </c>
      <c r="BN65" s="330">
        <v>44852</v>
      </c>
      <c r="BO65" s="332"/>
      <c r="BP65" s="94">
        <f t="shared" si="52"/>
        <v>300</v>
      </c>
      <c r="BQ65" s="97" t="str">
        <f t="shared" si="53"/>
        <v>500 - 750 - 1000</v>
      </c>
      <c r="BR65" s="97" t="str">
        <f t="shared" si="54"/>
        <v>6 - 9 - 18</v>
      </c>
      <c r="BS65" s="715">
        <f t="shared" si="64"/>
        <v>300</v>
      </c>
      <c r="BT65" s="736">
        <f t="shared" si="55"/>
        <v>4.4000000000000004</v>
      </c>
      <c r="BU65" s="735" t="s">
        <v>578</v>
      </c>
      <c r="BV65" s="873">
        <v>45382</v>
      </c>
      <c r="BW65">
        <f t="shared" si="56"/>
        <v>530</v>
      </c>
    </row>
    <row r="66" spans="2:75" customFormat="1" ht="50" hidden="1" customHeight="1" x14ac:dyDescent="0.2">
      <c r="B66" s="101" t="str">
        <f t="shared" si="36"/>
        <v>Active</v>
      </c>
      <c r="C66" s="781" t="s">
        <v>579</v>
      </c>
      <c r="D66" s="101" t="s">
        <v>151</v>
      </c>
      <c r="E66" s="103" t="s">
        <v>526</v>
      </c>
      <c r="F66" s="148" t="s">
        <v>580</v>
      </c>
      <c r="G66" s="128" t="s">
        <v>527</v>
      </c>
      <c r="H66" s="101" t="str">
        <f>C66</f>
        <v>RT-6-004-007</v>
      </c>
      <c r="I66" s="139" t="s">
        <v>194</v>
      </c>
      <c r="J66" s="103" t="s">
        <v>126</v>
      </c>
      <c r="K66" s="153" t="s">
        <v>581</v>
      </c>
      <c r="L66" s="751" t="s">
        <v>582</v>
      </c>
      <c r="M66" s="132" t="s">
        <v>164</v>
      </c>
      <c r="N66" s="134">
        <v>600</v>
      </c>
      <c r="O66" s="106" t="str" cm="1">
        <f t="array" ref="O66">_xlfn.IFS(N66="","",ABS(N66)&lt;='Risk Matrices'!$E$7,'Risk Matrices'!$E$5,ABS(N66)&lt;='Risk Matrices'!$F$7,'Risk Matrices'!$F$5,ABS(N66)&lt;='Risk Matrices'!$G$7,'Risk Matrices'!$G$5,ABS(N66)&lt;='Risk Matrices'!$H$7,'Risk Matrices'!$H$5,ABS(N66)&gt;'Risk Matrices'!$H$7,'Risk Matrices'!$I$5)</f>
        <v>Marginal</v>
      </c>
      <c r="P66" s="126">
        <v>0</v>
      </c>
      <c r="Q66" s="101" t="str" cm="1">
        <f t="array" ref="Q66">_xlfn.IFS(P66="","",ABS(P66)&lt;='Risk Matrices'!$E$8,'Risk Matrices'!$E$5,ABS(P66)&lt;='Risk Matrices'!$F$8,'Risk Matrices'!$F$5,ABS(P66)&lt;='Risk Matrices'!$G$8,'Risk Matrices'!$G$5,ABS(P66)&lt;='Risk Matrices'!$H$8,'Risk Matrices'!$H$5,ABS(P66)&gt;'Risk Matrices'!$H$8,'Risk Matrices'!$I$5)</f>
        <v>Negligible</v>
      </c>
      <c r="R66" s="102" t="s">
        <v>130</v>
      </c>
      <c r="S66" s="128">
        <f t="shared" si="57"/>
        <v>2</v>
      </c>
      <c r="T66" s="106" cm="1">
        <f t="array" ref="T66">_xlfn.IFS(O66='Risk Matrices'!$D$28,'Risk Matrices'!$D$29,O66='Risk Matrices'!$E$28,'Risk Matrices'!$E$29,O66='Risk Matrices'!$F$28,'Risk Matrices'!$F$29,O66='Risk Matrices'!$G$28,'Risk Matrices'!$G$29,O66='Risk Matrices'!$H$28,'Risk Matrices'!$H$29)</f>
        <v>2</v>
      </c>
      <c r="U66" s="128">
        <f t="shared" si="58"/>
        <v>1</v>
      </c>
      <c r="V66" s="106">
        <f t="shared" si="65"/>
        <v>0</v>
      </c>
      <c r="W66" s="106">
        <f t="shared" si="59"/>
        <v>2</v>
      </c>
      <c r="X66" s="128">
        <f t="shared" si="60"/>
        <v>4</v>
      </c>
      <c r="Y66" s="107" t="str">
        <f t="shared" si="61"/>
        <v>Low</v>
      </c>
      <c r="Z66" s="121"/>
      <c r="AA66" s="136">
        <f t="shared" si="62"/>
        <v>0.17</v>
      </c>
      <c r="AB66" s="137">
        <f t="shared" si="63"/>
        <v>102.00000000000001</v>
      </c>
      <c r="AC66" s="137" t="s">
        <v>155</v>
      </c>
      <c r="AD66" s="95" t="s">
        <v>583</v>
      </c>
      <c r="AE66" s="95"/>
      <c r="AF66" s="101" t="s">
        <v>134</v>
      </c>
      <c r="AG66" s="101"/>
      <c r="AH66" s="103" t="s">
        <v>175</v>
      </c>
      <c r="AI66" s="881">
        <v>0.05</v>
      </c>
      <c r="AJ66" s="101">
        <v>500</v>
      </c>
      <c r="AK66" s="101">
        <v>600</v>
      </c>
      <c r="AL66" s="101">
        <v>700</v>
      </c>
      <c r="AM66" s="128">
        <v>0</v>
      </c>
      <c r="AN66" s="128">
        <v>0</v>
      </c>
      <c r="AO66" s="128">
        <v>0</v>
      </c>
      <c r="AP66" s="112" t="str">
        <f>IF(OR(ISBLANK(AI66),AI66=0),"INSERT LIKELIHOOD",IF(ABS(AI66)&lt;='Risk Matrices'!$D$22,'Risk Matrices'!$C$21,IF(ABS(AI66)&lt;='Risk Matrices'!$D$19,'Risk Matrices'!$C$18,IF(ABS(AI66)&lt;='Risk Matrices'!$D$16,'Risk Matrices'!$C$15,IF(ABS(AI66)&lt;='Risk Matrices'!$D$13,'Risk Matrices'!$C$12,'Risk Matrices'!$C$10)))))</f>
        <v>Very Low</v>
      </c>
      <c r="AQ66" s="112" t="str">
        <f>IF(OR(ISBLANK(AK66),AK66=0),"None",IF(ABS(AK66)&lt;='Risk Matrices'!$E$7,'Risk Matrices'!$E$5,IF(ABS(AK66)&lt;='Risk Matrices'!$G$7,'Risk Matrices'!$G$5,IF(ABS(AK66)&lt;='Risk Matrices'!$H$7,'Risk Matrices'!$H$5,'Risk Matrices'!$I$5))))</f>
        <v>Significant</v>
      </c>
      <c r="AR66" s="112" t="str">
        <f>IF(AN66="","",IF(ABS(AN66)&lt;='Risk Matrices'!$E$8,"Negligible",IF(ABS(AN66)&lt;='Risk Matrices'!$F$8,"Marginal",IF(ABS(AN66)&lt;='Risk Matrices'!$G$8,"Significant",IF(ABS(AN66)&lt;='Risk Matrices'!$H$8,"Critical","Crisis")))))</f>
        <v>Negligible</v>
      </c>
      <c r="AS66" s="103" t="s">
        <v>130</v>
      </c>
      <c r="AT66" s="298">
        <f>IF(OR(ISBLANK(AI66),AI66=0),0,VLOOKUP(AP66,'Risk Matrices'!$B$30:$C$34,2,0))</f>
        <v>1</v>
      </c>
      <c r="AU66" s="298">
        <f>IF(OR(ISBLANK(AK66),AK66=0),0,HLOOKUP(AQ66,'Risk Matrices'!$D$28:$H$29,2,0))</f>
        <v>3</v>
      </c>
      <c r="AV66" s="298">
        <f>IF(OR(ISBLANK(AR66),AR66=0),0,HLOOKUP(AR66,'Risk Matrices'!$D$28:$H$29,2,0))</f>
        <v>1</v>
      </c>
      <c r="AW66" s="298">
        <f>IF(AS66="None",0,HLOOKUP(AS66,'Risk Matrices'!$D$28:$H$29,2,0))</f>
        <v>0</v>
      </c>
      <c r="AX66" s="106">
        <f t="shared" si="48"/>
        <v>3</v>
      </c>
      <c r="AY66" s="106">
        <f t="shared" si="49"/>
        <v>3</v>
      </c>
      <c r="AZ66" s="107" t="str">
        <f>IF(B66="Retired","Retired",IF(OR(ISBLANK(AY66),AY66=0),"TBD",IF(AY66&lt;='Risk Matrices'!$D$40,'Risk Matrices'!$B$40,IF(AY66&lt;='Risk Matrices'!$D$39,'Risk Matrices'!$B$39,'Risk Matrices'!$B$38))))</f>
        <v>Low</v>
      </c>
      <c r="BA66" s="121"/>
      <c r="BB66" s="291" t="s">
        <v>584</v>
      </c>
      <c r="BC66" s="109">
        <f t="shared" si="50"/>
        <v>30</v>
      </c>
      <c r="BD66" s="932">
        <v>45315</v>
      </c>
      <c r="BE66" s="104"/>
      <c r="BF66" s="104"/>
      <c r="BG66" s="104"/>
      <c r="BH66" s="104"/>
      <c r="BI66" s="104"/>
      <c r="BJ66" s="874">
        <f t="shared" si="51"/>
        <v>30</v>
      </c>
      <c r="BK66" s="101"/>
      <c r="BL66" s="101"/>
      <c r="BM66" s="116">
        <v>45170</v>
      </c>
      <c r="BN66" s="330">
        <v>45203</v>
      </c>
      <c r="BO66" s="332"/>
      <c r="BP66" s="94">
        <f t="shared" si="52"/>
        <v>30</v>
      </c>
      <c r="BQ66" s="97" t="str">
        <f t="shared" si="53"/>
        <v>500 - 600 - 700</v>
      </c>
      <c r="BR66" s="97" t="str">
        <f t="shared" si="54"/>
        <v>0 - 0 - 0</v>
      </c>
      <c r="BS66" s="715">
        <f t="shared" si="64"/>
        <v>30</v>
      </c>
      <c r="BT66" s="736">
        <f t="shared" si="55"/>
        <v>0</v>
      </c>
      <c r="BU66" s="735"/>
      <c r="BV66" s="873">
        <v>45382</v>
      </c>
      <c r="BW66">
        <f t="shared" si="56"/>
        <v>179</v>
      </c>
    </row>
    <row r="67" spans="2:75" customFormat="1" ht="50" hidden="1" customHeight="1" x14ac:dyDescent="0.2">
      <c r="B67" s="101" t="str">
        <f t="shared" si="36"/>
        <v>Active</v>
      </c>
      <c r="C67" s="784" t="s">
        <v>585</v>
      </c>
      <c r="D67" s="101" t="s">
        <v>151</v>
      </c>
      <c r="E67" s="103" t="s">
        <v>526</v>
      </c>
      <c r="F67" s="102" t="s">
        <v>124</v>
      </c>
      <c r="G67" s="106" t="s">
        <v>527</v>
      </c>
      <c r="H67" s="106" t="str">
        <f>C67</f>
        <v>RT-6-004-008</v>
      </c>
      <c r="I67" s="106" t="s">
        <v>586</v>
      </c>
      <c r="J67" s="103" t="s">
        <v>587</v>
      </c>
      <c r="K67" s="101" t="s">
        <v>588</v>
      </c>
      <c r="L67" s="197" t="s">
        <v>589</v>
      </c>
      <c r="M67" s="103" t="s">
        <v>129</v>
      </c>
      <c r="N67" s="127">
        <v>1084</v>
      </c>
      <c r="O67" s="106" t="str" cm="1">
        <f t="array" ref="O67">_xlfn.IFS(N67="","",ABS(N67)&lt;='Risk Matrices'!$E$7,'Risk Matrices'!$E$5,ABS(N67)&lt;='Risk Matrices'!$F$7,'Risk Matrices'!$F$5,ABS(N67)&lt;='Risk Matrices'!$G$7,'Risk Matrices'!$G$5,ABS(N67)&lt;='Risk Matrices'!$H$7,'Risk Matrices'!$H$5,ABS(N67)&gt;'Risk Matrices'!$H$7,'Risk Matrices'!$I$5)</f>
        <v>Significant</v>
      </c>
      <c r="P67" s="128">
        <v>12</v>
      </c>
      <c r="Q67" s="101" t="str" cm="1">
        <f t="array" ref="Q67">_xlfn.IFS(P67="","",ABS(P67)&lt;='Risk Matrices'!$E$8,'Risk Matrices'!$E$5,ABS(P67)&lt;='Risk Matrices'!$F$8,'Risk Matrices'!$F$5,ABS(P67)&lt;='Risk Matrices'!$G$8,'Risk Matrices'!$G$5,ABS(P67)&lt;='Risk Matrices'!$H$8,'Risk Matrices'!$H$5,ABS(P67)&gt;'Risk Matrices'!$H$8,'Risk Matrices'!$I$5)</f>
        <v>Significant</v>
      </c>
      <c r="R67" s="101" t="s">
        <v>130</v>
      </c>
      <c r="S67" s="106">
        <f t="shared" si="57"/>
        <v>4</v>
      </c>
      <c r="T67" s="106" cm="1">
        <f t="array" ref="T67">_xlfn.IFS(O67='Risk Matrices'!$D$28,'Risk Matrices'!$D$29,O67='Risk Matrices'!$E$28,'Risk Matrices'!$E$29,O67='Risk Matrices'!$F$28,'Risk Matrices'!$F$29,O67='Risk Matrices'!$G$28,'Risk Matrices'!$G$29,O67='Risk Matrices'!$H$28,'Risk Matrices'!$H$29)</f>
        <v>3</v>
      </c>
      <c r="U67" s="128"/>
      <c r="V67" s="106">
        <f t="shared" si="65"/>
        <v>0</v>
      </c>
      <c r="W67" s="106"/>
      <c r="X67" s="128"/>
      <c r="Y67" s="107" t="str">
        <f t="shared" si="61"/>
        <v>Low</v>
      </c>
      <c r="Z67" s="121"/>
      <c r="AA67" s="136"/>
      <c r="AB67" s="137"/>
      <c r="AC67" s="137" t="s">
        <v>155</v>
      </c>
      <c r="AD67" s="944" t="s">
        <v>590</v>
      </c>
      <c r="AE67" s="770"/>
      <c r="AF67" s="103" t="s">
        <v>145</v>
      </c>
      <c r="AG67" s="103"/>
      <c r="AH67" s="101" t="s">
        <v>591</v>
      </c>
      <c r="AI67" s="883">
        <v>0.4</v>
      </c>
      <c r="AJ67" s="127">
        <v>1084</v>
      </c>
      <c r="AK67" s="127">
        <v>1084</v>
      </c>
      <c r="AL67" s="127">
        <v>1084</v>
      </c>
      <c r="AM67" s="127">
        <v>9</v>
      </c>
      <c r="AN67" s="127">
        <v>12</v>
      </c>
      <c r="AO67" s="127">
        <v>15</v>
      </c>
      <c r="AP67" s="112" t="str">
        <f>IF(OR(ISBLANK(AI67),AI67=0),"INSERT LIKELIHOOD",IF(ABS(AI67)&lt;='Risk Matrices'!$D$22,'Risk Matrices'!$C$21,IF(ABS(AI67)&lt;='Risk Matrices'!$D$19,'Risk Matrices'!$C$18,IF(ABS(AI67)&lt;='Risk Matrices'!$D$16,'Risk Matrices'!$C$15,IF(ABS(AI67)&lt;='Risk Matrices'!$D$13,'Risk Matrices'!$C$12,'Risk Matrices'!$C$10)))))</f>
        <v>Moderate</v>
      </c>
      <c r="AQ67" s="112" t="str">
        <f>IF(OR(ISBLANK(AK67),AK67=0),"None",IF(ABS(AK67)&lt;='Risk Matrices'!$E$7,'Risk Matrices'!$E$5,IF(ABS(AK67)&lt;='Risk Matrices'!$G$7,'Risk Matrices'!$G$5,IF(ABS(AK67)&lt;='Risk Matrices'!$H$7,'Risk Matrices'!$H$5,'Risk Matrices'!$I$5))))</f>
        <v>Significant</v>
      </c>
      <c r="AR67" s="112" t="str">
        <f>IF(AN67="","",IF(ABS(AN67)&lt;='Risk Matrices'!$E$8,"Negligible",IF(ABS(AN67)&lt;='Risk Matrices'!$F$8,"Marginal",IF(ABS(AN67)&lt;='Risk Matrices'!$G$8,"Significant",IF(ABS(AN67)&lt;='Risk Matrices'!$H$8,"Critical","Crisis")))))</f>
        <v>Significant</v>
      </c>
      <c r="AS67" s="103" t="s">
        <v>130</v>
      </c>
      <c r="AT67" s="298">
        <f>IF(OR(ISBLANK(AI67),AI67=0),0,VLOOKUP(AP67,'Risk Matrices'!$B$30:$C$34,2,0))</f>
        <v>3</v>
      </c>
      <c r="AU67" s="298">
        <f>IF(OR(ISBLANK(AK67),AK67=0),0,HLOOKUP(AQ67,'Risk Matrices'!$D$28:$H$29,2,0))</f>
        <v>3</v>
      </c>
      <c r="AV67" s="298">
        <f>IF(OR(ISBLANK(AR67),AR67=0),0,HLOOKUP(AR67,'Risk Matrices'!$D$28:$H$29,2,0))</f>
        <v>3</v>
      </c>
      <c r="AW67" s="298">
        <f>IF(AS67="None",0,HLOOKUP(AS67,'Risk Matrices'!$D$28:$H$29,2,0))</f>
        <v>0</v>
      </c>
      <c r="AX67" s="106">
        <f t="shared" si="48"/>
        <v>3</v>
      </c>
      <c r="AY67" s="106">
        <f t="shared" si="49"/>
        <v>9</v>
      </c>
      <c r="AZ67" s="107" t="str">
        <f>IF(B67="Retired","Retired",IF(OR(ISBLANK(AY67),AY67=0),"TBD",IF(AY67&lt;='Risk Matrices'!$D$40,'Risk Matrices'!$B$40,IF(AY67&lt;='Risk Matrices'!$D$39,'Risk Matrices'!$B$39,'Risk Matrices'!$B$38))))</f>
        <v>Moderate</v>
      </c>
      <c r="BA67" s="104"/>
      <c r="BB67" s="776" t="s">
        <v>592</v>
      </c>
      <c r="BC67" s="109">
        <f t="shared" si="50"/>
        <v>433.6</v>
      </c>
      <c r="BD67" s="116">
        <v>45315</v>
      </c>
      <c r="BE67" s="104"/>
      <c r="BF67" s="91"/>
      <c r="BG67" s="335"/>
      <c r="BH67" s="104"/>
      <c r="BI67" s="104"/>
      <c r="BJ67" s="884">
        <f t="shared" si="51"/>
        <v>433.6</v>
      </c>
      <c r="BK67" s="101"/>
      <c r="BL67" s="101"/>
      <c r="BM67" s="116">
        <v>45212</v>
      </c>
      <c r="BN67" s="116">
        <v>45212</v>
      </c>
      <c r="BO67" s="332"/>
      <c r="BP67" s="94">
        <f t="shared" si="52"/>
        <v>433.6</v>
      </c>
      <c r="BQ67" s="97" t="str">
        <f t="shared" si="53"/>
        <v>1084 - 1084 - 1084</v>
      </c>
      <c r="BR67" s="97" t="str">
        <f t="shared" si="54"/>
        <v>9 - 12 - 15</v>
      </c>
      <c r="BS67" s="715">
        <f t="shared" si="64"/>
        <v>433.6</v>
      </c>
      <c r="BT67" s="736">
        <f t="shared" si="55"/>
        <v>4.8</v>
      </c>
      <c r="BU67" s="735"/>
      <c r="BV67" s="873">
        <v>45504</v>
      </c>
      <c r="BW67">
        <f t="shared" si="56"/>
        <v>292</v>
      </c>
    </row>
    <row r="68" spans="2:75" customFormat="1" ht="52" hidden="1" thickBot="1" x14ac:dyDescent="0.25">
      <c r="B68" s="101" t="str">
        <f t="shared" ref="B68:B99" si="66">IF(BN68="","Proposed",IF(BG68="","Active","Retired"))</f>
        <v>Retired</v>
      </c>
      <c r="C68" s="782" t="s">
        <v>593</v>
      </c>
      <c r="D68" s="101" t="s">
        <v>151</v>
      </c>
      <c r="E68" s="132" t="s">
        <v>526</v>
      </c>
      <c r="F68" s="148" t="s">
        <v>124</v>
      </c>
      <c r="G68" s="128" t="s">
        <v>594</v>
      </c>
      <c r="H68" s="128"/>
      <c r="I68" s="126" t="s">
        <v>179</v>
      </c>
      <c r="J68" s="126"/>
      <c r="K68" s="153" t="s">
        <v>595</v>
      </c>
      <c r="L68" s="753"/>
      <c r="M68" s="121" t="s">
        <v>206</v>
      </c>
      <c r="N68" s="134">
        <v>1000</v>
      </c>
      <c r="O68" s="106" t="str" cm="1">
        <f t="array" ref="O68">_xlfn.IFS(N68="","",ABS(N68)&lt;='Risk Matrices'!$E$7,'Risk Matrices'!$E$5,ABS(N68)&lt;='Risk Matrices'!$F$7,'Risk Matrices'!$F$5,ABS(N68)&lt;='Risk Matrices'!$G$7,'Risk Matrices'!$G$5,ABS(N68)&lt;='Risk Matrices'!$H$7,'Risk Matrices'!$H$5,ABS(N68)&gt;'Risk Matrices'!$H$7,'Risk Matrices'!$I$5)</f>
        <v>Marginal</v>
      </c>
      <c r="P68" s="126">
        <v>6</v>
      </c>
      <c r="Q68" s="126" t="s">
        <v>280</v>
      </c>
      <c r="R68" s="126" t="s">
        <v>280</v>
      </c>
      <c r="S68" s="128">
        <f t="shared" si="57"/>
        <v>2</v>
      </c>
      <c r="T68" s="106" cm="1">
        <f t="array" ref="T68">_xlfn.IFS(O68='Risk Matrices'!$D$28,'Risk Matrices'!$D$29,O68='Risk Matrices'!$E$28,'Risk Matrices'!$E$29,O68='Risk Matrices'!$F$28,'Risk Matrices'!$F$29,O68='Risk Matrices'!$G$28,'Risk Matrices'!$G$29,O68='Risk Matrices'!$H$28,'Risk Matrices'!$H$29)</f>
        <v>2</v>
      </c>
      <c r="U68" s="128">
        <f>IF(Q68="",0,IF(Q68="Negligible",1,IF(Q68="Marginal",2,IF(Q68="Significant",3,IF(Q68="Critical",4,IF(Q68="Crisis",5))))))</f>
        <v>2</v>
      </c>
      <c r="V68" s="128">
        <f>IF(R68="",0,IF(R68="Negligible",1,IF(R68="Marginal",2,IF(R68="Significant",3,IF(R68="Critical",4,IF(R68="Crisis",5))))))</f>
        <v>2</v>
      </c>
      <c r="W68" s="106">
        <f t="shared" ref="W68:W78" si="67">MAX(T68,U68,V68)</f>
        <v>2</v>
      </c>
      <c r="X68" s="128">
        <f t="shared" ref="X68:X78" si="68">S68*W68</f>
        <v>4</v>
      </c>
      <c r="Y68" s="135" t="str">
        <f t="shared" si="61"/>
        <v>Low</v>
      </c>
      <c r="Z68" s="121"/>
      <c r="AA68" s="136">
        <f t="shared" ref="AA68:AA82" si="69">IF(M68="",0,IF(M68="Very Low (There is a &lt;10% chance that this event will occur)",0.05,IF(M68="Low (Risk is likely to occur with a probability of &gt; 10% to &lt; 25%)",0.17,IF(M68="Moderate (Risk is likely to occur with a probability of &gt; 25% to &lt; 40%)",0.32,IF(M68="High (Risk is likely to occur with a probability of &gt;40 to &lt;65%)",0.52,IF(M68="Very High (Risk is likely to occur with a probability of &gt;65%)",0.82))))))</f>
        <v>0.17</v>
      </c>
      <c r="AB68" s="137">
        <f t="shared" ref="AB68:AB82" si="70">+AA68*N68</f>
        <v>170</v>
      </c>
      <c r="AC68" s="137" t="s">
        <v>155</v>
      </c>
      <c r="AD68" s="154"/>
      <c r="AE68" s="154"/>
      <c r="AF68" s="126"/>
      <c r="AG68" s="126"/>
      <c r="AH68" s="361"/>
      <c r="AI68" s="883">
        <v>0.2</v>
      </c>
      <c r="AJ68" s="155">
        <v>500</v>
      </c>
      <c r="AK68" s="155">
        <v>1000</v>
      </c>
      <c r="AL68" s="155">
        <v>5000</v>
      </c>
      <c r="AM68" s="151">
        <v>3</v>
      </c>
      <c r="AN68" s="151">
        <v>6</v>
      </c>
      <c r="AO68" s="151">
        <v>12</v>
      </c>
      <c r="AP68" s="112" t="str">
        <f>IF(OR(ISBLANK(AI68),AI68=0),"INSERT LIKELIHOOD",IF(ABS(AI68)&lt;='Risk Matrices'!$D$22,'Risk Matrices'!$C$21,IF(ABS(AI68)&lt;='Risk Matrices'!$D$19,'Risk Matrices'!$C$18,IF(ABS(AI68)&lt;='Risk Matrices'!$D$16,'Risk Matrices'!$C$15,IF(ABS(AI68)&lt;='Risk Matrices'!$D$13,'Risk Matrices'!$C$12,'Risk Matrices'!$C$10)))))</f>
        <v>Low</v>
      </c>
      <c r="AQ68" s="112" t="str">
        <f>IF(OR(ISBLANK(AK68),AK68=0),"None",IF(ABS(AK68)&lt;='Risk Matrices'!$E$7,'Risk Matrices'!$E$5,IF(ABS(AK68)&lt;='Risk Matrices'!$G$7,'Risk Matrices'!$G$5,IF(ABS(AK68)&lt;='Risk Matrices'!$H$7,'Risk Matrices'!$H$5,'Risk Matrices'!$I$5))))</f>
        <v>Significant</v>
      </c>
      <c r="AR68" s="112" t="str">
        <f>IF(AN68="","",IF(ABS(AN68)&lt;='Risk Matrices'!$E$8,"Negligible",IF(ABS(AN68)&lt;='Risk Matrices'!$F$8,"Marginal",IF(ABS(AN68)&lt;='Risk Matrices'!$G$8,"Significant",IF(ABS(AN68)&lt;='Risk Matrices'!$H$8,"Critical","Crisis")))))</f>
        <v>Marginal</v>
      </c>
      <c r="AS68" s="131" t="s">
        <v>280</v>
      </c>
      <c r="AT68" s="298">
        <f>IF(OR(ISBLANK(AI68),AI68=0),0,VLOOKUP(AP68,'Risk Matrices'!$B$30:$C$34,2,0))</f>
        <v>2</v>
      </c>
      <c r="AU68" s="298">
        <f>IF(OR(ISBLANK(AK68),AK68=0),0,HLOOKUP(AQ68,'Risk Matrices'!$D$28:$H$29,2,0))</f>
        <v>3</v>
      </c>
      <c r="AV68" s="298">
        <f>IF(OR(ISBLANK(AR68),AR68=0),0,HLOOKUP(AR68,'Risk Matrices'!$D$28:$H$29,2,0))</f>
        <v>2</v>
      </c>
      <c r="AW68" s="298">
        <f>IF(OR(ISBLANK(AS68),AS68=0),0,HLOOKUP(AS68,'Risk Matrices'!$D$28:$H$29,2,0))</f>
        <v>2</v>
      </c>
      <c r="AX68" s="106">
        <f t="shared" si="48"/>
        <v>3</v>
      </c>
      <c r="AY68" s="106">
        <f t="shared" si="49"/>
        <v>6</v>
      </c>
      <c r="AZ68" s="107" t="str">
        <f>IF(B68="Retired","Retired",IF(OR(ISBLANK(AY68),AY68=0),"TBD",IF(AY68&lt;='Risk Matrices'!$D$40,'Risk Matrices'!$B$40,IF(AY68&lt;='Risk Matrices'!$D$39,'Risk Matrices'!$B$39,'Risk Matrices'!$B$38))))</f>
        <v>Retired</v>
      </c>
      <c r="BA68" s="121"/>
      <c r="BB68" s="774"/>
      <c r="BC68" s="109" t="str">
        <f t="shared" si="50"/>
        <v>Retired</v>
      </c>
      <c r="BD68" s="104"/>
      <c r="BE68" s="104"/>
      <c r="BF68" s="104"/>
      <c r="BG68" s="104" t="s">
        <v>596</v>
      </c>
      <c r="BH68" s="104"/>
      <c r="BI68" s="104"/>
      <c r="BJ68" s="874">
        <f t="shared" si="51"/>
        <v>433.33333333333331</v>
      </c>
      <c r="BK68" s="101" t="s">
        <v>311</v>
      </c>
      <c r="BL68" s="116">
        <v>44519</v>
      </c>
      <c r="BM68" s="116">
        <v>44012</v>
      </c>
      <c r="BN68" s="330">
        <v>44134</v>
      </c>
      <c r="BO68" s="332"/>
      <c r="BP68" s="94">
        <f>AI68*((2*AJ68+4*AK68+2*AL68)/6)</f>
        <v>500</v>
      </c>
      <c r="BQ68" s="97" t="str">
        <f t="shared" si="53"/>
        <v>500 - 1000 - 5000</v>
      </c>
      <c r="BR68" s="97" t="str">
        <f t="shared" si="54"/>
        <v>3 - 6 - 12</v>
      </c>
      <c r="BS68" s="715">
        <f t="shared" si="64"/>
        <v>433.33333333333331</v>
      </c>
      <c r="BT68" s="736">
        <f t="shared" si="55"/>
        <v>1.4000000000000001</v>
      </c>
      <c r="BU68" s="735" t="s">
        <v>593</v>
      </c>
    </row>
    <row r="69" spans="2:75" customFormat="1" ht="68" hidden="1" customHeight="1" x14ac:dyDescent="0.2">
      <c r="B69" s="101" t="str">
        <f t="shared" si="66"/>
        <v>Active</v>
      </c>
      <c r="C69" s="785" t="s">
        <v>597</v>
      </c>
      <c r="D69" s="101" t="s">
        <v>151</v>
      </c>
      <c r="E69" s="815" t="s">
        <v>526</v>
      </c>
      <c r="F69" s="102" t="s">
        <v>124</v>
      </c>
      <c r="G69" s="106" t="s">
        <v>527</v>
      </c>
      <c r="H69" s="699" t="str">
        <f t="shared" ref="H69:H96" si="71">C69</f>
        <v>RT-6-004-009-LLP-CD3B</v>
      </c>
      <c r="I69" s="691" t="s">
        <v>179</v>
      </c>
      <c r="J69" s="126" t="s">
        <v>475</v>
      </c>
      <c r="K69" s="977" t="s">
        <v>598</v>
      </c>
      <c r="L69" s="123" t="s">
        <v>599</v>
      </c>
      <c r="M69" s="104" t="s">
        <v>206</v>
      </c>
      <c r="N69" s="134">
        <v>1800</v>
      </c>
      <c r="O69" s="106" t="str" cm="1">
        <f t="array" ref="O69">_xlfn.IFS(N69="","",ABS(N69)&lt;='Risk Matrices'!$E$7,'Risk Matrices'!$E$5,ABS(N69)&lt;='Risk Matrices'!$F$7,'Risk Matrices'!$F$5,ABS(N69)&lt;='Risk Matrices'!$G$7,'Risk Matrices'!$G$5,ABS(N69)&lt;='Risk Matrices'!$H$7,'Risk Matrices'!$H$5,ABS(N69)&gt;'Risk Matrices'!$H$7,'Risk Matrices'!$I$5)</f>
        <v>Significant</v>
      </c>
      <c r="P69" s="126">
        <v>12</v>
      </c>
      <c r="Q69" s="101" t="str" cm="1">
        <f t="array" ref="Q69">_xlfn.IFS(P69="","",ABS(P69)&lt;='Risk Matrices'!$E$8,'Risk Matrices'!$E$5,ABS(P69)&lt;='Risk Matrices'!$F$8,'Risk Matrices'!$F$5,ABS(P69)&lt;='Risk Matrices'!$G$8,'Risk Matrices'!$G$5,ABS(P69)&lt;='Risk Matrices'!$H$8,'Risk Matrices'!$H$5,ABS(P69)&gt;'Risk Matrices'!$H$8,'Risk Matrices'!$I$5)</f>
        <v>Significant</v>
      </c>
      <c r="R69" s="126" t="s">
        <v>600</v>
      </c>
      <c r="S69" s="128">
        <f t="shared" si="57"/>
        <v>2</v>
      </c>
      <c r="T69" s="106" cm="1">
        <f t="array" ref="T69">_xlfn.IFS(O69='Risk Matrices'!$D$28,'Risk Matrices'!$D$29,O69='Risk Matrices'!$E$28,'Risk Matrices'!$E$29,O69='Risk Matrices'!$F$28,'Risk Matrices'!$F$29,O69='Risk Matrices'!$G$28,'Risk Matrices'!$G$29,O69='Risk Matrices'!$H$28,'Risk Matrices'!$H$29)</f>
        <v>3</v>
      </c>
      <c r="U69" s="128">
        <f t="shared" ref="U69:U78" si="72">IF(Q69="",0,IF(Q69="Negligible",1,IF(Q69="Marginal",2,IF(Q69="Significant",3,IF(Q69="Critical",4,IF(Q69="Crisis",5))))))</f>
        <v>3</v>
      </c>
      <c r="V69" s="106">
        <f t="shared" ref="V69:V96" si="73">IF(R69="None",0,IF(R69="Negligible",1,IF(R69="Marginal",2,IF(R69="Significant",3,IF(R69="Critical",4,IF(R69="Crisis",5))))))</f>
        <v>5</v>
      </c>
      <c r="W69" s="106">
        <f t="shared" si="67"/>
        <v>5</v>
      </c>
      <c r="X69" s="128">
        <f t="shared" si="68"/>
        <v>10</v>
      </c>
      <c r="Y69" s="107" t="str">
        <f t="shared" si="61"/>
        <v>Moderate</v>
      </c>
      <c r="Z69" s="121"/>
      <c r="AA69" s="136">
        <f t="shared" si="69"/>
        <v>0.17</v>
      </c>
      <c r="AB69" s="137">
        <f t="shared" si="70"/>
        <v>306</v>
      </c>
      <c r="AC69" s="137" t="s">
        <v>155</v>
      </c>
      <c r="AD69" s="897" t="s">
        <v>601</v>
      </c>
      <c r="AE69" s="897"/>
      <c r="AF69" s="691" t="s">
        <v>145</v>
      </c>
      <c r="AG69" s="126"/>
      <c r="AH69" s="959" t="s">
        <v>602</v>
      </c>
      <c r="AI69" s="883">
        <v>0.2</v>
      </c>
      <c r="AJ69" s="155">
        <v>900</v>
      </c>
      <c r="AK69" s="155">
        <v>1800</v>
      </c>
      <c r="AL69" s="126">
        <v>2700</v>
      </c>
      <c r="AM69" s="151">
        <v>3</v>
      </c>
      <c r="AN69" s="151">
        <v>6</v>
      </c>
      <c r="AO69" s="128">
        <v>12</v>
      </c>
      <c r="AP69" s="112" t="str">
        <f>IF(OR(ISBLANK(AI69),AI69=0),"INSERT LIKELIHOOD",IF(ABS(AI69)&lt;='Risk Matrices'!$D$22,'Risk Matrices'!$C$21,IF(ABS(AI69)&lt;='Risk Matrices'!$D$19,'Risk Matrices'!$C$18,IF(ABS(AI69)&lt;='Risk Matrices'!$D$16,'Risk Matrices'!$C$15,IF(ABS(AI69)&lt;='Risk Matrices'!$D$13,'Risk Matrices'!$C$12,'Risk Matrices'!$C$10)))))</f>
        <v>Low</v>
      </c>
      <c r="AQ69" s="112" t="str">
        <f>IF(OR(ISBLANK(AK69),AK69=0),"None",IF(ABS(AK69)&lt;='Risk Matrices'!$E$7,'Risk Matrices'!$E$5,IF(ABS(AK69)&lt;='Risk Matrices'!$G$7,'Risk Matrices'!$G$5,IF(ABS(AK69)&lt;='Risk Matrices'!$H$7,'Risk Matrices'!$H$5,'Risk Matrices'!$I$5))))</f>
        <v>Significant</v>
      </c>
      <c r="AR69" s="112" t="str">
        <f>IF(AN69="","",IF(ABS(AN69)&lt;='Risk Matrices'!$E$8,"Negligible",IF(ABS(AN69)&lt;='Risk Matrices'!$F$8,"Marginal",IF(ABS(AN69)&lt;='Risk Matrices'!$G$8,"Significant",IF(ABS(AN69)&lt;='Risk Matrices'!$H$8,"Critical","Crisis")))))</f>
        <v>Marginal</v>
      </c>
      <c r="AS69" s="131" t="s">
        <v>130</v>
      </c>
      <c r="AT69" s="298">
        <f>IF(OR(ISBLANK(AI69),AI69=0),0,VLOOKUP(AP69,'Risk Matrices'!$B$30:$C$34,2,0))</f>
        <v>2</v>
      </c>
      <c r="AU69" s="298">
        <f>IF(OR(ISBLANK(AK69),AK69=0),0,HLOOKUP(AQ69,'Risk Matrices'!$D$28:$H$29,2,0))</f>
        <v>3</v>
      </c>
      <c r="AV69" s="298">
        <f>IF(OR(ISBLANK(AR69),AR69=0),0,HLOOKUP(AR69,'Risk Matrices'!$D$28:$H$29,2,0))</f>
        <v>2</v>
      </c>
      <c r="AW69" s="298">
        <f>IF(AS69="None",0,HLOOKUP(AS69,'Risk Matrices'!$D$28:$H$29,2,0))</f>
        <v>0</v>
      </c>
      <c r="AX69" s="106">
        <f t="shared" si="48"/>
        <v>3</v>
      </c>
      <c r="AY69" s="106">
        <f t="shared" si="49"/>
        <v>6</v>
      </c>
      <c r="AZ69" s="967" t="str">
        <f>IF(B69="Retired","Retired",IF(OR(ISBLANK(AY69),AY69=0),"TBD",IF(AY69&lt;='Risk Matrices'!$D$40,'Risk Matrices'!$B$40,IF(AY69&lt;='Risk Matrices'!$D$39,'Risk Matrices'!$B$39,'Risk Matrices'!$B$38))))</f>
        <v>Low</v>
      </c>
      <c r="BA69" s="121"/>
      <c r="BB69" s="250" t="s">
        <v>603</v>
      </c>
      <c r="BC69" s="109">
        <f t="shared" si="50"/>
        <v>360</v>
      </c>
      <c r="BD69" s="929">
        <v>45375</v>
      </c>
      <c r="BE69" s="104"/>
      <c r="BF69" s="104"/>
      <c r="BG69" s="104"/>
      <c r="BH69" s="104"/>
      <c r="BI69" s="104"/>
      <c r="BJ69" s="884">
        <f t="shared" si="51"/>
        <v>360</v>
      </c>
      <c r="BK69" s="101"/>
      <c r="BL69" s="116"/>
      <c r="BM69" s="116">
        <v>45297</v>
      </c>
      <c r="BN69" s="116">
        <v>45299</v>
      </c>
      <c r="BO69" s="332"/>
      <c r="BP69" s="94">
        <f t="shared" ref="BP69:BP101" si="74">AI69*((AJ69+4*AK69+AL69)/6)</f>
        <v>360</v>
      </c>
      <c r="BQ69" s="97" t="str">
        <f t="shared" si="53"/>
        <v>900 - 1800 - 2700</v>
      </c>
      <c r="BR69" s="97" t="str">
        <f t="shared" si="54"/>
        <v>3 - 6 - 12</v>
      </c>
      <c r="BS69" s="715">
        <f t="shared" si="64"/>
        <v>360</v>
      </c>
      <c r="BT69" s="736">
        <f t="shared" si="55"/>
        <v>1.4000000000000001</v>
      </c>
      <c r="BU69" s="735"/>
      <c r="BV69" s="873">
        <v>45382</v>
      </c>
      <c r="BW69">
        <f>BV69-BN69</f>
        <v>83</v>
      </c>
    </row>
    <row r="70" spans="2:75" customFormat="1" ht="68" hidden="1" customHeight="1" x14ac:dyDescent="0.2">
      <c r="B70" s="101" t="str">
        <f t="shared" si="66"/>
        <v>Active</v>
      </c>
      <c r="C70" s="785" t="s">
        <v>604</v>
      </c>
      <c r="D70" s="101" t="s">
        <v>151</v>
      </c>
      <c r="E70" s="815" t="s">
        <v>526</v>
      </c>
      <c r="F70" s="102" t="s">
        <v>124</v>
      </c>
      <c r="G70" s="106" t="s">
        <v>527</v>
      </c>
      <c r="H70" s="815" t="str">
        <f t="shared" si="71"/>
        <v>RT-6-004-010-LLP-CD3B</v>
      </c>
      <c r="I70" s="101" t="s">
        <v>474</v>
      </c>
      <c r="J70" s="103" t="s">
        <v>475</v>
      </c>
      <c r="K70" s="144" t="s">
        <v>605</v>
      </c>
      <c r="L70" s="123" t="s">
        <v>606</v>
      </c>
      <c r="M70" s="104" t="s">
        <v>206</v>
      </c>
      <c r="N70" s="134">
        <v>4000</v>
      </c>
      <c r="O70" s="106" t="str" cm="1">
        <f t="array" ref="O70">_xlfn.IFS(N70="","",ABS(N70)&lt;='Risk Matrices'!$E$7,'Risk Matrices'!$E$5,ABS(N70)&lt;='Risk Matrices'!$F$7,'Risk Matrices'!$F$5,ABS(N70)&lt;='Risk Matrices'!$G$7,'Risk Matrices'!$G$5,ABS(N70)&lt;='Risk Matrices'!$H$7,'Risk Matrices'!$H$5,ABS(N70)&gt;'Risk Matrices'!$H$7,'Risk Matrices'!$I$5)</f>
        <v>Significant</v>
      </c>
      <c r="P70" s="126">
        <v>12</v>
      </c>
      <c r="Q70" s="101" t="str" cm="1">
        <f t="array" ref="Q70">_xlfn.IFS(P70="","",ABS(P70)&lt;='Risk Matrices'!$E$8,'Risk Matrices'!$E$5,ABS(P70)&lt;='Risk Matrices'!$F$8,'Risk Matrices'!$F$5,ABS(P70)&lt;='Risk Matrices'!$G$8,'Risk Matrices'!$G$5,ABS(P70)&lt;='Risk Matrices'!$H$8,'Risk Matrices'!$H$5,ABS(P70)&gt;'Risk Matrices'!$H$8,'Risk Matrices'!$I$5)</f>
        <v>Significant</v>
      </c>
      <c r="R70" s="126" t="s">
        <v>600</v>
      </c>
      <c r="S70" s="128">
        <f t="shared" si="57"/>
        <v>2</v>
      </c>
      <c r="T70" s="106" cm="1">
        <f t="array" ref="T70">_xlfn.IFS(O70='Risk Matrices'!$D$28,'Risk Matrices'!$D$29,O70='Risk Matrices'!$E$28,'Risk Matrices'!$E$29,O70='Risk Matrices'!$F$28,'Risk Matrices'!$F$29,O70='Risk Matrices'!$G$28,'Risk Matrices'!$G$29,O70='Risk Matrices'!$H$28,'Risk Matrices'!$H$29)</f>
        <v>3</v>
      </c>
      <c r="U70" s="128">
        <f t="shared" si="72"/>
        <v>3</v>
      </c>
      <c r="V70" s="106">
        <f t="shared" si="73"/>
        <v>5</v>
      </c>
      <c r="W70" s="106">
        <f t="shared" si="67"/>
        <v>5</v>
      </c>
      <c r="X70" s="128">
        <f t="shared" si="68"/>
        <v>10</v>
      </c>
      <c r="Y70" s="107" t="str">
        <f t="shared" si="61"/>
        <v>Moderate</v>
      </c>
      <c r="Z70" s="121"/>
      <c r="AA70" s="136">
        <f t="shared" si="69"/>
        <v>0.17</v>
      </c>
      <c r="AB70" s="137">
        <f t="shared" si="70"/>
        <v>680</v>
      </c>
      <c r="AC70" s="137" t="s">
        <v>155</v>
      </c>
      <c r="AD70" s="898" t="s">
        <v>607</v>
      </c>
      <c r="AE70" s="113"/>
      <c r="AF70" s="691" t="s">
        <v>145</v>
      </c>
      <c r="AG70" s="126"/>
      <c r="AH70" s="959" t="s">
        <v>608</v>
      </c>
      <c r="AI70" s="883">
        <v>0.3</v>
      </c>
      <c r="AJ70" s="155">
        <v>796</v>
      </c>
      <c r="AK70" s="155">
        <v>3076</v>
      </c>
      <c r="AL70" s="126">
        <v>6116</v>
      </c>
      <c r="AM70" s="128">
        <v>6</v>
      </c>
      <c r="AN70" s="128">
        <v>12</v>
      </c>
      <c r="AO70" s="128">
        <v>18</v>
      </c>
      <c r="AP70" s="112" t="str">
        <f>IF(OR(ISBLANK(AI70),AI70=0),"INSERT LIKELIHOOD",IF(ABS(AI70)&lt;='Risk Matrices'!$D$22,'Risk Matrices'!$C$21,IF(ABS(AI70)&lt;='Risk Matrices'!$D$19,'Risk Matrices'!$C$18,IF(ABS(AI70)&lt;='Risk Matrices'!$D$16,'Risk Matrices'!$C$15,IF(ABS(AI70)&lt;='Risk Matrices'!$D$13,'Risk Matrices'!$C$12,'Risk Matrices'!$C$10)))))</f>
        <v>Moderate</v>
      </c>
      <c r="AQ70" s="112" t="str">
        <f>IF(OR(ISBLANK(AK70),AK70=0),"None",IF(ABS(AK70)&lt;='Risk Matrices'!$E$7,'Risk Matrices'!$E$5,IF(ABS(AK70)&lt;='Risk Matrices'!$G$7,'Risk Matrices'!$G$5,IF(ABS(AK70)&lt;='Risk Matrices'!$H$7,'Risk Matrices'!$H$5,'Risk Matrices'!$I$5))))</f>
        <v>Significant</v>
      </c>
      <c r="AR70" s="112" t="str">
        <f>IF(AN70="","",IF(ABS(AN70)&lt;='Risk Matrices'!$E$8,"Negligible",IF(ABS(AN70)&lt;='Risk Matrices'!$F$8,"Marginal",IF(ABS(AN70)&lt;='Risk Matrices'!$G$8,"Significant",IF(ABS(AN70)&lt;='Risk Matrices'!$H$8,"Critical","Crisis")))))</f>
        <v>Significant</v>
      </c>
      <c r="AS70" s="131" t="s">
        <v>130</v>
      </c>
      <c r="AT70" s="298">
        <f>IF(OR(ISBLANK(AI70),AI70=0),0,VLOOKUP(AP70,'Risk Matrices'!$B$30:$C$34,2,0))</f>
        <v>3</v>
      </c>
      <c r="AU70" s="298">
        <f>IF(OR(ISBLANK(AK70),AK70=0),0,HLOOKUP(AQ70,'Risk Matrices'!$D$28:$H$29,2,0))</f>
        <v>3</v>
      </c>
      <c r="AV70" s="298">
        <f>IF(OR(ISBLANK(AR70),AR70=0),0,HLOOKUP(AR70,'Risk Matrices'!$D$28:$H$29,2,0))</f>
        <v>3</v>
      </c>
      <c r="AW70" s="298">
        <f>IF(AS70="None",0,HLOOKUP(AS70,'Risk Matrices'!$D$28:$H$29,2,0))</f>
        <v>0</v>
      </c>
      <c r="AX70" s="106">
        <f t="shared" si="48"/>
        <v>3</v>
      </c>
      <c r="AY70" s="106">
        <f t="shared" si="49"/>
        <v>9</v>
      </c>
      <c r="AZ70" s="967" t="str">
        <f>IF(B70="Retired","Retired",IF(OR(ISBLANK(AY70),AY70=0),"TBD",IF(AY70&lt;='Risk Matrices'!$D$40,'Risk Matrices'!$B$40,IF(AY70&lt;='Risk Matrices'!$D$39,'Risk Matrices'!$B$39,'Risk Matrices'!$B$38))))</f>
        <v>Moderate</v>
      </c>
      <c r="BA70" s="121"/>
      <c r="BB70" s="95" t="e" vm="1">
        <v>#VALUE!</v>
      </c>
      <c r="BC70" s="109">
        <f t="shared" si="50"/>
        <v>922.8</v>
      </c>
      <c r="BD70" s="929">
        <v>45544</v>
      </c>
      <c r="BE70" s="104"/>
      <c r="BF70" s="104"/>
      <c r="BG70" s="104"/>
      <c r="BH70" s="104"/>
      <c r="BI70" s="104"/>
      <c r="BJ70" s="884">
        <f t="shared" si="51"/>
        <v>998.8</v>
      </c>
      <c r="BK70" s="101"/>
      <c r="BL70" s="116"/>
      <c r="BM70" s="116">
        <v>45297</v>
      </c>
      <c r="BN70" s="116">
        <v>45299</v>
      </c>
      <c r="BO70" s="332"/>
      <c r="BP70" s="94">
        <f t="shared" si="74"/>
        <v>960.8</v>
      </c>
      <c r="BQ70" s="97" t="str">
        <f t="shared" si="53"/>
        <v>796 - 3076 - 6116</v>
      </c>
      <c r="BR70" s="97" t="str">
        <f t="shared" si="54"/>
        <v>6 - 12 - 18</v>
      </c>
      <c r="BS70" s="715">
        <f t="shared" si="64"/>
        <v>998.8</v>
      </c>
      <c r="BT70" s="736">
        <f t="shared" si="55"/>
        <v>3.5999999999999996</v>
      </c>
      <c r="BU70" s="735"/>
      <c r="BV70" s="873">
        <v>45382</v>
      </c>
      <c r="BW70">
        <f>BV70-BN70</f>
        <v>83</v>
      </c>
    </row>
    <row r="71" spans="2:75" customFormat="1" ht="68" hidden="1" customHeight="1" x14ac:dyDescent="0.2">
      <c r="B71" s="101" t="str">
        <f t="shared" si="66"/>
        <v>Active</v>
      </c>
      <c r="C71" s="785" t="s">
        <v>609</v>
      </c>
      <c r="D71" s="101" t="s">
        <v>151</v>
      </c>
      <c r="E71" s="815" t="s">
        <v>526</v>
      </c>
      <c r="F71" s="102" t="s">
        <v>124</v>
      </c>
      <c r="G71" s="106" t="s">
        <v>527</v>
      </c>
      <c r="H71" s="815" t="str">
        <f t="shared" si="71"/>
        <v>RT-6-004-011-LLP-CD3B</v>
      </c>
      <c r="I71" s="691" t="s">
        <v>610</v>
      </c>
      <c r="J71" s="103" t="s">
        <v>475</v>
      </c>
      <c r="K71" s="691" t="s">
        <v>611</v>
      </c>
      <c r="L71" s="123" t="s">
        <v>612</v>
      </c>
      <c r="M71" s="103" t="s">
        <v>129</v>
      </c>
      <c r="N71" s="134">
        <v>0</v>
      </c>
      <c r="O71" s="106" t="str" cm="1">
        <f t="array" ref="O71">_xlfn.IFS(N71="","",ABS(N71)&lt;='Risk Matrices'!$E$7,'Risk Matrices'!$E$5,ABS(N71)&lt;='Risk Matrices'!$F$7,'Risk Matrices'!$F$5,ABS(N71)&lt;='Risk Matrices'!$G$7,'Risk Matrices'!$G$5,ABS(N71)&lt;='Risk Matrices'!$H$7,'Risk Matrices'!$H$5,ABS(N71)&gt;'Risk Matrices'!$H$7,'Risk Matrices'!$I$5)</f>
        <v>Negligible</v>
      </c>
      <c r="P71" s="126">
        <v>12</v>
      </c>
      <c r="Q71" s="101" t="str" cm="1">
        <f t="array" ref="Q71">_xlfn.IFS(P71="","",ABS(P71)&lt;='Risk Matrices'!$E$8,'Risk Matrices'!$E$5,ABS(P71)&lt;='Risk Matrices'!$F$8,'Risk Matrices'!$F$5,ABS(P71)&lt;='Risk Matrices'!$G$8,'Risk Matrices'!$G$5,ABS(P71)&lt;='Risk Matrices'!$H$8,'Risk Matrices'!$H$5,ABS(P71)&gt;'Risk Matrices'!$H$8,'Risk Matrices'!$I$5)</f>
        <v>Significant</v>
      </c>
      <c r="R71" s="101" t="s">
        <v>130</v>
      </c>
      <c r="S71" s="106">
        <f t="shared" si="57"/>
        <v>4</v>
      </c>
      <c r="T71" s="106" cm="1">
        <f t="array" ref="T71">_xlfn.IFS(O71='Risk Matrices'!$D$28,'Risk Matrices'!$D$29,O71='Risk Matrices'!$E$28,'Risk Matrices'!$E$29,O71='Risk Matrices'!$F$28,'Risk Matrices'!$F$29,O71='Risk Matrices'!$G$28,'Risk Matrices'!$G$29,O71='Risk Matrices'!$H$28,'Risk Matrices'!$H$29)</f>
        <v>1</v>
      </c>
      <c r="U71" s="106">
        <f t="shared" si="72"/>
        <v>3</v>
      </c>
      <c r="V71" s="106">
        <f t="shared" si="73"/>
        <v>0</v>
      </c>
      <c r="W71" s="106">
        <f t="shared" si="67"/>
        <v>3</v>
      </c>
      <c r="X71" s="106">
        <f t="shared" si="68"/>
        <v>12</v>
      </c>
      <c r="Y71" s="107" t="str">
        <f t="shared" si="61"/>
        <v>Moderate</v>
      </c>
      <c r="Z71" s="104"/>
      <c r="AA71" s="108">
        <f t="shared" si="69"/>
        <v>0.52</v>
      </c>
      <c r="AB71" s="109">
        <f t="shared" si="70"/>
        <v>0</v>
      </c>
      <c r="AC71" s="101" t="s">
        <v>155</v>
      </c>
      <c r="AD71" s="146" t="s">
        <v>613</v>
      </c>
      <c r="AE71" s="113"/>
      <c r="AF71" s="691" t="s">
        <v>200</v>
      </c>
      <c r="AG71" s="126"/>
      <c r="AH71" s="959" t="s">
        <v>614</v>
      </c>
      <c r="AI71" s="150">
        <v>0.35</v>
      </c>
      <c r="AJ71" s="128">
        <v>0</v>
      </c>
      <c r="AK71" s="128">
        <v>0</v>
      </c>
      <c r="AL71" s="128">
        <v>0</v>
      </c>
      <c r="AM71" s="152">
        <v>3</v>
      </c>
      <c r="AN71" s="152">
        <v>9</v>
      </c>
      <c r="AO71" s="152">
        <v>12</v>
      </c>
      <c r="AP71" s="112" t="str">
        <f>IF(OR(ISBLANK(AI71),AI71=0),"INSERT LIKELIHOOD",IF(ABS(AI71)&lt;='Risk Matrices'!$D$22,'Risk Matrices'!$C$21,IF(ABS(AI71)&lt;='Risk Matrices'!$D$19,'Risk Matrices'!$C$18,IF(ABS(AI71)&lt;='Risk Matrices'!$D$16,'Risk Matrices'!$C$15,IF(ABS(AI71)&lt;='Risk Matrices'!$D$13,'Risk Matrices'!$C$12,'Risk Matrices'!$C$10)))))</f>
        <v>Moderate</v>
      </c>
      <c r="AQ71" s="112" t="str">
        <f>IF(OR(ISBLANK(AK71),AK71=0),"None",IF(ABS(AK71)&lt;='Risk Matrices'!$E$7,'Risk Matrices'!$E$5,IF(ABS(AK71)&lt;='Risk Matrices'!$G$7,'Risk Matrices'!$G$5,IF(ABS(AK71)&lt;='Risk Matrices'!$H$7,'Risk Matrices'!$H$5,'Risk Matrices'!$I$5))))</f>
        <v>None</v>
      </c>
      <c r="AR71" s="112" t="str">
        <f>IF(AN71="","",IF(ABS(AN71)&lt;='Risk Matrices'!$E$8,"Negligible",IF(ABS(AN71)&lt;='Risk Matrices'!$F$8,"Marginal",IF(ABS(AN71)&lt;='Risk Matrices'!$G$8,"Significant",IF(ABS(AN71)&lt;='Risk Matrices'!$H$8,"Critical","Crisis")))))</f>
        <v>Significant</v>
      </c>
      <c r="AS71" s="103" t="s">
        <v>130</v>
      </c>
      <c r="AT71" s="298">
        <f>IF(OR(ISBLANK(AI71),AI71=0),0,VLOOKUP(AP71,'Risk Matrices'!$B$30:$C$34,2,0))</f>
        <v>3</v>
      </c>
      <c r="AU71" s="298">
        <f>IF(OR(ISBLANK(AK71),AK71=0),0,HLOOKUP(AQ71,'Risk Matrices'!$D$28:$H$29,2,0))</f>
        <v>0</v>
      </c>
      <c r="AV71" s="298">
        <f>IF(OR(ISBLANK(AR71),AR71=0),0,HLOOKUP(AR71,'Risk Matrices'!$D$28:$H$29,2,0))</f>
        <v>3</v>
      </c>
      <c r="AW71" s="298">
        <f>IF(AS71="None",0,HLOOKUP(AS71,'Risk Matrices'!$D$28:$H$29,2,0))</f>
        <v>0</v>
      </c>
      <c r="AX71" s="106">
        <f t="shared" si="48"/>
        <v>3</v>
      </c>
      <c r="AY71" s="106">
        <f t="shared" si="49"/>
        <v>9</v>
      </c>
      <c r="AZ71" s="967" t="str">
        <f>IF(B71="Retired","Retired",IF(OR(ISBLANK(AY71),AY71=0),"TBD",IF(AY71&lt;='Risk Matrices'!$D$40,'Risk Matrices'!$B$40,IF(AY71&lt;='Risk Matrices'!$D$39,'Risk Matrices'!$B$39,'Risk Matrices'!$B$38))))</f>
        <v>Moderate</v>
      </c>
      <c r="BA71" s="121"/>
      <c r="BB71" s="113" t="s">
        <v>615</v>
      </c>
      <c r="BC71" s="109">
        <f t="shared" si="50"/>
        <v>0</v>
      </c>
      <c r="BD71" s="929">
        <v>45544</v>
      </c>
      <c r="BE71" s="104"/>
      <c r="BF71" s="104"/>
      <c r="BG71" s="104"/>
      <c r="BH71" s="104"/>
      <c r="BI71" s="104"/>
      <c r="BJ71" s="874">
        <f t="shared" si="51"/>
        <v>0</v>
      </c>
      <c r="BK71" s="101"/>
      <c r="BL71" s="116"/>
      <c r="BM71" s="116">
        <v>45517</v>
      </c>
      <c r="BN71" s="116">
        <v>45517</v>
      </c>
      <c r="BO71" s="332"/>
      <c r="BP71" s="94">
        <f t="shared" si="74"/>
        <v>0</v>
      </c>
      <c r="BQ71" s="97" t="str">
        <f t="shared" si="53"/>
        <v>0 - 0 - 0</v>
      </c>
      <c r="BR71" s="97" t="str">
        <f t="shared" si="54"/>
        <v>3 - 9 - 12</v>
      </c>
      <c r="BS71" s="715">
        <f t="shared" si="64"/>
        <v>0</v>
      </c>
      <c r="BT71" s="736">
        <f t="shared" si="55"/>
        <v>2.7999999999999994</v>
      </c>
      <c r="BU71" s="735"/>
      <c r="BV71" s="873"/>
    </row>
    <row r="72" spans="2:75" customFormat="1" ht="68" hidden="1" customHeight="1" x14ac:dyDescent="0.2">
      <c r="B72" s="101" t="str">
        <f t="shared" si="66"/>
        <v>Active</v>
      </c>
      <c r="C72" s="785" t="s">
        <v>616</v>
      </c>
      <c r="D72" s="101" t="s">
        <v>151</v>
      </c>
      <c r="E72" s="815" t="s">
        <v>526</v>
      </c>
      <c r="F72" s="102" t="s">
        <v>124</v>
      </c>
      <c r="G72" s="106" t="s">
        <v>527</v>
      </c>
      <c r="H72" s="815" t="str">
        <f t="shared" si="71"/>
        <v>RT-6-004-012-LLP-CD3B</v>
      </c>
      <c r="I72" s="691" t="s">
        <v>610</v>
      </c>
      <c r="J72" s="103" t="s">
        <v>475</v>
      </c>
      <c r="K72" s="691" t="s">
        <v>617</v>
      </c>
      <c r="L72" s="197" t="s">
        <v>618</v>
      </c>
      <c r="M72" s="103" t="s">
        <v>129</v>
      </c>
      <c r="N72" s="134">
        <v>0</v>
      </c>
      <c r="O72" s="106" t="str" cm="1">
        <f t="array" ref="O72">_xlfn.IFS(N72="","",ABS(N72)&lt;='Risk Matrices'!$E$7,'Risk Matrices'!$E$5,ABS(N72)&lt;='Risk Matrices'!$F$7,'Risk Matrices'!$F$5,ABS(N72)&lt;='Risk Matrices'!$G$7,'Risk Matrices'!$G$5,ABS(N72)&lt;='Risk Matrices'!$H$7,'Risk Matrices'!$H$5,ABS(N72)&gt;'Risk Matrices'!$H$7,'Risk Matrices'!$I$5)</f>
        <v>Negligible</v>
      </c>
      <c r="P72" s="126">
        <v>12</v>
      </c>
      <c r="Q72" s="101" t="str" cm="1">
        <f t="array" ref="Q72">_xlfn.IFS(P72="","",ABS(P72)&lt;='Risk Matrices'!$E$8,'Risk Matrices'!$E$5,ABS(P72)&lt;='Risk Matrices'!$F$8,'Risk Matrices'!$F$5,ABS(P72)&lt;='Risk Matrices'!$G$8,'Risk Matrices'!$G$5,ABS(P72)&lt;='Risk Matrices'!$H$8,'Risk Matrices'!$H$5,ABS(P72)&gt;'Risk Matrices'!$H$8,'Risk Matrices'!$I$5)</f>
        <v>Significant</v>
      </c>
      <c r="R72" s="101" t="s">
        <v>130</v>
      </c>
      <c r="S72" s="106">
        <f t="shared" si="57"/>
        <v>4</v>
      </c>
      <c r="T72" s="106" cm="1">
        <f t="array" ref="T72">_xlfn.IFS(O72='Risk Matrices'!$D$28,'Risk Matrices'!$D$29,O72='Risk Matrices'!$E$28,'Risk Matrices'!$E$29,O72='Risk Matrices'!$F$28,'Risk Matrices'!$F$29,O72='Risk Matrices'!$G$28,'Risk Matrices'!$G$29,O72='Risk Matrices'!$H$28,'Risk Matrices'!$H$29)</f>
        <v>1</v>
      </c>
      <c r="U72" s="106">
        <f t="shared" si="72"/>
        <v>3</v>
      </c>
      <c r="V72" s="106">
        <f t="shared" si="73"/>
        <v>0</v>
      </c>
      <c r="W72" s="106">
        <f t="shared" si="67"/>
        <v>3</v>
      </c>
      <c r="X72" s="106">
        <f t="shared" si="68"/>
        <v>12</v>
      </c>
      <c r="Y72" s="107" t="str">
        <f t="shared" si="61"/>
        <v>Moderate</v>
      </c>
      <c r="Z72" s="121"/>
      <c r="AA72" s="108">
        <f t="shared" si="69"/>
        <v>0.52</v>
      </c>
      <c r="AB72" s="109">
        <f t="shared" si="70"/>
        <v>0</v>
      </c>
      <c r="AC72" s="101" t="s">
        <v>155</v>
      </c>
      <c r="AD72" s="146" t="s">
        <v>613</v>
      </c>
      <c r="AE72" s="113"/>
      <c r="AF72" s="691" t="s">
        <v>619</v>
      </c>
      <c r="AG72" s="126"/>
      <c r="AH72" s="959" t="s">
        <v>620</v>
      </c>
      <c r="AI72" s="150">
        <v>0.2</v>
      </c>
      <c r="AJ72" s="128">
        <v>0</v>
      </c>
      <c r="AK72" s="128">
        <v>0</v>
      </c>
      <c r="AL72" s="128">
        <v>0</v>
      </c>
      <c r="AM72" s="152">
        <v>2</v>
      </c>
      <c r="AN72" s="152">
        <v>4</v>
      </c>
      <c r="AO72" s="152">
        <v>6</v>
      </c>
      <c r="AP72" s="112" t="str">
        <f>IF(OR(ISBLANK(AI72),AI72=0),"INSERT LIKELIHOOD",IF(ABS(AI72)&lt;='Risk Matrices'!$D$22,'Risk Matrices'!$C$21,IF(ABS(AI72)&lt;='Risk Matrices'!$D$19,'Risk Matrices'!$C$18,IF(ABS(AI72)&lt;='Risk Matrices'!$D$16,'Risk Matrices'!$C$15,IF(ABS(AI72)&lt;='Risk Matrices'!$D$13,'Risk Matrices'!$C$12,'Risk Matrices'!$C$10)))))</f>
        <v>Low</v>
      </c>
      <c r="AQ72" s="112" t="str">
        <f>IF(OR(ISBLANK(AK72),AK72=0),"None",IF(ABS(AK72)&lt;='Risk Matrices'!$E$7,'Risk Matrices'!$E$5,IF(ABS(AK72)&lt;='Risk Matrices'!$G$7,'Risk Matrices'!$G$5,IF(ABS(AK72)&lt;='Risk Matrices'!$H$7,'Risk Matrices'!$H$5,'Risk Matrices'!$I$5))))</f>
        <v>None</v>
      </c>
      <c r="AR72" s="112" t="str">
        <f>IF(AN72="","",IF(ABS(AN72)&lt;='Risk Matrices'!$E$8,"Negligible",IF(ABS(AN72)&lt;='Risk Matrices'!$F$8,"Marginal",IF(ABS(AN72)&lt;='Risk Matrices'!$G$8,"Significant",IF(ABS(AN72)&lt;='Risk Matrices'!$H$8,"Critical","Crisis")))))</f>
        <v>Marginal</v>
      </c>
      <c r="AS72" s="103" t="s">
        <v>130</v>
      </c>
      <c r="AT72" s="298">
        <f>IF(OR(ISBLANK(AI72),AI72=0),0,VLOOKUP(AP72,'Risk Matrices'!$B$30:$C$34,2,0))</f>
        <v>2</v>
      </c>
      <c r="AU72" s="298">
        <f>IF(OR(ISBLANK(AK72),AK72=0),0,HLOOKUP(AQ72,'Risk Matrices'!$D$28:$H$29,2,0))</f>
        <v>0</v>
      </c>
      <c r="AV72" s="298">
        <f>IF(OR(ISBLANK(AR72),AR72=0),0,HLOOKUP(AR72,'Risk Matrices'!$D$28:$H$29,2,0))</f>
        <v>2</v>
      </c>
      <c r="AW72" s="298">
        <f>IF(AS72="None",0,HLOOKUP(AS72,'Risk Matrices'!$D$28:$H$29,2,0))</f>
        <v>0</v>
      </c>
      <c r="AX72" s="106">
        <f t="shared" si="48"/>
        <v>2</v>
      </c>
      <c r="AY72" s="106">
        <f t="shared" si="49"/>
        <v>4</v>
      </c>
      <c r="AZ72" s="968" t="str">
        <f>IF(B72="Retired","Retired",IF(OR(ISBLANK(AY72),AY72=0),"TBD",IF(AY72&lt;='Risk Matrices'!$D$40,'Risk Matrices'!$B$40,IF(AY72&lt;='Risk Matrices'!$D$39,'Risk Matrices'!$B$39,'Risk Matrices'!$B$38))))</f>
        <v>Low</v>
      </c>
      <c r="BA72" s="121"/>
      <c r="BB72" s="113" t="s">
        <v>621</v>
      </c>
      <c r="BC72" s="109">
        <f t="shared" si="50"/>
        <v>0</v>
      </c>
      <c r="BD72" s="929">
        <v>45544</v>
      </c>
      <c r="BE72" s="104"/>
      <c r="BF72" s="104"/>
      <c r="BG72" s="104"/>
      <c r="BH72" s="104"/>
      <c r="BI72" s="104"/>
      <c r="BJ72" s="874">
        <f t="shared" si="51"/>
        <v>0</v>
      </c>
      <c r="BK72" s="101"/>
      <c r="BL72" s="116"/>
      <c r="BM72" s="116">
        <v>45517</v>
      </c>
      <c r="BN72" s="116">
        <v>45517</v>
      </c>
      <c r="BO72" s="332"/>
      <c r="BP72" s="94">
        <f t="shared" si="74"/>
        <v>0</v>
      </c>
      <c r="BQ72" s="97" t="str">
        <f t="shared" si="53"/>
        <v>0 - 0 - 0</v>
      </c>
      <c r="BR72" s="97" t="str">
        <f t="shared" si="54"/>
        <v>2 - 4 - 6</v>
      </c>
      <c r="BS72" s="715">
        <f t="shared" si="64"/>
        <v>0</v>
      </c>
      <c r="BT72" s="736">
        <f t="shared" si="55"/>
        <v>0.80000000000000016</v>
      </c>
      <c r="BU72" s="735"/>
      <c r="BV72" s="873"/>
    </row>
    <row r="73" spans="2:75" customFormat="1" ht="68" hidden="1" customHeight="1" x14ac:dyDescent="0.2">
      <c r="B73" s="101" t="str">
        <f t="shared" si="66"/>
        <v>Active</v>
      </c>
      <c r="C73" s="785" t="s">
        <v>622</v>
      </c>
      <c r="D73" s="101" t="s">
        <v>151</v>
      </c>
      <c r="E73" s="815" t="s">
        <v>526</v>
      </c>
      <c r="F73" s="102" t="s">
        <v>124</v>
      </c>
      <c r="G73" s="106" t="s">
        <v>527</v>
      </c>
      <c r="H73" s="815" t="str">
        <f t="shared" si="71"/>
        <v>RT-6-004-012a-LLP-CD3B</v>
      </c>
      <c r="I73" s="691" t="s">
        <v>610</v>
      </c>
      <c r="J73" s="103" t="s">
        <v>475</v>
      </c>
      <c r="K73" s="691" t="s">
        <v>623</v>
      </c>
      <c r="L73" s="197" t="s">
        <v>618</v>
      </c>
      <c r="M73" s="103" t="s">
        <v>129</v>
      </c>
      <c r="N73" s="134">
        <v>0</v>
      </c>
      <c r="O73" s="106" t="str" cm="1">
        <f t="array" ref="O73">_xlfn.IFS(N73="","",ABS(N73)&lt;='Risk Matrices'!$E$7,'Risk Matrices'!$E$5,ABS(N73)&lt;='Risk Matrices'!$F$7,'Risk Matrices'!$F$5,ABS(N73)&lt;='Risk Matrices'!$G$7,'Risk Matrices'!$G$5,ABS(N73)&lt;='Risk Matrices'!$H$7,'Risk Matrices'!$H$5,ABS(N73)&gt;'Risk Matrices'!$H$7,'Risk Matrices'!$I$5)</f>
        <v>Negligible</v>
      </c>
      <c r="P73" s="126">
        <v>12</v>
      </c>
      <c r="Q73" s="101" t="str" cm="1">
        <f t="array" ref="Q73">_xlfn.IFS(P73="","",ABS(P73)&lt;='Risk Matrices'!$E$8,'Risk Matrices'!$E$5,ABS(P73)&lt;='Risk Matrices'!$F$8,'Risk Matrices'!$F$5,ABS(P73)&lt;='Risk Matrices'!$G$8,'Risk Matrices'!$G$5,ABS(P73)&lt;='Risk Matrices'!$H$8,'Risk Matrices'!$H$5,ABS(P73)&gt;'Risk Matrices'!$H$8,'Risk Matrices'!$I$5)</f>
        <v>Significant</v>
      </c>
      <c r="R73" s="101" t="s">
        <v>130</v>
      </c>
      <c r="S73" s="106">
        <f t="shared" si="57"/>
        <v>4</v>
      </c>
      <c r="T73" s="106" cm="1">
        <f t="array" ref="T73">_xlfn.IFS(O73='Risk Matrices'!$D$28,'Risk Matrices'!$D$29,O73='Risk Matrices'!$E$28,'Risk Matrices'!$E$29,O73='Risk Matrices'!$F$28,'Risk Matrices'!$F$29,O73='Risk Matrices'!$G$28,'Risk Matrices'!$G$29,O73='Risk Matrices'!$H$28,'Risk Matrices'!$H$29)</f>
        <v>1</v>
      </c>
      <c r="U73" s="106">
        <f t="shared" si="72"/>
        <v>3</v>
      </c>
      <c r="V73" s="106">
        <f t="shared" si="73"/>
        <v>0</v>
      </c>
      <c r="W73" s="106">
        <f t="shared" si="67"/>
        <v>3</v>
      </c>
      <c r="X73" s="106">
        <f t="shared" si="68"/>
        <v>12</v>
      </c>
      <c r="Y73" s="107" t="str">
        <f t="shared" si="61"/>
        <v>Moderate</v>
      </c>
      <c r="Z73" s="121"/>
      <c r="AA73" s="108">
        <f t="shared" si="69"/>
        <v>0.52</v>
      </c>
      <c r="AB73" s="109">
        <f t="shared" si="70"/>
        <v>0</v>
      </c>
      <c r="AC73" s="101" t="s">
        <v>155</v>
      </c>
      <c r="AD73" s="146" t="s">
        <v>613</v>
      </c>
      <c r="AE73" s="113"/>
      <c r="AF73" s="691" t="s">
        <v>619</v>
      </c>
      <c r="AG73" s="126"/>
      <c r="AH73" s="959" t="s">
        <v>624</v>
      </c>
      <c r="AI73" s="150">
        <v>0.2</v>
      </c>
      <c r="AJ73" s="128">
        <v>0</v>
      </c>
      <c r="AK73" s="128">
        <v>0</v>
      </c>
      <c r="AL73" s="128">
        <v>0</v>
      </c>
      <c r="AM73" s="152">
        <v>2</v>
      </c>
      <c r="AN73" s="152">
        <v>4</v>
      </c>
      <c r="AO73" s="152">
        <v>6</v>
      </c>
      <c r="AP73" s="112" t="str">
        <f>IF(OR(ISBLANK(AI73),AI73=0),"INSERT LIKELIHOOD",IF(ABS(AI73)&lt;='Risk Matrices'!$D$22,'Risk Matrices'!$C$21,IF(ABS(AI73)&lt;='Risk Matrices'!$D$19,'Risk Matrices'!$C$18,IF(ABS(AI73)&lt;='Risk Matrices'!$D$16,'Risk Matrices'!$C$15,IF(ABS(AI73)&lt;='Risk Matrices'!$D$13,'Risk Matrices'!$C$12,'Risk Matrices'!$C$10)))))</f>
        <v>Low</v>
      </c>
      <c r="AQ73" s="112" t="str">
        <f>IF(OR(ISBLANK(AK73),AK73=0),"None",IF(ABS(AK73)&lt;='Risk Matrices'!$E$7,'Risk Matrices'!$E$5,IF(ABS(AK73)&lt;='Risk Matrices'!$G$7,'Risk Matrices'!$G$5,IF(ABS(AK73)&lt;='Risk Matrices'!$H$7,'Risk Matrices'!$H$5,'Risk Matrices'!$I$5))))</f>
        <v>None</v>
      </c>
      <c r="AR73" s="112" t="str">
        <f>IF(AN73="","",IF(ABS(AN73)&lt;='Risk Matrices'!$E$8,"Negligible",IF(ABS(AN73)&lt;='Risk Matrices'!$F$8,"Marginal",IF(ABS(AN73)&lt;='Risk Matrices'!$G$8,"Significant",IF(ABS(AN73)&lt;='Risk Matrices'!$H$8,"Critical","Crisis")))))</f>
        <v>Marginal</v>
      </c>
      <c r="AS73" s="103" t="s">
        <v>130</v>
      </c>
      <c r="AT73" s="298">
        <f>IF(OR(ISBLANK(AI73),AI73=0),0,VLOOKUP(AP73,'Risk Matrices'!$B$30:$C$34,2,0))</f>
        <v>2</v>
      </c>
      <c r="AU73" s="298">
        <f>IF(OR(ISBLANK(AK73),AK73=0),0,HLOOKUP(AQ73,'Risk Matrices'!$D$28:$H$29,2,0))</f>
        <v>0</v>
      </c>
      <c r="AV73" s="298">
        <f>IF(OR(ISBLANK(AR73),AR73=0),0,HLOOKUP(AR73,'Risk Matrices'!$D$28:$H$29,2,0))</f>
        <v>2</v>
      </c>
      <c r="AW73" s="298">
        <f>IF(AS73="None",0,HLOOKUP(AS73,'Risk Matrices'!$D$28:$H$29,2,0))</f>
        <v>0</v>
      </c>
      <c r="AX73" s="106">
        <f t="shared" si="48"/>
        <v>2</v>
      </c>
      <c r="AY73" s="106">
        <f t="shared" si="49"/>
        <v>4</v>
      </c>
      <c r="AZ73" s="968" t="str">
        <f>IF(B73="Retired","Retired",IF(OR(ISBLANK(AY73),AY73=0),"TBD",IF(AY73&lt;='Risk Matrices'!$D$40,'Risk Matrices'!$B$40,IF(AY73&lt;='Risk Matrices'!$D$39,'Risk Matrices'!$B$39,'Risk Matrices'!$B$38))))</f>
        <v>Low</v>
      </c>
      <c r="BA73" s="121"/>
      <c r="BB73" s="113" t="s">
        <v>621</v>
      </c>
      <c r="BC73" s="109">
        <f t="shared" si="50"/>
        <v>0</v>
      </c>
      <c r="BD73" s="929">
        <v>45562</v>
      </c>
      <c r="BE73" s="104"/>
      <c r="BF73" s="104"/>
      <c r="BG73" s="104"/>
      <c r="BH73" s="104"/>
      <c r="BI73" s="104"/>
      <c r="BJ73" s="874">
        <f t="shared" si="51"/>
        <v>0</v>
      </c>
      <c r="BK73" s="101"/>
      <c r="BL73" s="116"/>
      <c r="BM73" s="116">
        <v>45562</v>
      </c>
      <c r="BN73" s="116">
        <v>45562</v>
      </c>
      <c r="BO73" s="332"/>
      <c r="BP73" s="94">
        <f t="shared" si="74"/>
        <v>0</v>
      </c>
      <c r="BQ73" s="97" t="str">
        <f t="shared" si="53"/>
        <v>0 - 0 - 0</v>
      </c>
      <c r="BR73" s="97" t="str">
        <f t="shared" si="54"/>
        <v>2 - 4 - 6</v>
      </c>
      <c r="BS73" s="715">
        <f t="shared" si="64"/>
        <v>0</v>
      </c>
      <c r="BT73" s="736">
        <f t="shared" si="55"/>
        <v>0.80000000000000016</v>
      </c>
      <c r="BU73" s="735"/>
      <c r="BV73" s="873"/>
    </row>
    <row r="74" spans="2:75" customFormat="1" ht="68" hidden="1" customHeight="1" x14ac:dyDescent="0.2">
      <c r="B74" s="101" t="str">
        <f t="shared" si="66"/>
        <v>Active</v>
      </c>
      <c r="C74" s="785" t="s">
        <v>625</v>
      </c>
      <c r="D74" s="101" t="s">
        <v>151</v>
      </c>
      <c r="E74" s="815" t="s">
        <v>526</v>
      </c>
      <c r="F74" s="102" t="s">
        <v>124</v>
      </c>
      <c r="G74" s="106" t="s">
        <v>527</v>
      </c>
      <c r="H74" s="815" t="str">
        <f t="shared" si="71"/>
        <v>RT-6-004-013-LLP-CD3B</v>
      </c>
      <c r="I74" s="691" t="s">
        <v>610</v>
      </c>
      <c r="J74" s="103" t="s">
        <v>475</v>
      </c>
      <c r="K74" s="952" t="s">
        <v>626</v>
      </c>
      <c r="L74" s="91" t="s">
        <v>627</v>
      </c>
      <c r="M74" s="103" t="s">
        <v>129</v>
      </c>
      <c r="N74" s="134">
        <v>1000</v>
      </c>
      <c r="O74" s="106" t="str" cm="1">
        <f t="array" ref="O74">_xlfn.IFS(N74="","",ABS(N74)&lt;='Risk Matrices'!$E$7,'Risk Matrices'!$E$5,ABS(N74)&lt;='Risk Matrices'!$F$7,'Risk Matrices'!$F$5,ABS(N74)&lt;='Risk Matrices'!$G$7,'Risk Matrices'!$G$5,ABS(N74)&lt;='Risk Matrices'!$H$7,'Risk Matrices'!$H$5,ABS(N74)&gt;'Risk Matrices'!$H$7,'Risk Matrices'!$I$5)</f>
        <v>Marginal</v>
      </c>
      <c r="P74" s="126">
        <v>0</v>
      </c>
      <c r="Q74" s="101" t="str" cm="1">
        <f t="array" ref="Q74">_xlfn.IFS(P74="","",ABS(P74)&lt;='Risk Matrices'!$E$8,'Risk Matrices'!$E$5,ABS(P74)&lt;='Risk Matrices'!$F$8,'Risk Matrices'!$F$5,ABS(P74)&lt;='Risk Matrices'!$G$8,'Risk Matrices'!$G$5,ABS(P74)&lt;='Risk Matrices'!$H$8,'Risk Matrices'!$H$5,ABS(P74)&gt;'Risk Matrices'!$H$8,'Risk Matrices'!$I$5)</f>
        <v>Negligible</v>
      </c>
      <c r="R74" s="126" t="s">
        <v>130</v>
      </c>
      <c r="S74" s="106">
        <f t="shared" si="57"/>
        <v>4</v>
      </c>
      <c r="T74" s="106" cm="1">
        <f t="array" ref="T74">_xlfn.IFS(O74='Risk Matrices'!$D$28,'Risk Matrices'!$D$29,O74='Risk Matrices'!$E$28,'Risk Matrices'!$E$29,O74='Risk Matrices'!$F$28,'Risk Matrices'!$F$29,O74='Risk Matrices'!$G$28,'Risk Matrices'!$G$29,O74='Risk Matrices'!$H$28,'Risk Matrices'!$H$29)</f>
        <v>2</v>
      </c>
      <c r="U74" s="106">
        <f t="shared" si="72"/>
        <v>1</v>
      </c>
      <c r="V74" s="106">
        <f t="shared" si="73"/>
        <v>0</v>
      </c>
      <c r="W74" s="106">
        <f t="shared" si="67"/>
        <v>2</v>
      </c>
      <c r="X74" s="106">
        <f t="shared" si="68"/>
        <v>8</v>
      </c>
      <c r="Y74" s="107" t="str">
        <f t="shared" si="61"/>
        <v>Moderate</v>
      </c>
      <c r="Z74" s="121"/>
      <c r="AA74" s="108">
        <f t="shared" si="69"/>
        <v>0.52</v>
      </c>
      <c r="AB74" s="109">
        <f t="shared" si="70"/>
        <v>520</v>
      </c>
      <c r="AC74" s="101" t="s">
        <v>143</v>
      </c>
      <c r="AD74" s="146" t="s">
        <v>144</v>
      </c>
      <c r="AE74" s="113"/>
      <c r="AF74" s="691" t="s">
        <v>628</v>
      </c>
      <c r="AG74" s="126"/>
      <c r="AH74" s="959" t="s">
        <v>629</v>
      </c>
      <c r="AI74" s="150">
        <v>0.25</v>
      </c>
      <c r="AJ74" s="128">
        <v>300</v>
      </c>
      <c r="AK74" s="128">
        <v>600</v>
      </c>
      <c r="AL74" s="128">
        <v>1200</v>
      </c>
      <c r="AM74" s="152">
        <v>0</v>
      </c>
      <c r="AN74" s="152">
        <v>0</v>
      </c>
      <c r="AO74" s="152">
        <v>0</v>
      </c>
      <c r="AP74" s="112" t="str">
        <f>IF(OR(ISBLANK(AI74),AI74=0),"INSERT LIKELIHOOD",IF(ABS(AI74)&lt;='Risk Matrices'!$D$22,'Risk Matrices'!$C$21,IF(ABS(AI74)&lt;='Risk Matrices'!$D$19,'Risk Matrices'!$C$18,IF(ABS(AI74)&lt;='Risk Matrices'!$D$16,'Risk Matrices'!$C$15,IF(ABS(AI74)&lt;='Risk Matrices'!$D$13,'Risk Matrices'!$C$12,'Risk Matrices'!$C$10)))))</f>
        <v>Low</v>
      </c>
      <c r="AQ74" s="112" t="str">
        <f>IF(OR(ISBLANK(AK74),AK74=0),"None",IF(ABS(AK74)&lt;='Risk Matrices'!$E$7,'Risk Matrices'!$E$5,IF(ABS(AK74)&lt;='Risk Matrices'!$G$7,'Risk Matrices'!$G$5,IF(ABS(AK74)&lt;='Risk Matrices'!$H$7,'Risk Matrices'!$H$5,'Risk Matrices'!$I$5))))</f>
        <v>Significant</v>
      </c>
      <c r="AR74" s="112" t="str">
        <f>IF(AN74="","",IF(ABS(AN74)&lt;='Risk Matrices'!$E$8,"Negligible",IF(ABS(AN74)&lt;='Risk Matrices'!$F$8,"Marginal",IF(ABS(AN74)&lt;='Risk Matrices'!$G$8,"Significant",IF(ABS(AN74)&lt;='Risk Matrices'!$H$8,"Critical","Crisis")))))</f>
        <v>Negligible</v>
      </c>
      <c r="AS74" s="103" t="s">
        <v>130</v>
      </c>
      <c r="AT74" s="298">
        <f>IF(OR(ISBLANK(AI74),AI74=0),0,VLOOKUP(AP74,'Risk Matrices'!$B$30:$C$34,2,0))</f>
        <v>2</v>
      </c>
      <c r="AU74" s="298">
        <f>IF(OR(ISBLANK(AK74),AK74=0),0,HLOOKUP(AQ74,'Risk Matrices'!$D$28:$H$29,2,0))</f>
        <v>3</v>
      </c>
      <c r="AV74" s="298">
        <f>IF(OR(ISBLANK(AR74),AR74=0),0,HLOOKUP(AR74,'Risk Matrices'!$D$28:$H$29,2,0))</f>
        <v>1</v>
      </c>
      <c r="AW74" s="298">
        <f>IF(AS74="None",0,HLOOKUP(AS74,'Risk Matrices'!$D$28:$H$29,2,0))</f>
        <v>0</v>
      </c>
      <c r="AX74" s="106">
        <f t="shared" si="48"/>
        <v>3</v>
      </c>
      <c r="AY74" s="106">
        <f t="shared" si="49"/>
        <v>6</v>
      </c>
      <c r="AZ74" s="968" t="str">
        <f>IF(B74="Retired","Retired",IF(OR(ISBLANK(AY74),AY74=0),"TBD",IF(AY74&lt;='Risk Matrices'!$D$40,'Risk Matrices'!$B$40,IF(AY74&lt;='Risk Matrices'!$D$39,'Risk Matrices'!$B$39,'Risk Matrices'!$B$38))))</f>
        <v>Low</v>
      </c>
      <c r="BA74" s="121"/>
      <c r="BB74" s="958" t="s">
        <v>630</v>
      </c>
      <c r="BC74" s="109">
        <f t="shared" si="50"/>
        <v>150</v>
      </c>
      <c r="BD74" s="929">
        <v>45544</v>
      </c>
      <c r="BE74" s="104"/>
      <c r="BF74" s="104"/>
      <c r="BG74" s="104"/>
      <c r="BH74" s="104"/>
      <c r="BI74" s="104"/>
      <c r="BJ74" s="874">
        <f t="shared" si="51"/>
        <v>175</v>
      </c>
      <c r="BK74" s="101"/>
      <c r="BL74" s="116"/>
      <c r="BM74" s="116">
        <v>45517</v>
      </c>
      <c r="BN74" s="116">
        <v>45517</v>
      </c>
      <c r="BO74" s="332"/>
      <c r="BP74" s="94">
        <f t="shared" si="74"/>
        <v>162.5</v>
      </c>
      <c r="BQ74" s="97" t="str">
        <f t="shared" si="53"/>
        <v>300 - 600 - 1200</v>
      </c>
      <c r="BR74" s="97" t="str">
        <f t="shared" si="54"/>
        <v>0 - 0 - 0</v>
      </c>
      <c r="BS74" s="715">
        <f t="shared" si="64"/>
        <v>175</v>
      </c>
      <c r="BT74" s="736">
        <f t="shared" si="55"/>
        <v>0</v>
      </c>
      <c r="BU74" s="735"/>
      <c r="BV74" s="873"/>
    </row>
    <row r="75" spans="2:75" customFormat="1" ht="68" hidden="1" customHeight="1" x14ac:dyDescent="0.2">
      <c r="B75" s="101" t="str">
        <f t="shared" si="66"/>
        <v>Active</v>
      </c>
      <c r="C75" s="785" t="s">
        <v>631</v>
      </c>
      <c r="D75" s="101" t="s">
        <v>151</v>
      </c>
      <c r="E75" s="815" t="s">
        <v>526</v>
      </c>
      <c r="F75" s="102" t="s">
        <v>124</v>
      </c>
      <c r="G75" s="106" t="s">
        <v>527</v>
      </c>
      <c r="H75" s="815" t="str">
        <f t="shared" si="71"/>
        <v>RT-6-004-013a-LLP-CD3B</v>
      </c>
      <c r="I75" s="691" t="s">
        <v>610</v>
      </c>
      <c r="J75" s="103" t="s">
        <v>475</v>
      </c>
      <c r="K75" s="691" t="s">
        <v>632</v>
      </c>
      <c r="L75" s="91" t="s">
        <v>633</v>
      </c>
      <c r="M75" s="104" t="s">
        <v>206</v>
      </c>
      <c r="N75" s="134">
        <v>0</v>
      </c>
      <c r="O75" s="106" t="str" cm="1">
        <f t="array" ref="O75">_xlfn.IFS(N75="","",ABS(N75)&lt;='Risk Matrices'!$E$7,'Risk Matrices'!$E$5,ABS(N75)&lt;='Risk Matrices'!$F$7,'Risk Matrices'!$F$5,ABS(N75)&lt;='Risk Matrices'!$G$7,'Risk Matrices'!$G$5,ABS(N75)&lt;='Risk Matrices'!$H$7,'Risk Matrices'!$H$5,ABS(N75)&gt;'Risk Matrices'!$H$7,'Risk Matrices'!$I$5)</f>
        <v>Negligible</v>
      </c>
      <c r="P75" s="126">
        <v>0</v>
      </c>
      <c r="Q75" s="101" t="str" cm="1">
        <f t="array" ref="Q75">_xlfn.IFS(P75="","",ABS(P75)&lt;='Risk Matrices'!$E$8,'Risk Matrices'!$E$5,ABS(P75)&lt;='Risk Matrices'!$F$8,'Risk Matrices'!$F$5,ABS(P75)&lt;='Risk Matrices'!$G$8,'Risk Matrices'!$G$5,ABS(P75)&lt;='Risk Matrices'!$H$8,'Risk Matrices'!$H$5,ABS(P75)&gt;'Risk Matrices'!$H$8,'Risk Matrices'!$I$5)</f>
        <v>Negligible</v>
      </c>
      <c r="R75" s="126" t="s">
        <v>130</v>
      </c>
      <c r="S75" s="106">
        <f t="shared" si="57"/>
        <v>2</v>
      </c>
      <c r="T75" s="106" cm="1">
        <f t="array" ref="T75">_xlfn.IFS(O75='Risk Matrices'!$D$28,'Risk Matrices'!$D$29,O75='Risk Matrices'!$E$28,'Risk Matrices'!$E$29,O75='Risk Matrices'!$F$28,'Risk Matrices'!$F$29,O75='Risk Matrices'!$G$28,'Risk Matrices'!$G$29,O75='Risk Matrices'!$H$28,'Risk Matrices'!$H$29)</f>
        <v>1</v>
      </c>
      <c r="U75" s="106">
        <f t="shared" si="72"/>
        <v>1</v>
      </c>
      <c r="V75" s="106">
        <f t="shared" si="73"/>
        <v>0</v>
      </c>
      <c r="W75" s="106">
        <f t="shared" si="67"/>
        <v>1</v>
      </c>
      <c r="X75" s="106">
        <f t="shared" si="68"/>
        <v>2</v>
      </c>
      <c r="Y75" s="107" t="str">
        <f t="shared" si="61"/>
        <v>Low</v>
      </c>
      <c r="Z75" s="121"/>
      <c r="AA75" s="108">
        <f t="shared" si="69"/>
        <v>0.17</v>
      </c>
      <c r="AB75" s="109">
        <f t="shared" si="70"/>
        <v>0</v>
      </c>
      <c r="AC75" s="101" t="s">
        <v>143</v>
      </c>
      <c r="AD75" s="146" t="s">
        <v>144</v>
      </c>
      <c r="AE75" s="113"/>
      <c r="AF75" s="691" t="s">
        <v>628</v>
      </c>
      <c r="AG75" s="126"/>
      <c r="AH75" s="959" t="s">
        <v>629</v>
      </c>
      <c r="AI75" s="150">
        <v>0.25</v>
      </c>
      <c r="AJ75" s="128">
        <v>-500</v>
      </c>
      <c r="AK75" s="128">
        <v>0</v>
      </c>
      <c r="AL75" s="128">
        <v>500</v>
      </c>
      <c r="AM75" s="152">
        <v>0</v>
      </c>
      <c r="AN75" s="152">
        <v>0</v>
      </c>
      <c r="AO75" s="152">
        <v>0</v>
      </c>
      <c r="AP75" s="112" t="str">
        <f>IF(OR(ISBLANK(AI75),AI75=0),"INSERT LIKELIHOOD",IF(ABS(AI75)&lt;='Risk Matrices'!$D$22,'Risk Matrices'!$C$21,IF(ABS(AI75)&lt;='Risk Matrices'!$D$19,'Risk Matrices'!$C$18,IF(ABS(AI75)&lt;='Risk Matrices'!$D$16,'Risk Matrices'!$C$15,IF(ABS(AI75)&lt;='Risk Matrices'!$D$13,'Risk Matrices'!$C$12,'Risk Matrices'!$C$10)))))</f>
        <v>Low</v>
      </c>
      <c r="AQ75" s="112" t="str">
        <f>IF(OR(ISBLANK(AK75),AK75=0),"None",IF(ABS(AK75)&lt;='Risk Matrices'!$E$7,'Risk Matrices'!$E$5,IF(ABS(AK75)&lt;='Risk Matrices'!$G$7,'Risk Matrices'!$G$5,IF(ABS(AK75)&lt;='Risk Matrices'!$H$7,'Risk Matrices'!$H$5,'Risk Matrices'!$I$5))))</f>
        <v>None</v>
      </c>
      <c r="AR75" s="112" t="str">
        <f>IF(AN75="","",IF(ABS(AN75)&lt;='Risk Matrices'!$E$8,"Negligible",IF(ABS(AN75)&lt;='Risk Matrices'!$F$8,"Marginal",IF(ABS(AN75)&lt;='Risk Matrices'!$G$8,"Significant",IF(ABS(AN75)&lt;='Risk Matrices'!$H$8,"Critical","Crisis")))))</f>
        <v>Negligible</v>
      </c>
      <c r="AS75" s="103" t="s">
        <v>130</v>
      </c>
      <c r="AT75" s="298">
        <f>IF(OR(ISBLANK(AI75),AI75=0),0,VLOOKUP(AP75,'Risk Matrices'!$B$30:$C$34,2,0))</f>
        <v>2</v>
      </c>
      <c r="AU75" s="298">
        <f>IF(OR(ISBLANK(AK75),AK75=0),0,HLOOKUP(AQ75,'Risk Matrices'!$D$28:$H$29,2,0))</f>
        <v>0</v>
      </c>
      <c r="AV75" s="298">
        <f>IF(OR(ISBLANK(AR75),AR75=0),0,HLOOKUP(AR75,'Risk Matrices'!$D$28:$H$29,2,0))</f>
        <v>1</v>
      </c>
      <c r="AW75" s="298">
        <f>IF(AS75="None",0,HLOOKUP(AS75,'Risk Matrices'!$D$28:$H$29,2,0))</f>
        <v>0</v>
      </c>
      <c r="AX75" s="106">
        <f t="shared" si="48"/>
        <v>1</v>
      </c>
      <c r="AY75" s="106">
        <f t="shared" si="49"/>
        <v>2</v>
      </c>
      <c r="AZ75" s="968" t="str">
        <f>IF(B75="Retired","Retired",IF(OR(ISBLANK(AY75),AY75=0),"TBD",IF(AY75&lt;='Risk Matrices'!$D$40,'Risk Matrices'!$B$40,IF(AY75&lt;='Risk Matrices'!$D$39,'Risk Matrices'!$B$39,'Risk Matrices'!$B$38))))</f>
        <v>Low</v>
      </c>
      <c r="BA75" s="121"/>
      <c r="BB75" s="958" t="s">
        <v>634</v>
      </c>
      <c r="BC75" s="109">
        <f t="shared" si="50"/>
        <v>0</v>
      </c>
      <c r="BD75" s="929">
        <v>45544</v>
      </c>
      <c r="BE75" s="104"/>
      <c r="BF75" s="104"/>
      <c r="BG75" s="104"/>
      <c r="BH75" s="104"/>
      <c r="BI75" s="104"/>
      <c r="BJ75" s="884">
        <f t="shared" si="51"/>
        <v>0</v>
      </c>
      <c r="BK75" s="101"/>
      <c r="BL75" s="116"/>
      <c r="BM75" s="116">
        <v>45517</v>
      </c>
      <c r="BN75" s="116">
        <v>45517</v>
      </c>
      <c r="BO75" s="332"/>
      <c r="BP75" s="94">
        <f t="shared" si="74"/>
        <v>0</v>
      </c>
      <c r="BQ75" s="97" t="str">
        <f t="shared" si="53"/>
        <v>-500 - 0 - 500</v>
      </c>
      <c r="BR75" s="97" t="str">
        <f t="shared" si="54"/>
        <v>0 - 0 - 0</v>
      </c>
      <c r="BS75" s="715">
        <f t="shared" si="64"/>
        <v>0</v>
      </c>
      <c r="BT75" s="736">
        <f t="shared" si="55"/>
        <v>0</v>
      </c>
      <c r="BU75" s="735"/>
      <c r="BV75" s="873"/>
    </row>
    <row r="76" spans="2:75" customFormat="1" ht="68" hidden="1" customHeight="1" x14ac:dyDescent="0.2">
      <c r="B76" s="101" t="str">
        <f t="shared" si="66"/>
        <v>Active</v>
      </c>
      <c r="C76" s="785" t="s">
        <v>635</v>
      </c>
      <c r="D76" s="101" t="s">
        <v>151</v>
      </c>
      <c r="E76" s="815" t="s">
        <v>526</v>
      </c>
      <c r="F76" s="102" t="s">
        <v>124</v>
      </c>
      <c r="G76" s="106" t="s">
        <v>527</v>
      </c>
      <c r="H76" s="815" t="str">
        <f t="shared" si="71"/>
        <v>RT-6-004-013b-LLP-CD3B</v>
      </c>
      <c r="I76" s="691" t="s">
        <v>610</v>
      </c>
      <c r="J76" s="103" t="s">
        <v>475</v>
      </c>
      <c r="K76" s="691" t="s">
        <v>636</v>
      </c>
      <c r="L76" s="91" t="s">
        <v>637</v>
      </c>
      <c r="M76" s="103" t="s">
        <v>129</v>
      </c>
      <c r="N76" s="134">
        <v>0</v>
      </c>
      <c r="O76" s="106" t="str" cm="1">
        <f t="array" ref="O76">_xlfn.IFS(N76="","",ABS(N76)&lt;='Risk Matrices'!$E$7,'Risk Matrices'!$E$5,ABS(N76)&lt;='Risk Matrices'!$F$7,'Risk Matrices'!$F$5,ABS(N76)&lt;='Risk Matrices'!$G$7,'Risk Matrices'!$G$5,ABS(N76)&lt;='Risk Matrices'!$H$7,'Risk Matrices'!$H$5,ABS(N76)&gt;'Risk Matrices'!$H$7,'Risk Matrices'!$I$5)</f>
        <v>Negligible</v>
      </c>
      <c r="P76" s="126">
        <v>9</v>
      </c>
      <c r="Q76" s="101" t="str" cm="1">
        <f t="array" ref="Q76">_xlfn.IFS(P76="","",ABS(P76)&lt;='Risk Matrices'!$E$8,'Risk Matrices'!$E$5,ABS(P76)&lt;='Risk Matrices'!$F$8,'Risk Matrices'!$F$5,ABS(P76)&lt;='Risk Matrices'!$G$8,'Risk Matrices'!$G$5,ABS(P76)&lt;='Risk Matrices'!$H$8,'Risk Matrices'!$H$5,ABS(P76)&gt;'Risk Matrices'!$H$8,'Risk Matrices'!$I$5)</f>
        <v>Significant</v>
      </c>
      <c r="R76" s="126" t="s">
        <v>130</v>
      </c>
      <c r="S76" s="106">
        <f t="shared" si="57"/>
        <v>4</v>
      </c>
      <c r="T76" s="106" cm="1">
        <f t="array" ref="T76">_xlfn.IFS(O76='Risk Matrices'!$D$28,'Risk Matrices'!$D$29,O76='Risk Matrices'!$E$28,'Risk Matrices'!$E$29,O76='Risk Matrices'!$F$28,'Risk Matrices'!$F$29,O76='Risk Matrices'!$G$28,'Risk Matrices'!$G$29,O76='Risk Matrices'!$H$28,'Risk Matrices'!$H$29)</f>
        <v>1</v>
      </c>
      <c r="U76" s="106">
        <f t="shared" si="72"/>
        <v>3</v>
      </c>
      <c r="V76" s="106">
        <f t="shared" si="73"/>
        <v>0</v>
      </c>
      <c r="W76" s="106">
        <f t="shared" si="67"/>
        <v>3</v>
      </c>
      <c r="X76" s="106">
        <f t="shared" si="68"/>
        <v>12</v>
      </c>
      <c r="Y76" s="107" t="str">
        <f t="shared" si="61"/>
        <v>Moderate</v>
      </c>
      <c r="Z76" s="121"/>
      <c r="AA76" s="108">
        <f t="shared" si="69"/>
        <v>0.52</v>
      </c>
      <c r="AB76" s="109">
        <f t="shared" si="70"/>
        <v>0</v>
      </c>
      <c r="AC76" s="101" t="s">
        <v>155</v>
      </c>
      <c r="AD76" s="146" t="s">
        <v>613</v>
      </c>
      <c r="AE76" s="113"/>
      <c r="AF76" s="691" t="s">
        <v>628</v>
      </c>
      <c r="AG76" s="126"/>
      <c r="AH76" s="959" t="s">
        <v>629</v>
      </c>
      <c r="AI76" s="150">
        <v>0.25</v>
      </c>
      <c r="AJ76" s="128">
        <v>0</v>
      </c>
      <c r="AK76" s="128">
        <v>0</v>
      </c>
      <c r="AL76" s="128">
        <v>0</v>
      </c>
      <c r="AM76" s="152">
        <v>3</v>
      </c>
      <c r="AN76" s="152">
        <v>6</v>
      </c>
      <c r="AO76" s="152">
        <v>9</v>
      </c>
      <c r="AP76" s="112" t="str">
        <f>IF(OR(ISBLANK(AI76),AI76=0),"INSERT LIKELIHOOD",IF(ABS(AI76)&lt;='Risk Matrices'!$D$22,'Risk Matrices'!$C$21,IF(ABS(AI76)&lt;='Risk Matrices'!$D$19,'Risk Matrices'!$C$18,IF(ABS(AI76)&lt;='Risk Matrices'!$D$16,'Risk Matrices'!$C$15,IF(ABS(AI76)&lt;='Risk Matrices'!$D$13,'Risk Matrices'!$C$12,'Risk Matrices'!$C$10)))))</f>
        <v>Low</v>
      </c>
      <c r="AQ76" s="112" t="str">
        <f>IF(OR(ISBLANK(AK76),AK76=0),"None",IF(ABS(AK76)&lt;='Risk Matrices'!$E$7,'Risk Matrices'!$E$5,IF(ABS(AK76)&lt;='Risk Matrices'!$G$7,'Risk Matrices'!$G$5,IF(ABS(AK76)&lt;='Risk Matrices'!$H$7,'Risk Matrices'!$H$5,'Risk Matrices'!$I$5))))</f>
        <v>None</v>
      </c>
      <c r="AR76" s="112" t="str">
        <f>IF(AN76="","",IF(ABS(AN76)&lt;='Risk Matrices'!$E$8,"Negligible",IF(ABS(AN76)&lt;='Risk Matrices'!$F$8,"Marginal",IF(ABS(AN76)&lt;='Risk Matrices'!$G$8,"Significant",IF(ABS(AN76)&lt;='Risk Matrices'!$H$8,"Critical","Crisis")))))</f>
        <v>Marginal</v>
      </c>
      <c r="AS76" s="103" t="s">
        <v>130</v>
      </c>
      <c r="AT76" s="298">
        <f>IF(OR(ISBLANK(AI76),AI76=0),0,VLOOKUP(AP76,'Risk Matrices'!$B$30:$C$34,2,0))</f>
        <v>2</v>
      </c>
      <c r="AU76" s="298">
        <f>IF(OR(ISBLANK(AK76),AK76=0),0,HLOOKUP(AQ76,'Risk Matrices'!$D$28:$H$29,2,0))</f>
        <v>0</v>
      </c>
      <c r="AV76" s="298">
        <f>IF(OR(ISBLANK(AR76),AR76=0),0,HLOOKUP(AR76,'Risk Matrices'!$D$28:$H$29,2,0))</f>
        <v>2</v>
      </c>
      <c r="AW76" s="298">
        <f>IF(AS76="None",0,HLOOKUP(AS76,'Risk Matrices'!$D$28:$H$29,2,0))</f>
        <v>0</v>
      </c>
      <c r="AX76" s="106">
        <f t="shared" si="48"/>
        <v>2</v>
      </c>
      <c r="AY76" s="106">
        <f t="shared" si="49"/>
        <v>4</v>
      </c>
      <c r="AZ76" s="968" t="str">
        <f>IF(B76="Retired","Retired",IF(OR(ISBLANK(AY76),AY76=0),"TBD",IF(AY76&lt;='Risk Matrices'!$D$40,'Risk Matrices'!$B$40,IF(AY76&lt;='Risk Matrices'!$D$39,'Risk Matrices'!$B$39,'Risk Matrices'!$B$38))))</f>
        <v>Low</v>
      </c>
      <c r="BA76" s="121"/>
      <c r="BB76" s="958" t="s">
        <v>638</v>
      </c>
      <c r="BC76" s="109">
        <f t="shared" si="50"/>
        <v>0</v>
      </c>
      <c r="BD76" s="929">
        <v>45544</v>
      </c>
      <c r="BE76" s="104"/>
      <c r="BF76" s="104"/>
      <c r="BG76" s="104"/>
      <c r="BH76" s="104"/>
      <c r="BI76" s="104"/>
      <c r="BJ76" s="884">
        <f t="shared" si="51"/>
        <v>0</v>
      </c>
      <c r="BK76" s="101"/>
      <c r="BL76" s="116"/>
      <c r="BM76" s="116">
        <v>45517</v>
      </c>
      <c r="BN76" s="116">
        <v>45517</v>
      </c>
      <c r="BO76" s="332"/>
      <c r="BP76" s="94">
        <f t="shared" si="74"/>
        <v>0</v>
      </c>
      <c r="BQ76" s="97" t="str">
        <f t="shared" si="53"/>
        <v>0 - 0 - 0</v>
      </c>
      <c r="BR76" s="97" t="str">
        <f t="shared" si="54"/>
        <v>3 - 6 - 9</v>
      </c>
      <c r="BS76" s="715">
        <f t="shared" si="64"/>
        <v>0</v>
      </c>
      <c r="BT76" s="736">
        <f t="shared" si="55"/>
        <v>1.5</v>
      </c>
      <c r="BU76" s="735"/>
      <c r="BV76" s="873"/>
    </row>
    <row r="77" spans="2:75" customFormat="1" ht="68" hidden="1" customHeight="1" x14ac:dyDescent="0.2">
      <c r="B77" s="101" t="str">
        <f t="shared" si="66"/>
        <v>Active</v>
      </c>
      <c r="C77" s="785" t="s">
        <v>639</v>
      </c>
      <c r="D77" s="101" t="s">
        <v>151</v>
      </c>
      <c r="E77" s="815" t="s">
        <v>526</v>
      </c>
      <c r="F77" s="102" t="s">
        <v>124</v>
      </c>
      <c r="G77" s="106" t="s">
        <v>527</v>
      </c>
      <c r="H77" s="815" t="str">
        <f t="shared" si="71"/>
        <v>RT-6-004-013c-LLP-CD3B</v>
      </c>
      <c r="I77" s="691" t="s">
        <v>610</v>
      </c>
      <c r="J77" s="103" t="s">
        <v>475</v>
      </c>
      <c r="K77" s="691" t="s">
        <v>640</v>
      </c>
      <c r="L77" s="91" t="s">
        <v>641</v>
      </c>
      <c r="M77" s="103" t="s">
        <v>129</v>
      </c>
      <c r="N77" s="134">
        <v>0</v>
      </c>
      <c r="O77" s="106" t="str" cm="1">
        <f t="array" ref="O77">_xlfn.IFS(N77="","",ABS(N77)&lt;='Risk Matrices'!$E$7,'Risk Matrices'!$E$5,ABS(N77)&lt;='Risk Matrices'!$F$7,'Risk Matrices'!$F$5,ABS(N77)&lt;='Risk Matrices'!$G$7,'Risk Matrices'!$G$5,ABS(N77)&lt;='Risk Matrices'!$H$7,'Risk Matrices'!$H$5,ABS(N77)&gt;'Risk Matrices'!$H$7,'Risk Matrices'!$I$5)</f>
        <v>Negligible</v>
      </c>
      <c r="P77" s="126">
        <v>0</v>
      </c>
      <c r="Q77" s="101" t="str" cm="1">
        <f t="array" ref="Q77">_xlfn.IFS(P77="","",ABS(P77)&lt;='Risk Matrices'!$E$8,'Risk Matrices'!$E$5,ABS(P77)&lt;='Risk Matrices'!$F$8,'Risk Matrices'!$F$5,ABS(P77)&lt;='Risk Matrices'!$G$8,'Risk Matrices'!$G$5,ABS(P77)&lt;='Risk Matrices'!$H$8,'Risk Matrices'!$H$5,ABS(P77)&gt;'Risk Matrices'!$H$8,'Risk Matrices'!$I$5)</f>
        <v>Negligible</v>
      </c>
      <c r="R77" s="126" t="s">
        <v>307</v>
      </c>
      <c r="S77" s="106">
        <f t="shared" si="57"/>
        <v>4</v>
      </c>
      <c r="T77" s="106" cm="1">
        <f t="array" ref="T77">_xlfn.IFS(O77='Risk Matrices'!$D$28,'Risk Matrices'!$D$29,O77='Risk Matrices'!$E$28,'Risk Matrices'!$E$29,O77='Risk Matrices'!$F$28,'Risk Matrices'!$F$29,O77='Risk Matrices'!$G$28,'Risk Matrices'!$G$29,O77='Risk Matrices'!$H$28,'Risk Matrices'!$H$29)</f>
        <v>1</v>
      </c>
      <c r="U77" s="106">
        <f t="shared" si="72"/>
        <v>1</v>
      </c>
      <c r="V77" s="106">
        <f t="shared" si="73"/>
        <v>3</v>
      </c>
      <c r="W77" s="106">
        <f t="shared" si="67"/>
        <v>3</v>
      </c>
      <c r="X77" s="106">
        <f t="shared" si="68"/>
        <v>12</v>
      </c>
      <c r="Y77" s="107" t="str">
        <f t="shared" si="61"/>
        <v>Moderate</v>
      </c>
      <c r="Z77" s="121"/>
      <c r="AA77" s="108">
        <f t="shared" si="69"/>
        <v>0.52</v>
      </c>
      <c r="AB77" s="109">
        <f t="shared" si="70"/>
        <v>0</v>
      </c>
      <c r="AC77" s="101" t="s">
        <v>155</v>
      </c>
      <c r="AD77" s="146" t="s">
        <v>642</v>
      </c>
      <c r="AE77" s="113"/>
      <c r="AF77" s="691" t="s">
        <v>628</v>
      </c>
      <c r="AG77" s="126"/>
      <c r="AH77" s="959" t="s">
        <v>643</v>
      </c>
      <c r="AI77" s="150">
        <v>0.25</v>
      </c>
      <c r="AJ77" s="128">
        <v>0</v>
      </c>
      <c r="AK77" s="128">
        <v>0</v>
      </c>
      <c r="AL77" s="128">
        <v>0</v>
      </c>
      <c r="AM77" s="152">
        <v>0</v>
      </c>
      <c r="AN77" s="152">
        <v>0</v>
      </c>
      <c r="AO77" s="152">
        <v>0</v>
      </c>
      <c r="AP77" s="112" t="str">
        <f>IF(OR(ISBLANK(AI77),AI77=0),"INSERT LIKELIHOOD",IF(ABS(AI77)&lt;='Risk Matrices'!$D$22,'Risk Matrices'!$C$21,IF(ABS(AI77)&lt;='Risk Matrices'!$D$19,'Risk Matrices'!$C$18,IF(ABS(AI77)&lt;='Risk Matrices'!$D$16,'Risk Matrices'!$C$15,IF(ABS(AI77)&lt;='Risk Matrices'!$D$13,'Risk Matrices'!$C$12,'Risk Matrices'!$C$10)))))</f>
        <v>Low</v>
      </c>
      <c r="AQ77" s="112" t="str">
        <f>IF(OR(ISBLANK(AK77),AK77=0),"None",IF(ABS(AK77)&lt;='Risk Matrices'!$E$7,'Risk Matrices'!$E$5,IF(ABS(AK77)&lt;='Risk Matrices'!$G$7,'Risk Matrices'!$G$5,IF(ABS(AK77)&lt;='Risk Matrices'!$H$7,'Risk Matrices'!$H$5,'Risk Matrices'!$I$5))))</f>
        <v>None</v>
      </c>
      <c r="AR77" s="112" t="str">
        <f>IF(AN77="","",IF(ABS(AN77)&lt;='Risk Matrices'!$E$8,"Negligible",IF(ABS(AN77)&lt;='Risk Matrices'!$F$8,"Marginal",IF(ABS(AN77)&lt;='Risk Matrices'!$G$8,"Significant",IF(ABS(AN77)&lt;='Risk Matrices'!$H$8,"Critical","Crisis")))))</f>
        <v>Negligible</v>
      </c>
      <c r="AS77" s="103" t="s">
        <v>307</v>
      </c>
      <c r="AT77" s="298">
        <f>IF(OR(ISBLANK(AI77),AI77=0),0,VLOOKUP(AP77,'Risk Matrices'!$B$30:$C$34,2,0))</f>
        <v>2</v>
      </c>
      <c r="AU77" s="298">
        <f>IF(OR(ISBLANK(AK77),AK77=0),0,HLOOKUP(AQ77,'Risk Matrices'!$D$28:$H$29,2,0))</f>
        <v>0</v>
      </c>
      <c r="AV77" s="298">
        <f>IF(OR(ISBLANK(AR77),AR77=0),0,HLOOKUP(AR77,'Risk Matrices'!$D$28:$H$29,2,0))</f>
        <v>1</v>
      </c>
      <c r="AW77" s="298">
        <f>IF(AS77="None",0,HLOOKUP(AS77,'Risk Matrices'!$D$28:$H$29,2,0))</f>
        <v>3</v>
      </c>
      <c r="AX77" s="106">
        <f t="shared" si="48"/>
        <v>3</v>
      </c>
      <c r="AY77" s="106">
        <f t="shared" si="49"/>
        <v>6</v>
      </c>
      <c r="AZ77" s="968" t="str">
        <f>IF(B77="Retired","Retired",IF(OR(ISBLANK(AY77),AY77=0),"TBD",IF(AY77&lt;='Risk Matrices'!$D$40,'Risk Matrices'!$B$40,IF(AY77&lt;='Risk Matrices'!$D$39,'Risk Matrices'!$B$39,'Risk Matrices'!$B$38))))</f>
        <v>Low</v>
      </c>
      <c r="BA77" s="121"/>
      <c r="BB77" s="958" t="s">
        <v>644</v>
      </c>
      <c r="BC77" s="109">
        <f t="shared" si="50"/>
        <v>0</v>
      </c>
      <c r="BD77" s="929">
        <v>45544</v>
      </c>
      <c r="BE77" s="104"/>
      <c r="BF77" s="104"/>
      <c r="BG77" s="104"/>
      <c r="BH77" s="104"/>
      <c r="BI77" s="104"/>
      <c r="BJ77" s="884">
        <f t="shared" si="51"/>
        <v>0</v>
      </c>
      <c r="BK77" s="101"/>
      <c r="BL77" s="116"/>
      <c r="BM77" s="116">
        <v>45517</v>
      </c>
      <c r="BN77" s="116">
        <v>45517</v>
      </c>
      <c r="BO77" s="332"/>
      <c r="BP77" s="94">
        <f t="shared" si="74"/>
        <v>0</v>
      </c>
      <c r="BQ77" s="97" t="str">
        <f t="shared" si="53"/>
        <v>0 - 0 - 0</v>
      </c>
      <c r="BR77" s="97" t="str">
        <f t="shared" si="54"/>
        <v>0 - 0 - 0</v>
      </c>
      <c r="BS77" s="715">
        <f t="shared" si="64"/>
        <v>0</v>
      </c>
      <c r="BT77" s="736">
        <f t="shared" si="55"/>
        <v>0</v>
      </c>
      <c r="BU77" s="735"/>
      <c r="BV77" s="873"/>
    </row>
    <row r="78" spans="2:75" customFormat="1" ht="68" hidden="1" customHeight="1" x14ac:dyDescent="0.2">
      <c r="B78" s="101" t="str">
        <f t="shared" si="66"/>
        <v>Active</v>
      </c>
      <c r="C78" s="785" t="s">
        <v>645</v>
      </c>
      <c r="D78" s="101" t="s">
        <v>151</v>
      </c>
      <c r="E78" s="815" t="s">
        <v>526</v>
      </c>
      <c r="F78" s="102" t="s">
        <v>124</v>
      </c>
      <c r="G78" s="106" t="s">
        <v>527</v>
      </c>
      <c r="H78" s="815" t="str">
        <f t="shared" si="71"/>
        <v>RT-6-004-014-LLP-CD3B</v>
      </c>
      <c r="I78" s="691" t="s">
        <v>610</v>
      </c>
      <c r="J78" s="103" t="s">
        <v>475</v>
      </c>
      <c r="K78" s="691" t="s">
        <v>646</v>
      </c>
      <c r="L78" s="123" t="s">
        <v>647</v>
      </c>
      <c r="M78" s="103" t="s">
        <v>129</v>
      </c>
      <c r="N78" s="134">
        <v>3800</v>
      </c>
      <c r="O78" s="106" t="str" cm="1">
        <f t="array" ref="O78">_xlfn.IFS(N78="","",ABS(N78)&lt;='Risk Matrices'!$E$7,'Risk Matrices'!$E$5,ABS(N78)&lt;='Risk Matrices'!$F$7,'Risk Matrices'!$F$5,ABS(N78)&lt;='Risk Matrices'!$G$7,'Risk Matrices'!$G$5,ABS(N78)&lt;='Risk Matrices'!$H$7,'Risk Matrices'!$H$5,ABS(N78)&gt;'Risk Matrices'!$H$7,'Risk Matrices'!$I$5)</f>
        <v>Significant</v>
      </c>
      <c r="P78" s="126">
        <v>12</v>
      </c>
      <c r="Q78" s="101" t="str" cm="1">
        <f t="array" ref="Q78">_xlfn.IFS(P78="","",ABS(P78)&lt;='Risk Matrices'!$E$8,'Risk Matrices'!$E$5,ABS(P78)&lt;='Risk Matrices'!$F$8,'Risk Matrices'!$F$5,ABS(P78)&lt;='Risk Matrices'!$G$8,'Risk Matrices'!$G$5,ABS(P78)&lt;='Risk Matrices'!$H$8,'Risk Matrices'!$H$5,ABS(P78)&gt;'Risk Matrices'!$H$8,'Risk Matrices'!$I$5)</f>
        <v>Significant</v>
      </c>
      <c r="R78" s="101" t="s">
        <v>130</v>
      </c>
      <c r="S78" s="106">
        <f t="shared" si="57"/>
        <v>4</v>
      </c>
      <c r="T78" s="106" cm="1">
        <f t="array" ref="T78">_xlfn.IFS(O78='Risk Matrices'!$D$28,'Risk Matrices'!$D$29,O78='Risk Matrices'!$E$28,'Risk Matrices'!$E$29,O78='Risk Matrices'!$F$28,'Risk Matrices'!$F$29,O78='Risk Matrices'!$G$28,'Risk Matrices'!$G$29,O78='Risk Matrices'!$H$28,'Risk Matrices'!$H$29)</f>
        <v>3</v>
      </c>
      <c r="U78" s="106">
        <f t="shared" si="72"/>
        <v>3</v>
      </c>
      <c r="V78" s="106">
        <f t="shared" si="73"/>
        <v>0</v>
      </c>
      <c r="W78" s="106">
        <f t="shared" si="67"/>
        <v>3</v>
      </c>
      <c r="X78" s="106">
        <f t="shared" si="68"/>
        <v>12</v>
      </c>
      <c r="Y78" s="107" t="str">
        <f t="shared" si="61"/>
        <v>Moderate</v>
      </c>
      <c r="Z78" s="121"/>
      <c r="AA78" s="108">
        <f t="shared" si="69"/>
        <v>0.52</v>
      </c>
      <c r="AB78" s="109">
        <f t="shared" si="70"/>
        <v>1976</v>
      </c>
      <c r="AC78" s="101" t="s">
        <v>155</v>
      </c>
      <c r="AD78" s="146" t="s">
        <v>613</v>
      </c>
      <c r="AE78" s="113"/>
      <c r="AF78" s="691" t="s">
        <v>648</v>
      </c>
      <c r="AG78" s="126"/>
      <c r="AH78" s="959" t="s">
        <v>649</v>
      </c>
      <c r="AI78" s="112">
        <v>0.2</v>
      </c>
      <c r="AJ78" s="106">
        <v>475</v>
      </c>
      <c r="AK78" s="106">
        <v>2375</v>
      </c>
      <c r="AL78" s="106">
        <v>3800</v>
      </c>
      <c r="AM78" s="143">
        <v>3</v>
      </c>
      <c r="AN78" s="143">
        <v>9</v>
      </c>
      <c r="AO78" s="143">
        <v>12</v>
      </c>
      <c r="AP78" s="112" t="str">
        <f>IF(OR(ISBLANK(AI78),AI78=0),"INSERT LIKELIHOOD",IF(ABS(AI78)&lt;='Risk Matrices'!$D$22,'Risk Matrices'!$C$21,IF(ABS(AI78)&lt;='Risk Matrices'!$D$19,'Risk Matrices'!$C$18,IF(ABS(AI78)&lt;='Risk Matrices'!$D$16,'Risk Matrices'!$C$15,IF(ABS(AI78)&lt;='Risk Matrices'!$D$13,'Risk Matrices'!$C$12,'Risk Matrices'!$C$10)))))</f>
        <v>Low</v>
      </c>
      <c r="AQ78" s="112" t="str">
        <f>IF(OR(ISBLANK(AK78),AK78=0),"None",IF(ABS(AK78)&lt;='Risk Matrices'!$E$7,'Risk Matrices'!$E$5,IF(ABS(AK78)&lt;='Risk Matrices'!$G$7,'Risk Matrices'!$G$5,IF(ABS(AK78)&lt;='Risk Matrices'!$H$7,'Risk Matrices'!$H$5,'Risk Matrices'!$I$5))))</f>
        <v>Significant</v>
      </c>
      <c r="AR78" s="112" t="str">
        <f>IF(AN78="","",IF(ABS(AN78)&lt;='Risk Matrices'!$E$8,"Negligible",IF(ABS(AN78)&lt;='Risk Matrices'!$F$8,"Marginal",IF(ABS(AN78)&lt;='Risk Matrices'!$G$8,"Significant",IF(ABS(AN78)&lt;='Risk Matrices'!$H$8,"Critical","Crisis")))))</f>
        <v>Significant</v>
      </c>
      <c r="AS78" s="103" t="s">
        <v>130</v>
      </c>
      <c r="AT78" s="298">
        <f>IF(OR(ISBLANK(AI78),AI78=0),0,VLOOKUP(AP78,'Risk Matrices'!$B$30:$C$34,2,0))</f>
        <v>2</v>
      </c>
      <c r="AU78" s="298">
        <f>IF(OR(ISBLANK(AK78),AK78=0),0,HLOOKUP(AQ78,'Risk Matrices'!$D$28:$H$29,2,0))</f>
        <v>3</v>
      </c>
      <c r="AV78" s="298">
        <f>IF(OR(ISBLANK(AR78),AR78=0),0,HLOOKUP(AR78,'Risk Matrices'!$D$28:$H$29,2,0))</f>
        <v>3</v>
      </c>
      <c r="AW78" s="298">
        <f>IF(AS78="None",0,HLOOKUP(AS78,'Risk Matrices'!$D$28:$H$29,2,0))</f>
        <v>0</v>
      </c>
      <c r="AX78" s="106">
        <f t="shared" si="48"/>
        <v>3</v>
      </c>
      <c r="AY78" s="106">
        <f t="shared" si="49"/>
        <v>6</v>
      </c>
      <c r="AZ78" s="968" t="str">
        <f>IF(B78="Retired","Retired",IF(OR(ISBLANK(AY78),AY78=0),"TBD",IF(AY78&lt;='Risk Matrices'!$D$40,'Risk Matrices'!$B$40,IF(AY78&lt;='Risk Matrices'!$D$39,'Risk Matrices'!$B$39,'Risk Matrices'!$B$38))))</f>
        <v>Low</v>
      </c>
      <c r="BA78" s="121"/>
      <c r="BB78" s="333" t="s">
        <v>650</v>
      </c>
      <c r="BC78" s="109">
        <f t="shared" si="50"/>
        <v>475</v>
      </c>
      <c r="BD78" s="929">
        <v>45544</v>
      </c>
      <c r="BE78" s="104"/>
      <c r="BF78" s="104"/>
      <c r="BG78" s="104"/>
      <c r="BH78" s="104"/>
      <c r="BI78" s="104"/>
      <c r="BJ78" s="874">
        <f t="shared" si="51"/>
        <v>443.33333333333331</v>
      </c>
      <c r="BK78" s="101"/>
      <c r="BL78" s="116"/>
      <c r="BM78" s="116">
        <v>45517</v>
      </c>
      <c r="BN78" s="116">
        <v>45517</v>
      </c>
      <c r="BO78" s="332"/>
      <c r="BP78" s="94">
        <f t="shared" si="74"/>
        <v>459.16666666666674</v>
      </c>
      <c r="BQ78" s="97" t="str">
        <f t="shared" si="53"/>
        <v>475 - 2375 - 3800</v>
      </c>
      <c r="BR78" s="97" t="str">
        <f t="shared" si="54"/>
        <v>3 - 9 - 12</v>
      </c>
      <c r="BS78" s="715">
        <f t="shared" si="64"/>
        <v>443.33333333333331</v>
      </c>
      <c r="BT78" s="736">
        <f t="shared" si="55"/>
        <v>1.6000000000000003</v>
      </c>
      <c r="BU78" s="735"/>
      <c r="BV78" s="873"/>
    </row>
    <row r="79" spans="2:75" customFormat="1" ht="75" hidden="1" x14ac:dyDescent="0.2">
      <c r="B79" s="126" t="str">
        <f t="shared" si="66"/>
        <v>Retired</v>
      </c>
      <c r="C79" s="785" t="s">
        <v>651</v>
      </c>
      <c r="D79" s="118" t="s">
        <v>122</v>
      </c>
      <c r="E79" s="132" t="s">
        <v>652</v>
      </c>
      <c r="F79" s="102" t="s">
        <v>124</v>
      </c>
      <c r="G79" s="132" t="s">
        <v>653</v>
      </c>
      <c r="H79" s="132" t="str">
        <f t="shared" si="71"/>
        <v>RO-6-005-001</v>
      </c>
      <c r="I79" s="337" t="s">
        <v>654</v>
      </c>
      <c r="J79" s="98" t="s">
        <v>655</v>
      </c>
      <c r="K79" s="747" t="s">
        <v>656</v>
      </c>
      <c r="L79" s="747" t="s">
        <v>657</v>
      </c>
      <c r="M79" s="103" t="s">
        <v>164</v>
      </c>
      <c r="N79" s="101">
        <v>-450</v>
      </c>
      <c r="O79" s="106" t="str" cm="1">
        <f t="array" ref="O79">_xlfn.IFS(N79="","",ABS(N79)&lt;='Risk Matrices'!$E$7,'Risk Matrices'!$E$5,ABS(N79)&lt;='Risk Matrices'!$F$7,'Risk Matrices'!$F$5,ABS(N79)&lt;='Risk Matrices'!$G$7,'Risk Matrices'!$G$5,ABS(N79)&lt;='Risk Matrices'!$H$7,'Risk Matrices'!$H$5,ABS(N79)&gt;'Risk Matrices'!$H$7,'Risk Matrices'!$I$5)</f>
        <v>Marginal</v>
      </c>
      <c r="P79" s="106">
        <v>3</v>
      </c>
      <c r="Q79" s="101" t="str" cm="1">
        <f t="array" ref="Q79">_xlfn.IFS(P79="","",ABS(P79)&lt;='Risk Matrices'!$E$8,'Risk Matrices'!$E$5,ABS(P79)&lt;='Risk Matrices'!$F$8,'Risk Matrices'!$F$5,ABS(P79)&lt;='Risk Matrices'!$G$8,'Risk Matrices'!$G$5,ABS(P79)&lt;='Risk Matrices'!$H$8,'Risk Matrices'!$H$5,ABS(P79)&gt;'Risk Matrices'!$H$8,'Risk Matrices'!$I$5)</f>
        <v>Negligible</v>
      </c>
      <c r="R79" s="101" t="s">
        <v>130</v>
      </c>
      <c r="S79" s="106">
        <f t="shared" si="57"/>
        <v>2</v>
      </c>
      <c r="T79" s="106" cm="1">
        <f t="array" ref="T79">_xlfn.IFS(O79='Risk Matrices'!$D$28,'Risk Matrices'!$D$29,O79='Risk Matrices'!$E$28,'Risk Matrices'!$E$29,O79='Risk Matrices'!$F$28,'Risk Matrices'!$F$29,O79='Risk Matrices'!$G$28,'Risk Matrices'!$G$29,O79='Risk Matrices'!$H$28,'Risk Matrices'!$H$29)</f>
        <v>2</v>
      </c>
      <c r="U79" s="106"/>
      <c r="V79" s="106">
        <f t="shared" si="73"/>
        <v>0</v>
      </c>
      <c r="W79" s="106"/>
      <c r="X79" s="106"/>
      <c r="Y79" s="107" t="str">
        <f t="shared" si="61"/>
        <v>Low</v>
      </c>
      <c r="Z79" s="104"/>
      <c r="AA79" s="108">
        <f t="shared" si="69"/>
        <v>0.17</v>
      </c>
      <c r="AB79" s="109">
        <f t="shared" si="70"/>
        <v>-76.5</v>
      </c>
      <c r="AC79" s="101" t="s">
        <v>132</v>
      </c>
      <c r="AD79" s="95" t="s">
        <v>658</v>
      </c>
      <c r="AE79" s="95"/>
      <c r="AF79" s="101" t="s">
        <v>175</v>
      </c>
      <c r="AG79" s="101"/>
      <c r="AH79" s="854" t="s">
        <v>175</v>
      </c>
      <c r="AI79" s="875">
        <v>0.1</v>
      </c>
      <c r="AJ79" s="101">
        <v>-450</v>
      </c>
      <c r="AK79" s="101">
        <v>-450</v>
      </c>
      <c r="AL79" s="101">
        <v>-450</v>
      </c>
      <c r="AM79" s="106">
        <v>3</v>
      </c>
      <c r="AN79" s="106">
        <v>3</v>
      </c>
      <c r="AO79" s="106">
        <v>3</v>
      </c>
      <c r="AP79" s="112" t="str">
        <f>IF(OR(ISBLANK(AI79),AI79=0),"INSERT LIKELIHOOD",IF(ABS(AI79)&lt;='Risk Matrices'!$D$22,'Risk Matrices'!$C$21,IF(ABS(AI79)&lt;='Risk Matrices'!$D$19,'Risk Matrices'!$C$18,IF(ABS(AI79)&lt;='Risk Matrices'!$D$16,'Risk Matrices'!$C$15,IF(ABS(AI79)&lt;='Risk Matrices'!$D$13,'Risk Matrices'!$C$12,'Risk Matrices'!$C$10)))))</f>
        <v>Very Low</v>
      </c>
      <c r="AQ79" s="112" t="str">
        <f>IF(OR(ISBLANK(AK79),AK79=0),"None",IF(ABS(AK79)&lt;='Risk Matrices'!$E$7,'Risk Matrices'!$E$5,IF(ABS(AK79)&lt;='Risk Matrices'!$G$7,'Risk Matrices'!$G$5,IF(ABS(AK79)&lt;='Risk Matrices'!$H$7,'Risk Matrices'!$H$5,'Risk Matrices'!$I$5))))</f>
        <v>Significant</v>
      </c>
      <c r="AR79" s="112" t="str">
        <f>IF(AN79="","",IF(ABS(AN79)&lt;='Risk Matrices'!$E$8,"Negligible",IF(ABS(AN79)&lt;='Risk Matrices'!$F$8,"Marginal",IF(ABS(AN79)&lt;='Risk Matrices'!$G$8,"Significant",IF(ABS(AN79)&lt;='Risk Matrices'!$H$8,"Critical","Crisis")))))</f>
        <v>Negligible</v>
      </c>
      <c r="AS79" s="103" t="s">
        <v>130</v>
      </c>
      <c r="AT79" s="298">
        <f>IF(OR(ISBLANK(AI79),AI79=0),0,VLOOKUP(AP79,'Risk Matrices'!$B$30:$C$34,2,0))</f>
        <v>1</v>
      </c>
      <c r="AU79" s="298">
        <f>IF(OR(ISBLANK(AK79),AK79=0),0,HLOOKUP(AQ79,'Risk Matrices'!$D$28:$H$29,2,0))</f>
        <v>3</v>
      </c>
      <c r="AV79" s="298">
        <f>IF(OR(ISBLANK(AR79),AR79=0),0,HLOOKUP(AR79,'Risk Matrices'!$D$28:$H$29,2,0))</f>
        <v>1</v>
      </c>
      <c r="AW79" s="298">
        <f>IF(AS79="None",0,HLOOKUP(AS79,'Risk Matrices'!$D$28:$H$29,2,0))</f>
        <v>0</v>
      </c>
      <c r="AX79" s="106">
        <f t="shared" si="48"/>
        <v>3</v>
      </c>
      <c r="AY79" s="106">
        <f t="shared" si="49"/>
        <v>3</v>
      </c>
      <c r="AZ79" s="107" t="str">
        <f>IF(B79="Retired","Retired",IF(OR(ISBLANK(AY79),AY79=0),"TBD",IF(AY79&lt;='Risk Matrices'!$D$40,'Risk Matrices'!$B$40,IF(AY79&lt;='Risk Matrices'!$D$39,'Risk Matrices'!$B$39,'Risk Matrices'!$B$38))))</f>
        <v>Retired</v>
      </c>
      <c r="BA79" s="104"/>
      <c r="BB79" s="113" t="s">
        <v>659</v>
      </c>
      <c r="BC79" s="109" t="str">
        <f t="shared" si="50"/>
        <v>Retired</v>
      </c>
      <c r="BD79" s="185">
        <v>45520</v>
      </c>
      <c r="BE79" s="104"/>
      <c r="BF79" s="104"/>
      <c r="BG79" s="104" t="s">
        <v>660</v>
      </c>
      <c r="BH79" s="104"/>
      <c r="BI79" s="101"/>
      <c r="BJ79" s="874">
        <f t="shared" si="51"/>
        <v>-45</v>
      </c>
      <c r="BK79" s="101"/>
      <c r="BL79" s="101"/>
      <c r="BM79" s="116" t="s">
        <v>661</v>
      </c>
      <c r="BN79" s="116">
        <v>45104</v>
      </c>
      <c r="BO79" s="332"/>
      <c r="BP79" s="94">
        <f t="shared" si="74"/>
        <v>-45</v>
      </c>
      <c r="BQ79" s="97" t="str">
        <f t="shared" si="53"/>
        <v>-450 - -450 - -450</v>
      </c>
      <c r="BR79" s="97" t="str">
        <f t="shared" si="54"/>
        <v>3 - 3 - 3</v>
      </c>
      <c r="BS79" s="715">
        <f t="shared" si="64"/>
        <v>-45</v>
      </c>
      <c r="BT79" s="736">
        <f t="shared" si="55"/>
        <v>0.3</v>
      </c>
      <c r="BU79" s="735"/>
      <c r="BV79" s="873">
        <v>45382</v>
      </c>
      <c r="BW79">
        <f t="shared" ref="BW79:BW96" si="75">BV79-BN79</f>
        <v>278</v>
      </c>
    </row>
    <row r="80" spans="2:75" customFormat="1" ht="50" hidden="1" customHeight="1" x14ac:dyDescent="0.2">
      <c r="B80" s="101" t="str">
        <f t="shared" si="66"/>
        <v>Active</v>
      </c>
      <c r="C80" s="785" t="s">
        <v>662</v>
      </c>
      <c r="D80" s="101" t="s">
        <v>151</v>
      </c>
      <c r="E80" s="132" t="s">
        <v>652</v>
      </c>
      <c r="F80" s="102" t="s">
        <v>124</v>
      </c>
      <c r="G80" s="103" t="s">
        <v>653</v>
      </c>
      <c r="H80" s="106" t="str">
        <f t="shared" si="71"/>
        <v>RT-6-005-001</v>
      </c>
      <c r="I80" s="162" t="s">
        <v>586</v>
      </c>
      <c r="J80" s="101" t="s">
        <v>587</v>
      </c>
      <c r="K80" s="101" t="s">
        <v>663</v>
      </c>
      <c r="L80" s="197" t="s">
        <v>664</v>
      </c>
      <c r="M80" s="103" t="s">
        <v>141</v>
      </c>
      <c r="N80" s="105">
        <v>10000</v>
      </c>
      <c r="O80" s="106" t="str" cm="1">
        <f t="array" ref="O80">_xlfn.IFS(N80="","",ABS(N80)&lt;='Risk Matrices'!$E$7,'Risk Matrices'!$E$5,ABS(N80)&lt;='Risk Matrices'!$F$7,'Risk Matrices'!$F$5,ABS(N80)&lt;='Risk Matrices'!$G$7,'Risk Matrices'!$G$5,ABS(N80)&lt;='Risk Matrices'!$H$7,'Risk Matrices'!$H$5,ABS(N80)&gt;'Risk Matrices'!$H$7,'Risk Matrices'!$I$5)</f>
        <v>Critical</v>
      </c>
      <c r="P80" s="106">
        <v>3</v>
      </c>
      <c r="Q80" s="101" t="str" cm="1">
        <f t="array" ref="Q80">_xlfn.IFS(P80="","",ABS(P80)&lt;='Risk Matrices'!$E$8,'Risk Matrices'!$E$5,ABS(P80)&lt;='Risk Matrices'!$F$8,'Risk Matrices'!$F$5,ABS(P80)&lt;='Risk Matrices'!$G$8,'Risk Matrices'!$G$5,ABS(P80)&lt;='Risk Matrices'!$H$8,'Risk Matrices'!$H$5,ABS(P80)&gt;'Risk Matrices'!$H$8,'Risk Matrices'!$I$5)</f>
        <v>Negligible</v>
      </c>
      <c r="R80" s="101" t="s">
        <v>130</v>
      </c>
      <c r="S80" s="106">
        <f t="shared" si="57"/>
        <v>3</v>
      </c>
      <c r="T80" s="106" cm="1">
        <f t="array" ref="T80">_xlfn.IFS(O80='Risk Matrices'!$D$28,'Risk Matrices'!$D$29,O80='Risk Matrices'!$E$28,'Risk Matrices'!$E$29,O80='Risk Matrices'!$F$28,'Risk Matrices'!$F$29,O80='Risk Matrices'!$G$28,'Risk Matrices'!$G$29,O80='Risk Matrices'!$H$28,'Risk Matrices'!$H$29)</f>
        <v>4</v>
      </c>
      <c r="U80" s="106">
        <f>IF(Q80="",0,IF(Q80="Negligible",1,IF(Q80="Marginal",2,IF(Q80="Significant",3,IF(Q80="Critical",4,IF(Q80="Crisis",5))))))</f>
        <v>1</v>
      </c>
      <c r="V80" s="106">
        <f t="shared" si="73"/>
        <v>0</v>
      </c>
      <c r="W80" s="106">
        <f>MAX(T80,U80,V80)</f>
        <v>4</v>
      </c>
      <c r="X80" s="106">
        <f>S80*W80</f>
        <v>12</v>
      </c>
      <c r="Y80" s="107" t="str">
        <f t="shared" si="61"/>
        <v>Moderate</v>
      </c>
      <c r="Z80" s="104"/>
      <c r="AA80" s="108">
        <f t="shared" si="69"/>
        <v>0.32</v>
      </c>
      <c r="AB80" s="109">
        <f t="shared" si="70"/>
        <v>3200</v>
      </c>
      <c r="AC80" s="109" t="s">
        <v>155</v>
      </c>
      <c r="AD80" s="104" t="s">
        <v>665</v>
      </c>
      <c r="AE80" s="104"/>
      <c r="AF80" s="103" t="s">
        <v>145</v>
      </c>
      <c r="AG80" s="103"/>
      <c r="AH80" s="854" t="s">
        <v>666</v>
      </c>
      <c r="AI80" s="112">
        <v>0.1</v>
      </c>
      <c r="AJ80" s="106">
        <v>10000</v>
      </c>
      <c r="AK80" s="106">
        <v>10000</v>
      </c>
      <c r="AL80" s="106">
        <v>10000</v>
      </c>
      <c r="AM80" s="143">
        <v>2</v>
      </c>
      <c r="AN80" s="143">
        <v>3</v>
      </c>
      <c r="AO80" s="143">
        <v>5</v>
      </c>
      <c r="AP80" s="112" t="str">
        <f>IF(OR(ISBLANK(AI80),AI80=0),"INSERT LIKELIHOOD",IF(ABS(AI80)&lt;='Risk Matrices'!$D$22,'Risk Matrices'!$C$21,IF(ABS(AI80)&lt;='Risk Matrices'!$D$19,'Risk Matrices'!$C$18,IF(ABS(AI80)&lt;='Risk Matrices'!$D$16,'Risk Matrices'!$C$15,IF(ABS(AI80)&lt;='Risk Matrices'!$D$13,'Risk Matrices'!$C$12,'Risk Matrices'!$C$10)))))</f>
        <v>Very Low</v>
      </c>
      <c r="AQ80" s="112" t="str">
        <f>IF(OR(ISBLANK(AK80),AK80=0),"None",IF(ABS(AK80)&lt;='Risk Matrices'!$E$7,'Risk Matrices'!$E$5,IF(ABS(AK80)&lt;='Risk Matrices'!$G$7,'Risk Matrices'!$G$5,IF(ABS(AK80)&lt;='Risk Matrices'!$H$7,'Risk Matrices'!$H$5,'Risk Matrices'!$I$5))))</f>
        <v>Critical</v>
      </c>
      <c r="AR80" s="112" t="str">
        <f>IF(AN80="","",IF(ABS(AN80)&lt;='Risk Matrices'!$E$8,"Negligible",IF(ABS(AN80)&lt;='Risk Matrices'!$F$8,"Marginal",IF(ABS(AN80)&lt;='Risk Matrices'!$G$8,"Significant",IF(ABS(AN80)&lt;='Risk Matrices'!$H$8,"Critical","Crisis")))))</f>
        <v>Negligible</v>
      </c>
      <c r="AS80" s="103" t="s">
        <v>207</v>
      </c>
      <c r="AT80" s="298">
        <f>IF(OR(ISBLANK(AI80),AI80=0),0,VLOOKUP(AP80,'Risk Matrices'!$B$30:$C$34,2,0))</f>
        <v>1</v>
      </c>
      <c r="AU80" s="298">
        <f>IF(OR(ISBLANK(AK80),AK80=0),0,HLOOKUP(AQ80,'Risk Matrices'!$D$28:$H$29,2,0))</f>
        <v>4</v>
      </c>
      <c r="AV80" s="298">
        <f>IF(OR(ISBLANK(AR80),AR80=0),0,HLOOKUP(AR80,'Risk Matrices'!$D$28:$H$29,2,0))</f>
        <v>1</v>
      </c>
      <c r="AW80" s="298">
        <f>IF(OR(ISBLANK(AS80),AS80=0),0,HLOOKUP(AS80,'Risk Matrices'!$D$28:$H$29,2,0))</f>
        <v>1</v>
      </c>
      <c r="AX80" s="106">
        <f t="shared" si="48"/>
        <v>4</v>
      </c>
      <c r="AY80" s="106">
        <f t="shared" si="49"/>
        <v>4</v>
      </c>
      <c r="AZ80" s="107" t="str">
        <f>IF(B80="Retired","Retired",IF(OR(ISBLANK(AY80),AY80=0),"TBD",IF(AY80&lt;='Risk Matrices'!$D$40,'Risk Matrices'!$B$40,IF(AY80&lt;='Risk Matrices'!$D$39,'Risk Matrices'!$B$39,'Risk Matrices'!$B$38))))</f>
        <v>Low</v>
      </c>
      <c r="BA80" s="112"/>
      <c r="BB80" s="101" t="s">
        <v>366</v>
      </c>
      <c r="BC80" s="109">
        <f t="shared" si="50"/>
        <v>1000</v>
      </c>
      <c r="BD80" s="116">
        <v>45315</v>
      </c>
      <c r="BE80" s="114"/>
      <c r="BF80" s="115"/>
      <c r="BG80" s="115"/>
      <c r="BH80" s="115"/>
      <c r="BI80" s="101"/>
      <c r="BJ80" s="874">
        <f t="shared" si="51"/>
        <v>1000</v>
      </c>
      <c r="BK80" s="101"/>
      <c r="BL80" s="101"/>
      <c r="BM80" s="116">
        <v>43981</v>
      </c>
      <c r="BN80" s="330">
        <v>44134</v>
      </c>
      <c r="BO80" s="332"/>
      <c r="BP80" s="94">
        <f t="shared" si="74"/>
        <v>1000</v>
      </c>
      <c r="BQ80" s="97" t="str">
        <f t="shared" si="53"/>
        <v>10000 - 10000 - 10000</v>
      </c>
      <c r="BR80" s="97" t="str">
        <f t="shared" si="54"/>
        <v>2 - 3 - 5</v>
      </c>
      <c r="BS80" s="715">
        <f t="shared" si="64"/>
        <v>1000</v>
      </c>
      <c r="BT80" s="736">
        <f t="shared" si="55"/>
        <v>0.33333333333333331</v>
      </c>
      <c r="BU80" s="735" t="s">
        <v>667</v>
      </c>
      <c r="BV80" s="873">
        <v>45412</v>
      </c>
      <c r="BW80">
        <f t="shared" si="75"/>
        <v>1278</v>
      </c>
    </row>
    <row r="81" spans="2:75" customFormat="1" ht="60" hidden="1" x14ac:dyDescent="0.2">
      <c r="B81" s="101" t="str">
        <f t="shared" si="66"/>
        <v>Active</v>
      </c>
      <c r="C81" s="785" t="s">
        <v>668</v>
      </c>
      <c r="D81" s="101" t="s">
        <v>151</v>
      </c>
      <c r="E81" s="103" t="s">
        <v>652</v>
      </c>
      <c r="F81" s="102" t="s">
        <v>124</v>
      </c>
      <c r="G81" s="103" t="s">
        <v>653</v>
      </c>
      <c r="H81" s="103" t="str">
        <f t="shared" si="71"/>
        <v>RT-6-005-002</v>
      </c>
      <c r="I81" s="106" t="s">
        <v>653</v>
      </c>
      <c r="J81" s="143" t="s">
        <v>436</v>
      </c>
      <c r="K81" s="156" t="s">
        <v>669</v>
      </c>
      <c r="L81" s="113" t="s">
        <v>670</v>
      </c>
      <c r="M81" s="103" t="s">
        <v>141</v>
      </c>
      <c r="N81" s="105">
        <v>0</v>
      </c>
      <c r="O81" s="106" t="str" cm="1">
        <f t="array" ref="O81">_xlfn.IFS(N81="","",ABS(N81)&lt;='Risk Matrices'!$E$7,'Risk Matrices'!$E$5,ABS(N81)&lt;='Risk Matrices'!$F$7,'Risk Matrices'!$F$5,ABS(N81)&lt;='Risk Matrices'!$G$7,'Risk Matrices'!$G$5,ABS(N81)&lt;='Risk Matrices'!$H$7,'Risk Matrices'!$H$5,ABS(N81)&gt;'Risk Matrices'!$H$7,'Risk Matrices'!$I$5)</f>
        <v>Negligible</v>
      </c>
      <c r="P81" s="106">
        <v>0</v>
      </c>
      <c r="Q81" s="101" t="str" cm="1">
        <f t="array" ref="Q81">_xlfn.IFS(P81="","",ABS(P81)&lt;='Risk Matrices'!$E$8,'Risk Matrices'!$E$5,ABS(P81)&lt;='Risk Matrices'!$F$8,'Risk Matrices'!$F$5,ABS(P81)&lt;='Risk Matrices'!$G$8,'Risk Matrices'!$G$5,ABS(P81)&lt;='Risk Matrices'!$H$8,'Risk Matrices'!$H$5,ABS(P81)&gt;'Risk Matrices'!$H$8,'Risk Matrices'!$I$5)</f>
        <v>Negligible</v>
      </c>
      <c r="R81" s="102" t="s">
        <v>280</v>
      </c>
      <c r="S81" s="106">
        <f t="shared" si="57"/>
        <v>3</v>
      </c>
      <c r="T81" s="106" cm="1">
        <f t="array" ref="T81">_xlfn.IFS(O81='Risk Matrices'!$D$28,'Risk Matrices'!$D$29,O81='Risk Matrices'!$E$28,'Risk Matrices'!$E$29,O81='Risk Matrices'!$F$28,'Risk Matrices'!$F$29,O81='Risk Matrices'!$G$28,'Risk Matrices'!$G$29,O81='Risk Matrices'!$H$28,'Risk Matrices'!$H$29)</f>
        <v>1</v>
      </c>
      <c r="U81" s="106">
        <f>IF(Q81="",0,IF(Q81="Negligible",1,IF(Q81="Marginal",2,IF(Q81="Significant",3,IF(Q81="Critical",4,IF(Q81="Crisis",5))))))</f>
        <v>1</v>
      </c>
      <c r="V81" s="106">
        <f t="shared" si="73"/>
        <v>2</v>
      </c>
      <c r="W81" s="106">
        <f>MAX(T81,U81,V81)</f>
        <v>2</v>
      </c>
      <c r="X81" s="106">
        <f>S81*W81</f>
        <v>6</v>
      </c>
      <c r="Y81" s="107" t="str">
        <f t="shared" si="61"/>
        <v>Low</v>
      </c>
      <c r="Z81" s="104"/>
      <c r="AA81" s="108">
        <f t="shared" si="69"/>
        <v>0.32</v>
      </c>
      <c r="AB81" s="109">
        <f t="shared" si="70"/>
        <v>0</v>
      </c>
      <c r="AC81" s="109" t="s">
        <v>155</v>
      </c>
      <c r="AD81" s="113" t="s">
        <v>671</v>
      </c>
      <c r="AE81" s="746"/>
      <c r="AF81" s="908" t="s">
        <v>167</v>
      </c>
      <c r="AG81" s="908"/>
      <c r="AH81" s="854" t="s">
        <v>672</v>
      </c>
      <c r="AI81" s="112">
        <v>0.1</v>
      </c>
      <c r="AJ81" s="106">
        <v>0</v>
      </c>
      <c r="AK81" s="106">
        <v>0</v>
      </c>
      <c r="AL81" s="106">
        <v>0</v>
      </c>
      <c r="AM81" s="106">
        <v>0</v>
      </c>
      <c r="AN81" s="106">
        <v>0</v>
      </c>
      <c r="AO81" s="106">
        <v>0</v>
      </c>
      <c r="AP81" s="112" t="str">
        <f>IF(OR(ISBLANK(AI81),AI81=0),"INSERT LIKELIHOOD",IF(ABS(AI81)&lt;='Risk Matrices'!$D$22,'Risk Matrices'!$C$21,IF(ABS(AI81)&lt;='Risk Matrices'!$D$19,'Risk Matrices'!$C$18,IF(ABS(AI81)&lt;='Risk Matrices'!$D$16,'Risk Matrices'!$C$15,IF(ABS(AI81)&lt;='Risk Matrices'!$D$13,'Risk Matrices'!$C$12,'Risk Matrices'!$C$10)))))</f>
        <v>Very Low</v>
      </c>
      <c r="AQ81" s="112" t="str">
        <f>IF(OR(ISBLANK(AK81),AK81=0),"None",IF(ABS(AK81)&lt;='Risk Matrices'!$E$7,'Risk Matrices'!$E$5,IF(ABS(AK81)&lt;='Risk Matrices'!$G$7,'Risk Matrices'!$G$5,IF(ABS(AK81)&lt;='Risk Matrices'!$H$7,'Risk Matrices'!$H$5,'Risk Matrices'!$I$5))))</f>
        <v>None</v>
      </c>
      <c r="AR81" s="112" t="str">
        <f>IF(AN81="","",IF(ABS(AN81)&lt;='Risk Matrices'!$E$8,"Negligible",IF(ABS(AN81)&lt;='Risk Matrices'!$F$8,"Marginal",IF(ABS(AN81)&lt;='Risk Matrices'!$G$8,"Significant",IF(ABS(AN81)&lt;='Risk Matrices'!$H$8,"Critical","Crisis")))))</f>
        <v>Negligible</v>
      </c>
      <c r="AS81" s="102" t="s">
        <v>280</v>
      </c>
      <c r="AT81" s="298">
        <f>IF(OR(ISBLANK(AI81),AI81=0),0,VLOOKUP(AP81,'Risk Matrices'!$B$30:$C$34,2,0))</f>
        <v>1</v>
      </c>
      <c r="AU81" s="298">
        <f>IF(OR(ISBLANK(AK81),AK81=0),0,HLOOKUP(AQ81,'Risk Matrices'!$D$28:$H$29,2,0))</f>
        <v>0</v>
      </c>
      <c r="AV81" s="298">
        <f>IF(OR(ISBLANK(AR81),AR81=0),0,HLOOKUP(AR81,'Risk Matrices'!$D$28:$H$29,2,0))</f>
        <v>1</v>
      </c>
      <c r="AW81" s="298">
        <f>IF(OR(ISBLANK(AS81),AS81=0),0,HLOOKUP(AS81,'Risk Matrices'!$D$28:$H$29,2,0))</f>
        <v>2</v>
      </c>
      <c r="AX81" s="106">
        <f t="shared" si="48"/>
        <v>2</v>
      </c>
      <c r="AY81" s="106">
        <f t="shared" si="49"/>
        <v>2</v>
      </c>
      <c r="AZ81" s="107" t="str">
        <f>IF(B81="Retired","Retired",IF(OR(ISBLANK(AY81),AY81=0),"TBD",IF(AY81&lt;='Risk Matrices'!$D$40,'Risk Matrices'!$B$40,IF(AY81&lt;='Risk Matrices'!$D$39,'Risk Matrices'!$B$39,'Risk Matrices'!$B$38))))</f>
        <v>Low</v>
      </c>
      <c r="BA81" s="112"/>
      <c r="BB81" s="101" t="s">
        <v>366</v>
      </c>
      <c r="BC81" s="109">
        <f t="shared" si="50"/>
        <v>0</v>
      </c>
      <c r="BD81" s="113"/>
      <c r="BE81" s="114"/>
      <c r="BF81" s="115"/>
      <c r="BG81" s="115"/>
      <c r="BH81" s="115"/>
      <c r="BI81" s="101"/>
      <c r="BJ81" s="874">
        <f t="shared" si="51"/>
        <v>0</v>
      </c>
      <c r="BK81" s="101"/>
      <c r="BL81" s="101"/>
      <c r="BM81" s="116">
        <v>43981</v>
      </c>
      <c r="BN81" s="330">
        <v>44134</v>
      </c>
      <c r="BO81" s="332"/>
      <c r="BP81" s="94">
        <f t="shared" si="74"/>
        <v>0</v>
      </c>
      <c r="BQ81" s="97" t="str">
        <f t="shared" si="53"/>
        <v>0 - 0 - 0</v>
      </c>
      <c r="BR81" s="97" t="str">
        <f t="shared" si="54"/>
        <v>0 - 0 - 0</v>
      </c>
      <c r="BS81" s="715">
        <f t="shared" si="64"/>
        <v>0</v>
      </c>
      <c r="BT81" s="736">
        <f t="shared" si="55"/>
        <v>0</v>
      </c>
      <c r="BU81" s="735" t="s">
        <v>673</v>
      </c>
      <c r="BV81" s="873">
        <v>45382</v>
      </c>
      <c r="BW81">
        <f t="shared" si="75"/>
        <v>1248</v>
      </c>
    </row>
    <row r="82" spans="2:75" customFormat="1" ht="50" hidden="1" customHeight="1" x14ac:dyDescent="0.2">
      <c r="B82" s="101" t="str">
        <f t="shared" si="66"/>
        <v>Active</v>
      </c>
      <c r="C82" s="785" t="s">
        <v>674</v>
      </c>
      <c r="D82" s="101" t="s">
        <v>151</v>
      </c>
      <c r="E82" s="132" t="s">
        <v>652</v>
      </c>
      <c r="F82" s="102" t="s">
        <v>124</v>
      </c>
      <c r="G82" s="103" t="s">
        <v>653</v>
      </c>
      <c r="H82" s="103" t="str">
        <f t="shared" si="71"/>
        <v>RT-6-005-003</v>
      </c>
      <c r="I82" s="106" t="s">
        <v>653</v>
      </c>
      <c r="J82" s="143" t="s">
        <v>587</v>
      </c>
      <c r="K82" s="144" t="s">
        <v>675</v>
      </c>
      <c r="L82" s="147" t="s">
        <v>676</v>
      </c>
      <c r="M82" s="104" t="s">
        <v>164</v>
      </c>
      <c r="N82" s="105">
        <v>1000</v>
      </c>
      <c r="O82" s="106" t="str" cm="1">
        <f t="array" ref="O82">_xlfn.IFS(N82="","",ABS(N82)&lt;='Risk Matrices'!$E$7,'Risk Matrices'!$E$5,ABS(N82)&lt;='Risk Matrices'!$F$7,'Risk Matrices'!$F$5,ABS(N82)&lt;='Risk Matrices'!$G$7,'Risk Matrices'!$G$5,ABS(N82)&lt;='Risk Matrices'!$H$7,'Risk Matrices'!$H$5,ABS(N82)&gt;'Risk Matrices'!$H$7,'Risk Matrices'!$I$5)</f>
        <v>Marginal</v>
      </c>
      <c r="P82" s="106">
        <v>0</v>
      </c>
      <c r="Q82" s="101" t="str" cm="1">
        <f t="array" ref="Q82">_xlfn.IFS(P82="","",ABS(P82)&lt;='Risk Matrices'!$E$8,'Risk Matrices'!$E$5,ABS(P82)&lt;='Risk Matrices'!$F$8,'Risk Matrices'!$F$5,ABS(P82)&lt;='Risk Matrices'!$G$8,'Risk Matrices'!$G$5,ABS(P82)&lt;='Risk Matrices'!$H$8,'Risk Matrices'!$H$5,ABS(P82)&gt;'Risk Matrices'!$H$8,'Risk Matrices'!$I$5)</f>
        <v>Negligible</v>
      </c>
      <c r="R82" s="101" t="s">
        <v>130</v>
      </c>
      <c r="S82" s="106">
        <f t="shared" si="57"/>
        <v>2</v>
      </c>
      <c r="T82" s="106" cm="1">
        <f t="array" ref="T82">_xlfn.IFS(O82='Risk Matrices'!$D$28,'Risk Matrices'!$D$29,O82='Risk Matrices'!$E$28,'Risk Matrices'!$E$29,O82='Risk Matrices'!$F$28,'Risk Matrices'!$F$29,O82='Risk Matrices'!$G$28,'Risk Matrices'!$G$29,O82='Risk Matrices'!$H$28,'Risk Matrices'!$H$29)</f>
        <v>2</v>
      </c>
      <c r="U82" s="106">
        <f>IF(Q82="",0,IF(Q82="Negligible",1,IF(Q82="Marginal",2,IF(Q82="Significant",3,IF(Q82="Critical",4,IF(Q82="Crisis",5))))))</f>
        <v>1</v>
      </c>
      <c r="V82" s="106">
        <f t="shared" si="73"/>
        <v>0</v>
      </c>
      <c r="W82" s="106">
        <f>MAX(T82,U82,V82)</f>
        <v>2</v>
      </c>
      <c r="X82" s="106">
        <f>S82*W82</f>
        <v>4</v>
      </c>
      <c r="Y82" s="107" t="str">
        <f t="shared" si="61"/>
        <v>Low</v>
      </c>
      <c r="Z82" s="104"/>
      <c r="AA82" s="108">
        <f t="shared" si="69"/>
        <v>0.17</v>
      </c>
      <c r="AB82" s="109">
        <f t="shared" si="70"/>
        <v>170</v>
      </c>
      <c r="AC82" s="109" t="s">
        <v>155</v>
      </c>
      <c r="AD82" s="104" t="s">
        <v>677</v>
      </c>
      <c r="AE82" s="751"/>
      <c r="AF82" s="103" t="s">
        <v>145</v>
      </c>
      <c r="AG82" s="933"/>
      <c r="AH82" s="854" t="s">
        <v>678</v>
      </c>
      <c r="AI82" s="875">
        <v>0.1</v>
      </c>
      <c r="AJ82" s="101">
        <v>300</v>
      </c>
      <c r="AK82" s="157">
        <v>500</v>
      </c>
      <c r="AL82" s="101">
        <v>1000</v>
      </c>
      <c r="AM82" s="106">
        <v>0</v>
      </c>
      <c r="AN82" s="106">
        <v>0</v>
      </c>
      <c r="AO82" s="106">
        <v>0</v>
      </c>
      <c r="AP82" s="112" t="str">
        <f>IF(OR(ISBLANK(AI82),AI82=0),"INSERT LIKELIHOOD",IF(ABS(AI82)&lt;='Risk Matrices'!$D$22,'Risk Matrices'!$C$21,IF(ABS(AI82)&lt;='Risk Matrices'!$D$19,'Risk Matrices'!$C$18,IF(ABS(AI82)&lt;='Risk Matrices'!$D$16,'Risk Matrices'!$C$15,IF(ABS(AI82)&lt;='Risk Matrices'!$D$13,'Risk Matrices'!$C$12,'Risk Matrices'!$C$10)))))</f>
        <v>Very Low</v>
      </c>
      <c r="AQ82" s="112" t="str">
        <f>IF(OR(ISBLANK(AK82),AK82=0),"None",IF(ABS(AK82)&lt;='Risk Matrices'!$E$7,'Risk Matrices'!$E$5,IF(ABS(AK82)&lt;='Risk Matrices'!$G$7,'Risk Matrices'!$G$5,IF(ABS(AK82)&lt;='Risk Matrices'!$H$7,'Risk Matrices'!$H$5,'Risk Matrices'!$I$5))))</f>
        <v>Significant</v>
      </c>
      <c r="AR82" s="112" t="str">
        <f>IF(AN82="","",IF(ABS(AN82)&lt;='Risk Matrices'!$E$8,"Negligible",IF(ABS(AN82)&lt;='Risk Matrices'!$F$8,"Marginal",IF(ABS(AN82)&lt;='Risk Matrices'!$G$8,"Significant",IF(ABS(AN82)&lt;='Risk Matrices'!$H$8,"Critical","Crisis")))))</f>
        <v>Negligible</v>
      </c>
      <c r="AS82" s="103" t="s">
        <v>207</v>
      </c>
      <c r="AT82" s="298">
        <f>IF(OR(ISBLANK(AI82),AI82=0),0,VLOOKUP(AP82,'Risk Matrices'!$B$30:$C$34,2,0))</f>
        <v>1</v>
      </c>
      <c r="AU82" s="298">
        <f>IF(OR(ISBLANK(AK82),AK82=0),0,HLOOKUP(AQ82,'Risk Matrices'!$D$28:$H$29,2,0))</f>
        <v>3</v>
      </c>
      <c r="AV82" s="298">
        <f>IF(OR(ISBLANK(AR82),AR82=0),0,HLOOKUP(AR82,'Risk Matrices'!$D$28:$H$29,2,0))</f>
        <v>1</v>
      </c>
      <c r="AW82" s="298">
        <f>IF(OR(ISBLANK(AS82),AS82=0),0,HLOOKUP(AS82,'Risk Matrices'!$D$28:$H$29,2,0))</f>
        <v>1</v>
      </c>
      <c r="AX82" s="106">
        <f t="shared" si="48"/>
        <v>3</v>
      </c>
      <c r="AY82" s="106">
        <f t="shared" si="49"/>
        <v>3</v>
      </c>
      <c r="AZ82" s="107" t="str">
        <f>IF(B82="Retired","Retired",IF(OR(ISBLANK(AY82),AY82=0),"TBD",IF(AY82&lt;='Risk Matrices'!$D$40,'Risk Matrices'!$B$40,IF(AY82&lt;='Risk Matrices'!$D$39,'Risk Matrices'!$B$39,'Risk Matrices'!$B$38))))</f>
        <v>Low</v>
      </c>
      <c r="BA82" s="104"/>
      <c r="BB82" s="101" t="s">
        <v>366</v>
      </c>
      <c r="BC82" s="109">
        <f t="shared" si="50"/>
        <v>50</v>
      </c>
      <c r="BD82" s="104"/>
      <c r="BE82" s="104"/>
      <c r="BF82" s="104"/>
      <c r="BG82" s="104"/>
      <c r="BH82" s="104"/>
      <c r="BI82" s="101"/>
      <c r="BJ82" s="874">
        <f t="shared" si="51"/>
        <v>60</v>
      </c>
      <c r="BK82" s="101"/>
      <c r="BL82" s="101"/>
      <c r="BM82" s="116">
        <v>43981</v>
      </c>
      <c r="BN82" s="330">
        <v>44134</v>
      </c>
      <c r="BO82" s="332"/>
      <c r="BP82" s="94">
        <f t="shared" si="74"/>
        <v>55</v>
      </c>
      <c r="BQ82" s="97" t="str">
        <f t="shared" si="53"/>
        <v>300 - 500 - 1000</v>
      </c>
      <c r="BR82" s="97" t="str">
        <f t="shared" si="54"/>
        <v>0 - 0 - 0</v>
      </c>
      <c r="BS82" s="715">
        <f t="shared" si="64"/>
        <v>60</v>
      </c>
      <c r="BT82" s="736">
        <f t="shared" si="55"/>
        <v>0</v>
      </c>
      <c r="BU82" s="735" t="s">
        <v>679</v>
      </c>
      <c r="BV82" s="873">
        <v>45382</v>
      </c>
      <c r="BW82">
        <f t="shared" si="75"/>
        <v>1248</v>
      </c>
    </row>
    <row r="83" spans="2:75" customFormat="1" ht="50" hidden="1" customHeight="1" x14ac:dyDescent="0.2">
      <c r="B83" s="126" t="str">
        <f t="shared" si="66"/>
        <v>Active</v>
      </c>
      <c r="C83" s="785" t="s">
        <v>680</v>
      </c>
      <c r="D83" s="126" t="s">
        <v>151</v>
      </c>
      <c r="E83" s="132" t="s">
        <v>652</v>
      </c>
      <c r="F83" s="102" t="s">
        <v>124</v>
      </c>
      <c r="G83" s="132" t="s">
        <v>653</v>
      </c>
      <c r="H83" s="101" t="str">
        <f t="shared" si="71"/>
        <v>RT-6-005-004</v>
      </c>
      <c r="I83" s="337" t="s">
        <v>681</v>
      </c>
      <c r="J83" s="858" t="s">
        <v>409</v>
      </c>
      <c r="K83" s="750" t="s">
        <v>682</v>
      </c>
      <c r="L83" s="123" t="s">
        <v>683</v>
      </c>
      <c r="M83" s="103" t="s">
        <v>141</v>
      </c>
      <c r="N83" s="105">
        <v>0</v>
      </c>
      <c r="O83" s="106" t="str" cm="1">
        <f t="array" ref="O83">_xlfn.IFS(N83="","",ABS(N83)&lt;='Risk Matrices'!$E$7,'Risk Matrices'!$E$5,ABS(N83)&lt;='Risk Matrices'!$F$7,'Risk Matrices'!$F$5,ABS(N83)&lt;='Risk Matrices'!$G$7,'Risk Matrices'!$G$5,ABS(N83)&lt;='Risk Matrices'!$H$7,'Risk Matrices'!$H$5,ABS(N83)&gt;'Risk Matrices'!$H$7,'Risk Matrices'!$I$5)</f>
        <v>Negligible</v>
      </c>
      <c r="P83" s="106">
        <v>6</v>
      </c>
      <c r="Q83" s="101" t="str" cm="1">
        <f t="array" ref="Q83">_xlfn.IFS(P83="","",ABS(P83)&lt;='Risk Matrices'!$E$8,'Risk Matrices'!$E$5,ABS(P83)&lt;='Risk Matrices'!$F$8,'Risk Matrices'!$F$5,ABS(P83)&lt;='Risk Matrices'!$G$8,'Risk Matrices'!$G$5,ABS(P83)&lt;='Risk Matrices'!$H$8,'Risk Matrices'!$H$5,ABS(P83)&gt;'Risk Matrices'!$H$8,'Risk Matrices'!$I$5)</f>
        <v>Marginal</v>
      </c>
      <c r="R83" s="101" t="s">
        <v>130</v>
      </c>
      <c r="S83" s="106">
        <f t="shared" si="57"/>
        <v>3</v>
      </c>
      <c r="T83" s="106" cm="1">
        <f t="array" ref="T83">_xlfn.IFS(O83='Risk Matrices'!$D$28,'Risk Matrices'!$D$29,O83='Risk Matrices'!$E$28,'Risk Matrices'!$E$29,O83='Risk Matrices'!$F$28,'Risk Matrices'!$F$29,O83='Risk Matrices'!$G$28,'Risk Matrices'!$G$29,O83='Risk Matrices'!$H$28,'Risk Matrices'!$H$29)</f>
        <v>1</v>
      </c>
      <c r="U83" s="106"/>
      <c r="V83" s="106">
        <f t="shared" si="73"/>
        <v>0</v>
      </c>
      <c r="W83" s="106"/>
      <c r="X83" s="106"/>
      <c r="Y83" s="107" t="str">
        <f t="shared" si="61"/>
        <v>Low</v>
      </c>
      <c r="Z83" s="104"/>
      <c r="AA83" s="108"/>
      <c r="AB83" s="109"/>
      <c r="AC83" s="137" t="s">
        <v>155</v>
      </c>
      <c r="AD83" s="770" t="s">
        <v>540</v>
      </c>
      <c r="AE83" s="770"/>
      <c r="AF83" s="116" t="s">
        <v>134</v>
      </c>
      <c r="AG83" s="116"/>
      <c r="AH83" s="854" t="s">
        <v>684</v>
      </c>
      <c r="AI83" s="875">
        <v>0.2</v>
      </c>
      <c r="AJ83" s="101">
        <v>0</v>
      </c>
      <c r="AK83" s="157">
        <v>0</v>
      </c>
      <c r="AL83" s="101">
        <v>0</v>
      </c>
      <c r="AM83" s="106">
        <v>3</v>
      </c>
      <c r="AN83" s="106">
        <v>6</v>
      </c>
      <c r="AO83" s="106">
        <v>9</v>
      </c>
      <c r="AP83" s="112" t="str">
        <f>IF(OR(ISBLANK(AI83),AI83=0),"INSERT LIKELIHOOD",IF(ABS(AI83)&lt;='Risk Matrices'!$D$22,'Risk Matrices'!$C$21,IF(ABS(AI83)&lt;='Risk Matrices'!$D$19,'Risk Matrices'!$C$18,IF(ABS(AI83)&lt;='Risk Matrices'!$D$16,'Risk Matrices'!$C$15,IF(ABS(AI83)&lt;='Risk Matrices'!$D$13,'Risk Matrices'!$C$12,'Risk Matrices'!$C$10)))))</f>
        <v>Low</v>
      </c>
      <c r="AQ83" s="112" t="str">
        <f>IF(OR(ISBLANK(AK83),AK83=0),"None",IF(ABS(AK83)&lt;='Risk Matrices'!$E$7,'Risk Matrices'!$E$5,IF(ABS(AK83)&lt;='Risk Matrices'!$G$7,'Risk Matrices'!$G$5,IF(ABS(AK83)&lt;='Risk Matrices'!$H$7,'Risk Matrices'!$H$5,'Risk Matrices'!$I$5))))</f>
        <v>None</v>
      </c>
      <c r="AR83" s="112" t="str">
        <f>IF(AN83="","",IF(ABS(AN83)&lt;='Risk Matrices'!$E$8,"Negligible",IF(ABS(AN83)&lt;='Risk Matrices'!$F$8,"Marginal",IF(ABS(AN83)&lt;='Risk Matrices'!$G$8,"Significant",IF(ABS(AN83)&lt;='Risk Matrices'!$H$8,"Critical","Crisis")))))</f>
        <v>Marginal</v>
      </c>
      <c r="AS83" s="103" t="s">
        <v>130</v>
      </c>
      <c r="AT83" s="298">
        <f>IF(OR(ISBLANK(AI83),AI83=0),0,VLOOKUP(AP83,'Risk Matrices'!$B$30:$C$34,2,0))</f>
        <v>2</v>
      </c>
      <c r="AU83" s="298">
        <f>IF(OR(ISBLANK(AK83),AK83=0),0,HLOOKUP(AQ83,'Risk Matrices'!$D$28:$H$29,2,0))</f>
        <v>0</v>
      </c>
      <c r="AV83" s="298">
        <f>IF(OR(ISBLANK(AR83),AR83=0),0,HLOOKUP(AR83,'Risk Matrices'!$D$28:$H$29,2,0))</f>
        <v>2</v>
      </c>
      <c r="AW83" s="298">
        <f>IF(AS83="None",0,HLOOKUP(AS83,'Risk Matrices'!$D$28:$H$29,2,0))</f>
        <v>0</v>
      </c>
      <c r="AX83" s="106">
        <f t="shared" si="48"/>
        <v>2</v>
      </c>
      <c r="AY83" s="106">
        <f t="shared" si="49"/>
        <v>4</v>
      </c>
      <c r="AZ83" s="107" t="str">
        <f>IF(B83="Retired","Retired",IF(OR(ISBLANK(AY83),AY83=0),"TBD",IF(AY83&lt;='Risk Matrices'!$D$40,'Risk Matrices'!$B$40,IF(AY83&lt;='Risk Matrices'!$D$39,'Risk Matrices'!$B$39,'Risk Matrices'!$B$38))))</f>
        <v>Low</v>
      </c>
      <c r="BA83" s="104"/>
      <c r="BB83" s="113" t="s">
        <v>542</v>
      </c>
      <c r="BC83" s="109">
        <f t="shared" si="50"/>
        <v>0</v>
      </c>
      <c r="BD83" s="185">
        <v>45334</v>
      </c>
      <c r="BE83" s="104"/>
      <c r="BF83" s="104"/>
      <c r="BG83" s="104"/>
      <c r="BH83" s="104"/>
      <c r="BI83" s="101"/>
      <c r="BJ83" s="874">
        <f t="shared" si="51"/>
        <v>0</v>
      </c>
      <c r="BK83" s="101"/>
      <c r="BL83" s="101"/>
      <c r="BM83" s="116">
        <v>44932</v>
      </c>
      <c r="BN83" s="116">
        <v>44932</v>
      </c>
      <c r="BO83" s="332"/>
      <c r="BP83" s="94">
        <f t="shared" si="74"/>
        <v>0</v>
      </c>
      <c r="BQ83" s="97" t="str">
        <f t="shared" si="53"/>
        <v>0 - 0 - 0</v>
      </c>
      <c r="BR83" s="97" t="str">
        <f t="shared" si="54"/>
        <v>3 - 6 - 9</v>
      </c>
      <c r="BS83" s="715"/>
      <c r="BT83" s="736">
        <f t="shared" si="55"/>
        <v>1.2</v>
      </c>
      <c r="BU83" s="735" t="s">
        <v>685</v>
      </c>
      <c r="BV83" s="873">
        <v>45382</v>
      </c>
      <c r="BW83">
        <f t="shared" si="75"/>
        <v>450</v>
      </c>
    </row>
    <row r="84" spans="2:75" customFormat="1" ht="102" hidden="1" x14ac:dyDescent="0.2">
      <c r="B84" s="101" t="str">
        <f t="shared" si="66"/>
        <v>Retired</v>
      </c>
      <c r="C84" s="785" t="s">
        <v>686</v>
      </c>
      <c r="D84" s="101" t="s">
        <v>151</v>
      </c>
      <c r="E84" s="103" t="s">
        <v>652</v>
      </c>
      <c r="F84" s="102" t="s">
        <v>124</v>
      </c>
      <c r="G84" s="103" t="s">
        <v>653</v>
      </c>
      <c r="H84" s="103" t="str">
        <f t="shared" si="71"/>
        <v>RT-6-005-005</v>
      </c>
      <c r="I84" s="101" t="s">
        <v>653</v>
      </c>
      <c r="J84" s="102" t="s">
        <v>351</v>
      </c>
      <c r="K84" s="119" t="s">
        <v>687</v>
      </c>
      <c r="L84" s="339" t="s">
        <v>688</v>
      </c>
      <c r="M84" s="103" t="s">
        <v>129</v>
      </c>
      <c r="N84" s="105">
        <v>0</v>
      </c>
      <c r="O84" s="106" t="str" cm="1">
        <f t="array" ref="O84">_xlfn.IFS(N84="","",ABS(N84)&lt;='Risk Matrices'!$E$7,'Risk Matrices'!$E$5,ABS(N84)&lt;='Risk Matrices'!$F$7,'Risk Matrices'!$F$5,ABS(N84)&lt;='Risk Matrices'!$G$7,'Risk Matrices'!$G$5,ABS(N84)&lt;='Risk Matrices'!$H$7,'Risk Matrices'!$H$5,ABS(N84)&gt;'Risk Matrices'!$H$7,'Risk Matrices'!$I$5)</f>
        <v>Negligible</v>
      </c>
      <c r="P84" s="106">
        <v>0</v>
      </c>
      <c r="Q84" s="101" t="str" cm="1">
        <f t="array" ref="Q84">_xlfn.IFS(P84="","",ABS(P84)&lt;='Risk Matrices'!$E$8,'Risk Matrices'!$E$5,ABS(P84)&lt;='Risk Matrices'!$F$8,'Risk Matrices'!$F$5,ABS(P84)&lt;='Risk Matrices'!$G$8,'Risk Matrices'!$G$5,ABS(P84)&lt;='Risk Matrices'!$H$8,'Risk Matrices'!$H$5,ABS(P84)&gt;'Risk Matrices'!$H$8,'Risk Matrices'!$I$5)</f>
        <v>Negligible</v>
      </c>
      <c r="R84" s="102" t="s">
        <v>307</v>
      </c>
      <c r="S84" s="106">
        <f t="shared" si="57"/>
        <v>4</v>
      </c>
      <c r="T84" s="106" cm="1">
        <f t="array" ref="T84">_xlfn.IFS(O84='Risk Matrices'!$D$28,'Risk Matrices'!$D$29,O84='Risk Matrices'!$E$28,'Risk Matrices'!$E$29,O84='Risk Matrices'!$F$28,'Risk Matrices'!$F$29,O84='Risk Matrices'!$G$28,'Risk Matrices'!$G$29,O84='Risk Matrices'!$H$28,'Risk Matrices'!$H$29)</f>
        <v>1</v>
      </c>
      <c r="U84" s="106">
        <f t="shared" ref="U84:U91" si="76">IF(Q84="",0,IF(Q84="Negligible",1,IF(Q84="Marginal",2,IF(Q84="Significant",3,IF(Q84="Critical",4,IF(Q84="Crisis",5))))))</f>
        <v>1</v>
      </c>
      <c r="V84" s="106">
        <f t="shared" si="73"/>
        <v>3</v>
      </c>
      <c r="W84" s="106">
        <f t="shared" ref="W84:W91" si="77">MAX(T84,U84,V84)</f>
        <v>3</v>
      </c>
      <c r="X84" s="106">
        <f t="shared" ref="X84:X91" si="78">S84*W84</f>
        <v>12</v>
      </c>
      <c r="Y84" s="107" t="str">
        <f t="shared" si="61"/>
        <v>Moderate</v>
      </c>
      <c r="Z84" s="104"/>
      <c r="AA84" s="108">
        <f t="shared" ref="AA84:AA91" si="79">IF(M84="",0,IF(M84="Very Low (There is a &lt;10% chance that this event will occur)",0.05,IF(M84="Low (Risk is likely to occur with a probability of &gt; 10% to &lt; 25%)",0.17,IF(M84="Moderate (Risk is likely to occur with a probability of &gt; 25% to &lt; 40%)",0.32,IF(M84="High (Risk is likely to occur with a probability of &gt;40 to &lt;65%)",0.52,IF(M84="Very High (Risk is likely to occur with a probability of &gt;65%)",0.82))))))</f>
        <v>0.52</v>
      </c>
      <c r="AB84" s="109">
        <f t="shared" ref="AB84:AB91" si="80">+AA84*N84</f>
        <v>0</v>
      </c>
      <c r="AC84" s="109" t="s">
        <v>155</v>
      </c>
      <c r="AD84" s="104" t="s">
        <v>689</v>
      </c>
      <c r="AE84" s="104"/>
      <c r="AF84" s="120" t="s">
        <v>265</v>
      </c>
      <c r="AG84" s="120"/>
      <c r="AH84" s="857" t="s">
        <v>690</v>
      </c>
      <c r="AI84" s="160">
        <v>0.3</v>
      </c>
      <c r="AJ84" s="140">
        <v>0</v>
      </c>
      <c r="AK84" s="140">
        <v>500</v>
      </c>
      <c r="AL84" s="140">
        <v>1000</v>
      </c>
      <c r="AM84" s="140">
        <v>0</v>
      </c>
      <c r="AN84" s="140">
        <v>0</v>
      </c>
      <c r="AO84" s="140">
        <v>0</v>
      </c>
      <c r="AP84" s="112" t="str">
        <f>IF(OR(ISBLANK(AI84),AI84=0),"INSERT LIKELIHOOD",IF(ABS(AI84)&lt;='Risk Matrices'!$D$22,'Risk Matrices'!$C$21,IF(ABS(AI84)&lt;='Risk Matrices'!$D$19,'Risk Matrices'!$C$18,IF(ABS(AI84)&lt;='Risk Matrices'!$D$16,'Risk Matrices'!$C$15,IF(ABS(AI84)&lt;='Risk Matrices'!$D$13,'Risk Matrices'!$C$12,'Risk Matrices'!$C$10)))))</f>
        <v>Moderate</v>
      </c>
      <c r="AQ84" s="112" t="str">
        <f>IF(OR(ISBLANK(AK84),AK84=0),"None",IF(ABS(AK84)&lt;='Risk Matrices'!$E$7,'Risk Matrices'!$E$5,IF(ABS(AK84)&lt;='Risk Matrices'!$G$7,'Risk Matrices'!$G$5,IF(ABS(AK84)&lt;='Risk Matrices'!$H$7,'Risk Matrices'!$H$5,'Risk Matrices'!$I$5))))</f>
        <v>Significant</v>
      </c>
      <c r="AR84" s="112" t="str">
        <f>IF(AN84="","",IF(ABS(AN84)&lt;='Risk Matrices'!$E$8,"Negligible",IF(ABS(AN84)&lt;='Risk Matrices'!$F$8,"Marginal",IF(ABS(AN84)&lt;='Risk Matrices'!$G$8,"Significant",IF(ABS(AN84)&lt;='Risk Matrices'!$H$8,"Critical","Crisis")))))</f>
        <v>Negligible</v>
      </c>
      <c r="AS84" s="161" t="s">
        <v>280</v>
      </c>
      <c r="AT84" s="298">
        <f>IF(OR(ISBLANK(AI84),AI84=0),0,VLOOKUP(AP84,'Risk Matrices'!$B$30:$C$34,2,0))</f>
        <v>3</v>
      </c>
      <c r="AU84" s="298">
        <f>IF(OR(ISBLANK(AK84),AK84=0),0,HLOOKUP(AQ84,'Risk Matrices'!$D$28:$H$29,2,0))</f>
        <v>3</v>
      </c>
      <c r="AV84" s="298">
        <f>IF(OR(ISBLANK(AR84),AR84=0),0,HLOOKUP(AR84,'Risk Matrices'!$D$28:$H$29,2,0))</f>
        <v>1</v>
      </c>
      <c r="AW84" s="298">
        <f>IF(OR(ISBLANK(AS84),AS84=0),0,HLOOKUP(AS84,'Risk Matrices'!$D$28:$H$29,2,0))</f>
        <v>2</v>
      </c>
      <c r="AX84" s="106">
        <f t="shared" si="48"/>
        <v>3</v>
      </c>
      <c r="AY84" s="106">
        <f t="shared" si="49"/>
        <v>9</v>
      </c>
      <c r="AZ84" s="107" t="str">
        <f>IF(B84="Retired","Retired",IF(OR(ISBLANK(AY84),AY84=0),"TBD",IF(AY84&lt;='Risk Matrices'!$D$40,'Risk Matrices'!$B$40,IF(AY84&lt;='Risk Matrices'!$D$39,'Risk Matrices'!$B$39,'Risk Matrices'!$B$38))))</f>
        <v>Retired</v>
      </c>
      <c r="BA84" s="112"/>
      <c r="BB84" s="101" t="s">
        <v>366</v>
      </c>
      <c r="BC84" s="109" t="str">
        <f t="shared" si="50"/>
        <v>Retired</v>
      </c>
      <c r="BD84" s="114"/>
      <c r="BE84" s="115"/>
      <c r="BF84" s="115"/>
      <c r="BG84" s="905" t="s">
        <v>691</v>
      </c>
      <c r="BH84" s="874">
        <f>AI84*(SUM(AJ84:AL84)/3)</f>
        <v>150</v>
      </c>
      <c r="BI84" s="101"/>
      <c r="BJ84" s="874">
        <f t="shared" si="51"/>
        <v>150</v>
      </c>
      <c r="BK84" s="101"/>
      <c r="BL84" s="116">
        <v>45394</v>
      </c>
      <c r="BM84" s="116">
        <v>43981</v>
      </c>
      <c r="BN84" s="330">
        <v>44134</v>
      </c>
      <c r="BO84" s="332"/>
      <c r="BP84" s="94">
        <f t="shared" si="74"/>
        <v>150</v>
      </c>
      <c r="BQ84" s="97" t="str">
        <f t="shared" si="53"/>
        <v>0 - 500 - 1000</v>
      </c>
      <c r="BR84" s="97" t="str">
        <f t="shared" si="54"/>
        <v>0 - 0 - 0</v>
      </c>
      <c r="BS84" s="715">
        <f t="shared" ref="BS84:BS89" si="81">BJ84</f>
        <v>150</v>
      </c>
      <c r="BT84" s="736">
        <f t="shared" si="55"/>
        <v>0</v>
      </c>
      <c r="BU84" s="735" t="s">
        <v>692</v>
      </c>
      <c r="BV84" s="873">
        <v>45382</v>
      </c>
      <c r="BW84">
        <f t="shared" si="75"/>
        <v>1248</v>
      </c>
    </row>
    <row r="85" spans="2:75" customFormat="1" ht="75" hidden="1" x14ac:dyDescent="0.2">
      <c r="B85" s="101" t="str">
        <f t="shared" si="66"/>
        <v>Retired</v>
      </c>
      <c r="C85" s="785" t="s">
        <v>693</v>
      </c>
      <c r="D85" s="101" t="s">
        <v>151</v>
      </c>
      <c r="E85" s="132" t="s">
        <v>652</v>
      </c>
      <c r="F85" s="102" t="s">
        <v>124</v>
      </c>
      <c r="G85" s="103" t="s">
        <v>653</v>
      </c>
      <c r="H85" s="106" t="str">
        <f t="shared" si="71"/>
        <v>RT-6-005-006</v>
      </c>
      <c r="I85" s="162" t="s">
        <v>586</v>
      </c>
      <c r="J85" s="775" t="s">
        <v>587</v>
      </c>
      <c r="K85" s="101" t="s">
        <v>694</v>
      </c>
      <c r="L85" s="104" t="s">
        <v>695</v>
      </c>
      <c r="M85" s="104" t="s">
        <v>164</v>
      </c>
      <c r="N85" s="105">
        <v>1000</v>
      </c>
      <c r="O85" s="106" t="str" cm="1">
        <f t="array" ref="O85">_xlfn.IFS(N85="","",ABS(N85)&lt;='Risk Matrices'!$E$7,'Risk Matrices'!$E$5,ABS(N85)&lt;='Risk Matrices'!$F$7,'Risk Matrices'!$F$5,ABS(N85)&lt;='Risk Matrices'!$G$7,'Risk Matrices'!$G$5,ABS(N85)&lt;='Risk Matrices'!$H$7,'Risk Matrices'!$H$5,ABS(N85)&gt;'Risk Matrices'!$H$7,'Risk Matrices'!$I$5)</f>
        <v>Marginal</v>
      </c>
      <c r="P85" s="106">
        <v>0</v>
      </c>
      <c r="Q85" s="101" t="str" cm="1">
        <f t="array" ref="Q85">_xlfn.IFS(P85="","",ABS(P85)&lt;='Risk Matrices'!$E$8,'Risk Matrices'!$E$5,ABS(P85)&lt;='Risk Matrices'!$F$8,'Risk Matrices'!$F$5,ABS(P85)&lt;='Risk Matrices'!$G$8,'Risk Matrices'!$G$5,ABS(P85)&lt;='Risk Matrices'!$H$8,'Risk Matrices'!$H$5,ABS(P85)&gt;'Risk Matrices'!$H$8,'Risk Matrices'!$I$5)</f>
        <v>Negligible</v>
      </c>
      <c r="R85" s="101" t="s">
        <v>130</v>
      </c>
      <c r="S85" s="106">
        <f t="shared" si="57"/>
        <v>2</v>
      </c>
      <c r="T85" s="106" cm="1">
        <f t="array" ref="T85">_xlfn.IFS(O85='Risk Matrices'!$D$28,'Risk Matrices'!$D$29,O85='Risk Matrices'!$E$28,'Risk Matrices'!$E$29,O85='Risk Matrices'!$F$28,'Risk Matrices'!$F$29,O85='Risk Matrices'!$G$28,'Risk Matrices'!$G$29,O85='Risk Matrices'!$H$28,'Risk Matrices'!$H$29)</f>
        <v>2</v>
      </c>
      <c r="U85" s="106">
        <f t="shared" si="76"/>
        <v>1</v>
      </c>
      <c r="V85" s="106">
        <f t="shared" si="73"/>
        <v>0</v>
      </c>
      <c r="W85" s="106">
        <f t="shared" si="77"/>
        <v>2</v>
      </c>
      <c r="X85" s="106">
        <f t="shared" si="78"/>
        <v>4</v>
      </c>
      <c r="Y85" s="107" t="str">
        <f t="shared" si="61"/>
        <v>Low</v>
      </c>
      <c r="Z85" s="104"/>
      <c r="AA85" s="108">
        <f t="shared" si="79"/>
        <v>0.17</v>
      </c>
      <c r="AB85" s="109">
        <f t="shared" si="80"/>
        <v>170</v>
      </c>
      <c r="AC85" s="109" t="s">
        <v>155</v>
      </c>
      <c r="AD85" s="751" t="s">
        <v>696</v>
      </c>
      <c r="AE85" s="751"/>
      <c r="AF85" s="103" t="s">
        <v>167</v>
      </c>
      <c r="AG85" s="103"/>
      <c r="AH85" s="854" t="s">
        <v>678</v>
      </c>
      <c r="AI85" s="112">
        <v>0.2</v>
      </c>
      <c r="AJ85" s="101">
        <v>1500</v>
      </c>
      <c r="AK85" s="101">
        <v>1500</v>
      </c>
      <c r="AL85" s="101">
        <v>1500</v>
      </c>
      <c r="AM85" s="101">
        <v>0</v>
      </c>
      <c r="AN85" s="101">
        <v>0</v>
      </c>
      <c r="AO85" s="101">
        <v>0</v>
      </c>
      <c r="AP85" s="112" t="str">
        <f>IF(OR(ISBLANK(AI85),AI85=0),"INSERT LIKELIHOOD",IF(ABS(AI85)&lt;='Risk Matrices'!$D$22,'Risk Matrices'!$C$21,IF(ABS(AI85)&lt;='Risk Matrices'!$D$19,'Risk Matrices'!$C$18,IF(ABS(AI85)&lt;='Risk Matrices'!$D$16,'Risk Matrices'!$C$15,IF(ABS(AI85)&lt;='Risk Matrices'!$D$13,'Risk Matrices'!$C$12,'Risk Matrices'!$C$10)))))</f>
        <v>Low</v>
      </c>
      <c r="AQ85" s="112" t="str">
        <f>IF(OR(ISBLANK(AK85),AK85=0),"None",IF(ABS(AK85)&lt;='Risk Matrices'!$E$7,'Risk Matrices'!$E$5,IF(ABS(AK85)&lt;='Risk Matrices'!$G$7,'Risk Matrices'!$G$5,IF(ABS(AK85)&lt;='Risk Matrices'!$H$7,'Risk Matrices'!$H$5,'Risk Matrices'!$I$5))))</f>
        <v>Significant</v>
      </c>
      <c r="AR85" s="112" t="str">
        <f>IF(AN85="","",IF(ABS(AN85)&lt;='Risk Matrices'!$E$8,"Negligible",IF(ABS(AN85)&lt;='Risk Matrices'!$F$8,"Marginal",IF(ABS(AN85)&lt;='Risk Matrices'!$G$8,"Significant",IF(ABS(AN85)&lt;='Risk Matrices'!$H$8,"Critical","Crisis")))))</f>
        <v>Negligible</v>
      </c>
      <c r="AS85" s="103" t="s">
        <v>207</v>
      </c>
      <c r="AT85" s="298">
        <f>IF(OR(ISBLANK(AI85),AI85=0),0,VLOOKUP(AP85,'Risk Matrices'!$B$30:$C$34,2,0))</f>
        <v>2</v>
      </c>
      <c r="AU85" s="298">
        <f>IF(OR(ISBLANK(AK85),AK85=0),0,HLOOKUP(AQ85,'Risk Matrices'!$D$28:$H$29,2,0))</f>
        <v>3</v>
      </c>
      <c r="AV85" s="298">
        <f>IF(OR(ISBLANK(AR85),AR85=0),0,HLOOKUP(AR85,'Risk Matrices'!$D$28:$H$29,2,0))</f>
        <v>1</v>
      </c>
      <c r="AW85" s="298">
        <f>IF(OR(ISBLANK(AS85),AS85=0),0,HLOOKUP(AS85,'Risk Matrices'!$D$28:$H$29,2,0))</f>
        <v>1</v>
      </c>
      <c r="AX85" s="106">
        <f t="shared" si="48"/>
        <v>3</v>
      </c>
      <c r="AY85" s="106">
        <f t="shared" si="49"/>
        <v>6</v>
      </c>
      <c r="AZ85" s="107" t="str">
        <f>IF(B85="Retired","Retired",IF(OR(ISBLANK(AY85),AY85=0),"TBD",IF(AY85&lt;='Risk Matrices'!$D$40,'Risk Matrices'!$B$40,IF(AY85&lt;='Risk Matrices'!$D$39,'Risk Matrices'!$B$39,'Risk Matrices'!$B$38))))</f>
        <v>Retired</v>
      </c>
      <c r="BA85" s="104"/>
      <c r="BB85" s="104" t="s">
        <v>697</v>
      </c>
      <c r="BC85" s="109" t="str">
        <f t="shared" si="50"/>
        <v>Retired</v>
      </c>
      <c r="BD85" s="116">
        <v>45315</v>
      </c>
      <c r="BE85" s="104"/>
      <c r="BF85" s="250" t="s">
        <v>698</v>
      </c>
      <c r="BG85" s="906" t="s">
        <v>699</v>
      </c>
      <c r="BH85" s="104"/>
      <c r="BI85" s="101"/>
      <c r="BJ85" s="874">
        <f t="shared" si="51"/>
        <v>300</v>
      </c>
      <c r="BK85" s="101" t="s">
        <v>375</v>
      </c>
      <c r="BL85" s="116"/>
      <c r="BM85" s="116">
        <v>43981</v>
      </c>
      <c r="BN85" s="116">
        <v>44134</v>
      </c>
      <c r="BO85" s="332"/>
      <c r="BP85" s="94">
        <f t="shared" si="74"/>
        <v>300</v>
      </c>
      <c r="BQ85" s="97" t="str">
        <f t="shared" si="53"/>
        <v>1500 - 1500 - 1500</v>
      </c>
      <c r="BR85" s="97" t="str">
        <f t="shared" si="54"/>
        <v>0 - 0 - 0</v>
      </c>
      <c r="BS85" s="715">
        <f t="shared" si="81"/>
        <v>300</v>
      </c>
      <c r="BT85" s="736">
        <f t="shared" si="55"/>
        <v>0</v>
      </c>
      <c r="BU85" s="735" t="s">
        <v>700</v>
      </c>
      <c r="BV85" s="873">
        <v>45382</v>
      </c>
      <c r="BW85">
        <f t="shared" si="75"/>
        <v>1248</v>
      </c>
    </row>
    <row r="86" spans="2:75" s="923" customFormat="1" ht="71.5" hidden="1" customHeight="1" x14ac:dyDescent="0.2">
      <c r="B86" s="101" t="str">
        <f t="shared" si="66"/>
        <v>Active</v>
      </c>
      <c r="C86" s="785" t="s">
        <v>701</v>
      </c>
      <c r="D86" s="101" t="s">
        <v>151</v>
      </c>
      <c r="E86" s="103" t="s">
        <v>652</v>
      </c>
      <c r="F86" s="102" t="s">
        <v>124</v>
      </c>
      <c r="G86" s="103" t="s">
        <v>653</v>
      </c>
      <c r="H86" s="103" t="str">
        <f t="shared" si="71"/>
        <v>RT-6-005-007</v>
      </c>
      <c r="I86" s="101" t="s">
        <v>653</v>
      </c>
      <c r="J86" s="103" t="s">
        <v>702</v>
      </c>
      <c r="K86" s="101" t="s">
        <v>703</v>
      </c>
      <c r="L86" s="104" t="s">
        <v>704</v>
      </c>
      <c r="M86" s="103" t="s">
        <v>141</v>
      </c>
      <c r="N86" s="105">
        <v>1</v>
      </c>
      <c r="O86" s="106" t="str" cm="1">
        <f t="array" ref="O86">_xlfn.IFS(N86="","",ABS(N86)&lt;='Risk Matrices'!$E$7,'Risk Matrices'!$E$5,ABS(N86)&lt;='Risk Matrices'!$F$7,'Risk Matrices'!$F$5,ABS(N86)&lt;='Risk Matrices'!$G$7,'Risk Matrices'!$G$5,ABS(N86)&lt;='Risk Matrices'!$H$7,'Risk Matrices'!$H$5,ABS(N86)&gt;'Risk Matrices'!$H$7,'Risk Matrices'!$I$5)</f>
        <v>Negligible</v>
      </c>
      <c r="P86" s="106">
        <v>0</v>
      </c>
      <c r="Q86" s="101" t="str" cm="1">
        <f t="array" ref="Q86">_xlfn.IFS(P86="","",ABS(P86)&lt;='Risk Matrices'!$E$8,'Risk Matrices'!$E$5,ABS(P86)&lt;='Risk Matrices'!$F$8,'Risk Matrices'!$F$5,ABS(P86)&lt;='Risk Matrices'!$G$8,'Risk Matrices'!$G$5,ABS(P86)&lt;='Risk Matrices'!$H$8,'Risk Matrices'!$H$5,ABS(P86)&gt;'Risk Matrices'!$H$8,'Risk Matrices'!$I$5)</f>
        <v>Negligible</v>
      </c>
      <c r="R86" s="101" t="s">
        <v>307</v>
      </c>
      <c r="S86" s="106">
        <f t="shared" si="57"/>
        <v>3</v>
      </c>
      <c r="T86" s="106" cm="1">
        <f t="array" ref="T86">_xlfn.IFS(O86='Risk Matrices'!$D$28,'Risk Matrices'!$D$29,O86='Risk Matrices'!$E$28,'Risk Matrices'!$E$29,O86='Risk Matrices'!$F$28,'Risk Matrices'!$F$29,O86='Risk Matrices'!$G$28,'Risk Matrices'!$G$29,O86='Risk Matrices'!$H$28,'Risk Matrices'!$H$29)</f>
        <v>1</v>
      </c>
      <c r="U86" s="106">
        <f t="shared" si="76"/>
        <v>1</v>
      </c>
      <c r="V86" s="106">
        <f t="shared" si="73"/>
        <v>3</v>
      </c>
      <c r="W86" s="106">
        <f t="shared" si="77"/>
        <v>3</v>
      </c>
      <c r="X86" s="106">
        <f t="shared" si="78"/>
        <v>9</v>
      </c>
      <c r="Y86" s="107" t="str">
        <f t="shared" si="61"/>
        <v>Moderate</v>
      </c>
      <c r="Z86" s="104"/>
      <c r="AA86" s="108">
        <f t="shared" si="79"/>
        <v>0.32</v>
      </c>
      <c r="AB86" s="109">
        <f t="shared" si="80"/>
        <v>0.32</v>
      </c>
      <c r="AC86" s="109" t="s">
        <v>155</v>
      </c>
      <c r="AD86" s="104" t="s">
        <v>705</v>
      </c>
      <c r="AE86" s="909"/>
      <c r="AF86" s="157" t="s">
        <v>134</v>
      </c>
      <c r="AG86" s="157"/>
      <c r="AH86" s="855" t="s">
        <v>706</v>
      </c>
      <c r="AI86" s="160">
        <v>0.1</v>
      </c>
      <c r="AJ86" s="106">
        <v>0</v>
      </c>
      <c r="AK86" s="106">
        <v>0</v>
      </c>
      <c r="AL86" s="106">
        <v>0</v>
      </c>
      <c r="AM86" s="106">
        <v>0</v>
      </c>
      <c r="AN86" s="106">
        <v>0</v>
      </c>
      <c r="AO86" s="911">
        <v>0</v>
      </c>
      <c r="AP86" s="112" t="str">
        <f>IF(OR(ISBLANK(AI86),AI86=0),"INSERT LIKELIHOOD",IF(ABS(AI86)&lt;='Risk Matrices'!$D$22,'Risk Matrices'!$C$21,IF(ABS(AI86)&lt;='Risk Matrices'!$D$19,'Risk Matrices'!$C$18,IF(ABS(AI86)&lt;='Risk Matrices'!$D$16,'Risk Matrices'!$C$15,IF(ABS(AI86)&lt;='Risk Matrices'!$D$13,'Risk Matrices'!$C$12,'Risk Matrices'!$C$10)))))</f>
        <v>Very Low</v>
      </c>
      <c r="AQ86" s="112" t="str">
        <f>IF(OR(ISBLANK(AK86),AK86=0),"None",IF(ABS(AK86)&lt;='Risk Matrices'!$E$7,'Risk Matrices'!$E$5,IF(ABS(AK86)&lt;='Risk Matrices'!$G$7,'Risk Matrices'!$G$5,IF(ABS(AK86)&lt;='Risk Matrices'!$H$7,'Risk Matrices'!$H$5,'Risk Matrices'!$I$5))))</f>
        <v>None</v>
      </c>
      <c r="AR86" s="112" t="str">
        <f>IF(AN86="","",IF(ABS(AN86)&lt;='Risk Matrices'!$E$8,"Negligible",IF(ABS(AN86)&lt;='Risk Matrices'!$F$8,"Marginal",IF(ABS(AN86)&lt;='Risk Matrices'!$G$8,"Significant",IF(ABS(AN86)&lt;='Risk Matrices'!$H$8,"Critical","Crisis")))))</f>
        <v>Negligible</v>
      </c>
      <c r="AS86" s="912" t="s">
        <v>307</v>
      </c>
      <c r="AT86" s="298">
        <f>IF(OR(ISBLANK(AI86),AI86=0),0,VLOOKUP(AP86,'Risk Matrices'!$B$30:$C$34,2,0))</f>
        <v>1</v>
      </c>
      <c r="AU86" s="298">
        <f>IF(OR(ISBLANK(AK86),AK86=0),0,HLOOKUP(AQ86,'Risk Matrices'!$D$28:$H$29,2,0))</f>
        <v>0</v>
      </c>
      <c r="AV86" s="298">
        <f>IF(OR(ISBLANK(AR86),AR86=0),0,HLOOKUP(AR86,'Risk Matrices'!$D$28:$H$29,2,0))</f>
        <v>1</v>
      </c>
      <c r="AW86" s="298">
        <f>IF(OR(ISBLANK(AS86),AS86=0),0,HLOOKUP(AS86,'Risk Matrices'!$D$28:$H$29,2,0))</f>
        <v>3</v>
      </c>
      <c r="AX86" s="106">
        <f t="shared" si="48"/>
        <v>3</v>
      </c>
      <c r="AY86" s="106">
        <f t="shared" si="49"/>
        <v>3</v>
      </c>
      <c r="AZ86" s="913" t="str">
        <f>IF(B86="Retired","Retired",IF(OR(ISBLANK(AY86),AY86=0),"TBD",IF(AY86&lt;='Risk Matrices'!$D$40,'Risk Matrices'!$B$40,IF(AY86&lt;='Risk Matrices'!$D$39,'Risk Matrices'!$B$39,'Risk Matrices'!$B$38))))</f>
        <v>Low</v>
      </c>
      <c r="BA86" s="104"/>
      <c r="BB86" s="167" t="s">
        <v>366</v>
      </c>
      <c r="BC86" s="910">
        <f t="shared" si="50"/>
        <v>0</v>
      </c>
      <c r="BD86" s="909"/>
      <c r="BE86" s="909"/>
      <c r="BF86" s="909"/>
      <c r="BG86" s="909"/>
      <c r="BH86" s="909"/>
      <c r="BI86" s="167"/>
      <c r="BJ86" s="914">
        <f t="shared" si="51"/>
        <v>0</v>
      </c>
      <c r="BK86" s="167"/>
      <c r="BL86" s="167"/>
      <c r="BM86" s="915">
        <v>43981</v>
      </c>
      <c r="BN86" s="916">
        <v>44134</v>
      </c>
      <c r="BO86" s="917"/>
      <c r="BP86" s="918">
        <f t="shared" si="74"/>
        <v>0</v>
      </c>
      <c r="BQ86" s="919" t="str">
        <f t="shared" si="53"/>
        <v>0 - 0 - 0</v>
      </c>
      <c r="BR86" s="919" t="str">
        <f t="shared" si="54"/>
        <v>0 - 0 - 0</v>
      </c>
      <c r="BS86" s="920">
        <f t="shared" si="81"/>
        <v>0</v>
      </c>
      <c r="BT86" s="921">
        <f t="shared" si="55"/>
        <v>0</v>
      </c>
      <c r="BU86" s="922" t="s">
        <v>707</v>
      </c>
      <c r="BV86" s="873">
        <v>45412</v>
      </c>
      <c r="BW86">
        <f t="shared" si="75"/>
        <v>1278</v>
      </c>
    </row>
    <row r="87" spans="2:75" customFormat="1" ht="50" hidden="1" customHeight="1" x14ac:dyDescent="0.2">
      <c r="B87" s="101" t="str">
        <f t="shared" si="66"/>
        <v>Active</v>
      </c>
      <c r="C87" s="785" t="s">
        <v>708</v>
      </c>
      <c r="D87" s="101" t="s">
        <v>151</v>
      </c>
      <c r="E87" s="103" t="s">
        <v>652</v>
      </c>
      <c r="F87" s="102" t="s">
        <v>124</v>
      </c>
      <c r="G87" s="103" t="s">
        <v>653</v>
      </c>
      <c r="H87" s="103" t="str">
        <f t="shared" si="71"/>
        <v>RT-6-005-008</v>
      </c>
      <c r="I87" s="101" t="s">
        <v>653</v>
      </c>
      <c r="J87" s="103" t="s">
        <v>351</v>
      </c>
      <c r="K87" s="101" t="s">
        <v>709</v>
      </c>
      <c r="L87" s="104" t="s">
        <v>710</v>
      </c>
      <c r="M87" s="103" t="s">
        <v>141</v>
      </c>
      <c r="N87" s="105">
        <v>1000</v>
      </c>
      <c r="O87" s="106" t="str" cm="1">
        <f t="array" ref="O87">_xlfn.IFS(N87="","",ABS(N87)&lt;='Risk Matrices'!$E$7,'Risk Matrices'!$E$5,ABS(N87)&lt;='Risk Matrices'!$F$7,'Risk Matrices'!$F$5,ABS(N87)&lt;='Risk Matrices'!$G$7,'Risk Matrices'!$G$5,ABS(N87)&lt;='Risk Matrices'!$H$7,'Risk Matrices'!$H$5,ABS(N87)&gt;'Risk Matrices'!$H$7,'Risk Matrices'!$I$5)</f>
        <v>Marginal</v>
      </c>
      <c r="P87" s="101">
        <v>3</v>
      </c>
      <c r="Q87" s="101" t="str" cm="1">
        <f t="array" ref="Q87">_xlfn.IFS(P87="","",ABS(P87)&lt;='Risk Matrices'!$E$8,'Risk Matrices'!$E$5,ABS(P87)&lt;='Risk Matrices'!$F$8,'Risk Matrices'!$F$5,ABS(P87)&lt;='Risk Matrices'!$G$8,'Risk Matrices'!$G$5,ABS(P87)&lt;='Risk Matrices'!$H$8,'Risk Matrices'!$H$5,ABS(P87)&gt;'Risk Matrices'!$H$8,'Risk Matrices'!$I$5)</f>
        <v>Negligible</v>
      </c>
      <c r="R87" s="101" t="s">
        <v>130</v>
      </c>
      <c r="S87" s="106">
        <f t="shared" si="57"/>
        <v>3</v>
      </c>
      <c r="T87" s="106" cm="1">
        <f t="array" ref="T87">_xlfn.IFS(O87='Risk Matrices'!$D$28,'Risk Matrices'!$D$29,O87='Risk Matrices'!$E$28,'Risk Matrices'!$E$29,O87='Risk Matrices'!$F$28,'Risk Matrices'!$F$29,O87='Risk Matrices'!$G$28,'Risk Matrices'!$G$29,O87='Risk Matrices'!$H$28,'Risk Matrices'!$H$29)</f>
        <v>2</v>
      </c>
      <c r="U87" s="106">
        <f t="shared" si="76"/>
        <v>1</v>
      </c>
      <c r="V87" s="106">
        <f t="shared" si="73"/>
        <v>0</v>
      </c>
      <c r="W87" s="106">
        <f t="shared" si="77"/>
        <v>2</v>
      </c>
      <c r="X87" s="106">
        <f t="shared" si="78"/>
        <v>6</v>
      </c>
      <c r="Y87" s="107" t="str">
        <f t="shared" si="61"/>
        <v>Low</v>
      </c>
      <c r="Z87" s="104"/>
      <c r="AA87" s="108">
        <f t="shared" si="79"/>
        <v>0.32</v>
      </c>
      <c r="AB87" s="109">
        <f t="shared" si="80"/>
        <v>320</v>
      </c>
      <c r="AC87" s="109" t="s">
        <v>155</v>
      </c>
      <c r="AD87" s="104" t="s">
        <v>711</v>
      </c>
      <c r="AE87" s="104"/>
      <c r="AF87" s="926" t="s">
        <v>134</v>
      </c>
      <c r="AG87" s="926"/>
      <c r="AH87" s="856" t="s">
        <v>175</v>
      </c>
      <c r="AI87" s="112">
        <v>0.1</v>
      </c>
      <c r="AJ87" s="101">
        <v>100</v>
      </c>
      <c r="AK87" s="101">
        <v>500</v>
      </c>
      <c r="AL87" s="101">
        <v>700</v>
      </c>
      <c r="AM87" s="101">
        <v>2</v>
      </c>
      <c r="AN87" s="101">
        <v>3</v>
      </c>
      <c r="AO87" s="101">
        <v>4</v>
      </c>
      <c r="AP87" s="112" t="str">
        <f>IF(OR(ISBLANK(AI87),AI87=0),"INSERT LIKELIHOOD",IF(ABS(AI87)&lt;='Risk Matrices'!$D$22,'Risk Matrices'!$C$21,IF(ABS(AI87)&lt;='Risk Matrices'!$D$19,'Risk Matrices'!$C$18,IF(ABS(AI87)&lt;='Risk Matrices'!$D$16,'Risk Matrices'!$C$15,IF(ABS(AI87)&lt;='Risk Matrices'!$D$13,'Risk Matrices'!$C$12,'Risk Matrices'!$C$10)))))</f>
        <v>Very Low</v>
      </c>
      <c r="AQ87" s="112" t="str">
        <f>IF(OR(ISBLANK(AK87),AK87=0),"None",IF(ABS(AK87)&lt;='Risk Matrices'!$E$7,'Risk Matrices'!$E$5,IF(ABS(AK87)&lt;='Risk Matrices'!$G$7,'Risk Matrices'!$G$5,IF(ABS(AK87)&lt;='Risk Matrices'!$H$7,'Risk Matrices'!$H$5,'Risk Matrices'!$I$5))))</f>
        <v>Significant</v>
      </c>
      <c r="AR87" s="112" t="str">
        <f>IF(AN87="","",IF(ABS(AN87)&lt;='Risk Matrices'!$E$8,"Negligible",IF(ABS(AN87)&lt;='Risk Matrices'!$F$8,"Marginal",IF(ABS(AN87)&lt;='Risk Matrices'!$G$8,"Significant",IF(ABS(AN87)&lt;='Risk Matrices'!$H$8,"Critical","Crisis")))))</f>
        <v>Negligible</v>
      </c>
      <c r="AS87" s="103" t="s">
        <v>207</v>
      </c>
      <c r="AT87" s="298">
        <f>IF(OR(ISBLANK(AI87),AI87=0),0,VLOOKUP(AP87,'Risk Matrices'!$B$30:$C$34,2,0))</f>
        <v>1</v>
      </c>
      <c r="AU87" s="298">
        <f>IF(OR(ISBLANK(AK87),AK87=0),0,HLOOKUP(AQ87,'Risk Matrices'!$D$28:$H$29,2,0))</f>
        <v>3</v>
      </c>
      <c r="AV87" s="298">
        <f>IF(OR(ISBLANK(AR87),AR87=0),0,HLOOKUP(AR87,'Risk Matrices'!$D$28:$H$29,2,0))</f>
        <v>1</v>
      </c>
      <c r="AW87" s="298">
        <f>IF(OR(ISBLANK(AS87),AS87=0),0,HLOOKUP(AS87,'Risk Matrices'!$D$28:$H$29,2,0))</f>
        <v>1</v>
      </c>
      <c r="AX87" s="106">
        <f t="shared" si="48"/>
        <v>3</v>
      </c>
      <c r="AY87" s="106">
        <f t="shared" si="49"/>
        <v>3</v>
      </c>
      <c r="AZ87" s="107" t="str">
        <f>IF(B87="Retired","Retired",IF(OR(ISBLANK(AY87),AY87=0),"TBD",IF(AY87&lt;='Risk Matrices'!$D$40,'Risk Matrices'!$B$40,IF(AY87&lt;='Risk Matrices'!$D$39,'Risk Matrices'!$B$39,'Risk Matrices'!$B$38))))</f>
        <v>Low</v>
      </c>
      <c r="BA87" s="104"/>
      <c r="BB87" s="101" t="s">
        <v>366</v>
      </c>
      <c r="BC87" s="109">
        <f t="shared" si="50"/>
        <v>50</v>
      </c>
      <c r="BD87" s="104"/>
      <c r="BE87" s="104"/>
      <c r="BF87" s="104"/>
      <c r="BG87" s="104"/>
      <c r="BH87" s="104"/>
      <c r="BI87" s="101"/>
      <c r="BJ87" s="874">
        <f t="shared" si="51"/>
        <v>43.333333333333336</v>
      </c>
      <c r="BK87" s="101"/>
      <c r="BL87" s="101"/>
      <c r="BM87" s="116">
        <v>43981</v>
      </c>
      <c r="BN87" s="330">
        <v>44134</v>
      </c>
      <c r="BO87" s="332"/>
      <c r="BP87" s="94">
        <f t="shared" si="74"/>
        <v>46.666666666666671</v>
      </c>
      <c r="BQ87" s="97" t="str">
        <f t="shared" si="53"/>
        <v>100 - 500 - 700</v>
      </c>
      <c r="BR87" s="97" t="str">
        <f t="shared" si="54"/>
        <v>2 - 3 - 4</v>
      </c>
      <c r="BS87" s="715">
        <f t="shared" si="81"/>
        <v>43.333333333333336</v>
      </c>
      <c r="BT87" s="736">
        <f t="shared" si="55"/>
        <v>0.3</v>
      </c>
      <c r="BU87" s="735" t="s">
        <v>712</v>
      </c>
      <c r="BV87" s="873">
        <v>45382</v>
      </c>
      <c r="BW87">
        <f t="shared" si="75"/>
        <v>1248</v>
      </c>
    </row>
    <row r="88" spans="2:75" customFormat="1" ht="60" hidden="1" x14ac:dyDescent="0.2">
      <c r="B88" s="101" t="str">
        <f t="shared" si="66"/>
        <v>Active</v>
      </c>
      <c r="C88" s="785" t="s">
        <v>713</v>
      </c>
      <c r="D88" s="101" t="s">
        <v>151</v>
      </c>
      <c r="E88" s="103" t="s">
        <v>652</v>
      </c>
      <c r="F88" s="102" t="s">
        <v>124</v>
      </c>
      <c r="G88" s="103" t="s">
        <v>653</v>
      </c>
      <c r="H88" s="103" t="str">
        <f t="shared" si="71"/>
        <v>RT-6-005-009</v>
      </c>
      <c r="I88" s="101" t="s">
        <v>653</v>
      </c>
      <c r="J88" s="103" t="s">
        <v>702</v>
      </c>
      <c r="K88" s="101" t="s">
        <v>714</v>
      </c>
      <c r="L88" s="104" t="s">
        <v>715</v>
      </c>
      <c r="M88" s="103" t="s">
        <v>141</v>
      </c>
      <c r="N88" s="105">
        <v>1000</v>
      </c>
      <c r="O88" s="106" t="str" cm="1">
        <f t="array" ref="O88">_xlfn.IFS(N88="","",ABS(N88)&lt;='Risk Matrices'!$E$7,'Risk Matrices'!$E$5,ABS(N88)&lt;='Risk Matrices'!$F$7,'Risk Matrices'!$F$5,ABS(N88)&lt;='Risk Matrices'!$G$7,'Risk Matrices'!$G$5,ABS(N88)&lt;='Risk Matrices'!$H$7,'Risk Matrices'!$H$5,ABS(N88)&gt;'Risk Matrices'!$H$7,'Risk Matrices'!$I$5)</f>
        <v>Marginal</v>
      </c>
      <c r="P88" s="101">
        <v>12</v>
      </c>
      <c r="Q88" s="101" t="str" cm="1">
        <f t="array" ref="Q88">_xlfn.IFS(P88="","",ABS(P88)&lt;='Risk Matrices'!$E$8,'Risk Matrices'!$E$5,ABS(P88)&lt;='Risk Matrices'!$F$8,'Risk Matrices'!$F$5,ABS(P88)&lt;='Risk Matrices'!$G$8,'Risk Matrices'!$G$5,ABS(P88)&lt;='Risk Matrices'!$H$8,'Risk Matrices'!$H$5,ABS(P88)&gt;'Risk Matrices'!$H$8,'Risk Matrices'!$I$5)</f>
        <v>Significant</v>
      </c>
      <c r="R88" s="101" t="s">
        <v>307</v>
      </c>
      <c r="S88" s="106">
        <f t="shared" si="57"/>
        <v>3</v>
      </c>
      <c r="T88" s="106" cm="1">
        <f t="array" ref="T88">_xlfn.IFS(O88='Risk Matrices'!$D$28,'Risk Matrices'!$D$29,O88='Risk Matrices'!$E$28,'Risk Matrices'!$E$29,O88='Risk Matrices'!$F$28,'Risk Matrices'!$F$29,O88='Risk Matrices'!$G$28,'Risk Matrices'!$G$29,O88='Risk Matrices'!$H$28,'Risk Matrices'!$H$29)</f>
        <v>2</v>
      </c>
      <c r="U88" s="106">
        <f t="shared" si="76"/>
        <v>3</v>
      </c>
      <c r="V88" s="106">
        <f t="shared" si="73"/>
        <v>3</v>
      </c>
      <c r="W88" s="106">
        <f t="shared" si="77"/>
        <v>3</v>
      </c>
      <c r="X88" s="106">
        <f t="shared" si="78"/>
        <v>9</v>
      </c>
      <c r="Y88" s="107" t="str">
        <f t="shared" si="61"/>
        <v>Moderate</v>
      </c>
      <c r="Z88" s="104"/>
      <c r="AA88" s="108">
        <f t="shared" si="79"/>
        <v>0.32</v>
      </c>
      <c r="AB88" s="109">
        <f t="shared" si="80"/>
        <v>320</v>
      </c>
      <c r="AC88" s="109" t="s">
        <v>155</v>
      </c>
      <c r="AD88" s="104" t="s">
        <v>716</v>
      </c>
      <c r="AE88" s="104"/>
      <c r="AF88" s="926" t="s">
        <v>717</v>
      </c>
      <c r="AG88" s="926"/>
      <c r="AH88" s="119" t="s">
        <v>718</v>
      </c>
      <c r="AI88" s="112">
        <v>0.2</v>
      </c>
      <c r="AJ88" s="101">
        <v>500</v>
      </c>
      <c r="AK88" s="101">
        <v>1500</v>
      </c>
      <c r="AL88" s="101">
        <v>3000</v>
      </c>
      <c r="AM88" s="101">
        <v>6</v>
      </c>
      <c r="AN88" s="101">
        <v>12</v>
      </c>
      <c r="AO88" s="101">
        <v>15</v>
      </c>
      <c r="AP88" s="112" t="str">
        <f>IF(OR(ISBLANK(AI88),AI88=0),"INSERT LIKELIHOOD",IF(ABS(AI88)&lt;='Risk Matrices'!$D$22,'Risk Matrices'!$C$21,IF(ABS(AI88)&lt;='Risk Matrices'!$D$19,'Risk Matrices'!$C$18,IF(ABS(AI88)&lt;='Risk Matrices'!$D$16,'Risk Matrices'!$C$15,IF(ABS(AI88)&lt;='Risk Matrices'!$D$13,'Risk Matrices'!$C$12,'Risk Matrices'!$C$10)))))</f>
        <v>Low</v>
      </c>
      <c r="AQ88" s="112" t="str">
        <f>IF(OR(ISBLANK(AK88),AK88=0),"None",IF(ABS(AK88)&lt;='Risk Matrices'!$E$7,'Risk Matrices'!$E$5,IF(ABS(AK88)&lt;='Risk Matrices'!$G$7,'Risk Matrices'!$G$5,IF(ABS(AK88)&lt;='Risk Matrices'!$H$7,'Risk Matrices'!$H$5,'Risk Matrices'!$I$5))))</f>
        <v>Significant</v>
      </c>
      <c r="AR88" s="112" t="str">
        <f>IF(AN88="","",IF(ABS(AN88)&lt;='Risk Matrices'!$E$8,"Negligible",IF(ABS(AN88)&lt;='Risk Matrices'!$F$8,"Marginal",IF(ABS(AN88)&lt;='Risk Matrices'!$G$8,"Significant",IF(ABS(AN88)&lt;='Risk Matrices'!$H$8,"Critical","Crisis")))))</f>
        <v>Significant</v>
      </c>
      <c r="AS88" s="102" t="s">
        <v>280</v>
      </c>
      <c r="AT88" s="298">
        <f>IF(OR(ISBLANK(AI88),AI88=0),0,VLOOKUP(AP88,'Risk Matrices'!$B$30:$C$34,2,0))</f>
        <v>2</v>
      </c>
      <c r="AU88" s="298">
        <f>IF(OR(ISBLANK(AK88),AK88=0),0,HLOOKUP(AQ88,'Risk Matrices'!$D$28:$H$29,2,0))</f>
        <v>3</v>
      </c>
      <c r="AV88" s="298">
        <f>IF(OR(ISBLANK(AR88),AR88=0),0,HLOOKUP(AR88,'Risk Matrices'!$D$28:$H$29,2,0))</f>
        <v>3</v>
      </c>
      <c r="AW88" s="298">
        <f>IF(OR(ISBLANK(AS88),AS88=0),0,HLOOKUP(AS88,'Risk Matrices'!$D$28:$H$29,2,0))</f>
        <v>2</v>
      </c>
      <c r="AX88" s="106">
        <f t="shared" si="48"/>
        <v>3</v>
      </c>
      <c r="AY88" s="106">
        <f t="shared" si="49"/>
        <v>6</v>
      </c>
      <c r="AZ88" s="107" t="str">
        <f>IF(B88="Retired","Retired",IF(OR(ISBLANK(AY88),AY88=0),"TBD",IF(AY88&lt;='Risk Matrices'!$D$40,'Risk Matrices'!$B$40,IF(AY88&lt;='Risk Matrices'!$D$39,'Risk Matrices'!$B$39,'Risk Matrices'!$B$38))))</f>
        <v>Low</v>
      </c>
      <c r="BA88" s="104"/>
      <c r="BB88" s="101" t="s">
        <v>366</v>
      </c>
      <c r="BC88" s="109">
        <f t="shared" si="50"/>
        <v>300</v>
      </c>
      <c r="BD88" s="104"/>
      <c r="BE88" s="104"/>
      <c r="BF88" s="104"/>
      <c r="BG88" s="104"/>
      <c r="BH88" s="104"/>
      <c r="BI88" s="101"/>
      <c r="BJ88" s="874">
        <f t="shared" si="51"/>
        <v>333.33333333333337</v>
      </c>
      <c r="BK88" s="101"/>
      <c r="BL88" s="101"/>
      <c r="BM88" s="116">
        <v>43981</v>
      </c>
      <c r="BN88" s="330">
        <v>44134</v>
      </c>
      <c r="BO88" s="332"/>
      <c r="BP88" s="94">
        <f t="shared" si="74"/>
        <v>316.66666666666669</v>
      </c>
      <c r="BQ88" s="97" t="str">
        <f t="shared" si="53"/>
        <v>500 - 1500 - 3000</v>
      </c>
      <c r="BR88" s="97" t="str">
        <f t="shared" si="54"/>
        <v>6 - 12 - 15</v>
      </c>
      <c r="BS88" s="715">
        <f t="shared" si="81"/>
        <v>333.33333333333337</v>
      </c>
      <c r="BT88" s="736">
        <f t="shared" si="55"/>
        <v>2.2000000000000002</v>
      </c>
      <c r="BU88" s="735" t="s">
        <v>719</v>
      </c>
      <c r="BV88" s="873">
        <v>45382</v>
      </c>
      <c r="BW88">
        <f t="shared" si="75"/>
        <v>1248</v>
      </c>
    </row>
    <row r="89" spans="2:75" customFormat="1" ht="55.25" hidden="1" customHeight="1" x14ac:dyDescent="0.2">
      <c r="B89" s="101" t="str">
        <f t="shared" si="66"/>
        <v>Active</v>
      </c>
      <c r="C89" s="785" t="s">
        <v>720</v>
      </c>
      <c r="D89" s="118" t="s">
        <v>122</v>
      </c>
      <c r="E89" s="103" t="s">
        <v>652</v>
      </c>
      <c r="F89" s="102" t="s">
        <v>124</v>
      </c>
      <c r="G89" s="103" t="s">
        <v>653</v>
      </c>
      <c r="H89" s="103" t="str">
        <f t="shared" si="71"/>
        <v>RT-6-005-010</v>
      </c>
      <c r="I89" s="101" t="s">
        <v>653</v>
      </c>
      <c r="J89" s="103" t="s">
        <v>702</v>
      </c>
      <c r="K89" s="101" t="s">
        <v>721</v>
      </c>
      <c r="L89" s="104" t="s">
        <v>722</v>
      </c>
      <c r="M89" s="103" t="s">
        <v>141</v>
      </c>
      <c r="N89" s="105">
        <v>0</v>
      </c>
      <c r="O89" s="106" t="str" cm="1">
        <f t="array" ref="O89">_xlfn.IFS(N89="","",ABS(N89)&lt;='Risk Matrices'!$E$7,'Risk Matrices'!$E$5,ABS(N89)&lt;='Risk Matrices'!$F$7,'Risk Matrices'!$F$5,ABS(N89)&lt;='Risk Matrices'!$G$7,'Risk Matrices'!$G$5,ABS(N89)&lt;='Risk Matrices'!$H$7,'Risk Matrices'!$H$5,ABS(N89)&gt;'Risk Matrices'!$H$7,'Risk Matrices'!$I$5)</f>
        <v>Negligible</v>
      </c>
      <c r="P89" s="101">
        <v>24</v>
      </c>
      <c r="Q89" s="101" t="str" cm="1">
        <f t="array" ref="Q89">_xlfn.IFS(P89="","",ABS(P89)&lt;='Risk Matrices'!$E$8,'Risk Matrices'!$E$5,ABS(P89)&lt;='Risk Matrices'!$F$8,'Risk Matrices'!$F$5,ABS(P89)&lt;='Risk Matrices'!$G$8,'Risk Matrices'!$G$5,ABS(P89)&lt;='Risk Matrices'!$H$8,'Risk Matrices'!$H$5,ABS(P89)&gt;'Risk Matrices'!$H$8,'Risk Matrices'!$I$5)</f>
        <v>Critical</v>
      </c>
      <c r="R89" s="101" t="s">
        <v>307</v>
      </c>
      <c r="S89" s="106">
        <f t="shared" si="57"/>
        <v>3</v>
      </c>
      <c r="T89" s="106" cm="1">
        <f t="array" ref="T89">_xlfn.IFS(O89='Risk Matrices'!$D$28,'Risk Matrices'!$D$29,O89='Risk Matrices'!$E$28,'Risk Matrices'!$E$29,O89='Risk Matrices'!$F$28,'Risk Matrices'!$F$29,O89='Risk Matrices'!$G$28,'Risk Matrices'!$G$29,O89='Risk Matrices'!$H$28,'Risk Matrices'!$H$29)</f>
        <v>1</v>
      </c>
      <c r="U89" s="106">
        <f t="shared" si="76"/>
        <v>4</v>
      </c>
      <c r="V89" s="106">
        <f t="shared" si="73"/>
        <v>3</v>
      </c>
      <c r="W89" s="106">
        <f t="shared" si="77"/>
        <v>4</v>
      </c>
      <c r="X89" s="106">
        <f t="shared" si="78"/>
        <v>12</v>
      </c>
      <c r="Y89" s="107" t="str">
        <f t="shared" si="61"/>
        <v>Moderate</v>
      </c>
      <c r="Z89" s="104"/>
      <c r="AA89" s="108">
        <f t="shared" si="79"/>
        <v>0.32</v>
      </c>
      <c r="AB89" s="109">
        <f t="shared" si="80"/>
        <v>0</v>
      </c>
      <c r="AC89" s="109" t="s">
        <v>155</v>
      </c>
      <c r="AD89" s="197" t="s">
        <v>723</v>
      </c>
      <c r="AE89" s="104"/>
      <c r="AF89" s="926" t="s">
        <v>265</v>
      </c>
      <c r="AG89" s="926"/>
      <c r="AH89" s="119" t="s">
        <v>724</v>
      </c>
      <c r="AI89" s="112">
        <v>0.35</v>
      </c>
      <c r="AJ89" s="157">
        <v>-100000</v>
      </c>
      <c r="AK89" s="157">
        <v>-100000</v>
      </c>
      <c r="AL89" s="157">
        <v>-100000</v>
      </c>
      <c r="AM89" s="101">
        <v>0</v>
      </c>
      <c r="AN89" s="101">
        <v>0</v>
      </c>
      <c r="AO89" s="101">
        <v>0</v>
      </c>
      <c r="AP89" s="112" t="str">
        <f>IF(OR(ISBLANK(AI89),AI89=0),"INSERT LIKELIHOOD",IF(ABS(AI89)&lt;='Risk Matrices'!$D$22,'Risk Matrices'!$C$21,IF(ABS(AI89)&lt;='Risk Matrices'!$D$19,'Risk Matrices'!$C$18,IF(ABS(AI89)&lt;='Risk Matrices'!$D$16,'Risk Matrices'!$C$15,IF(ABS(AI89)&lt;='Risk Matrices'!$D$13,'Risk Matrices'!$C$12,'Risk Matrices'!$C$10)))))</f>
        <v>Moderate</v>
      </c>
      <c r="AQ89" s="112" t="str">
        <f>IF(OR(ISBLANK(AK89),AK89=0),"None",IF(ABS(AK89)&lt;='Risk Matrices'!$E$7,'Risk Matrices'!$E$5,IF(ABS(AK89)&lt;='Risk Matrices'!$G$7,'Risk Matrices'!$G$5,IF(ABS(AK89)&lt;='Risk Matrices'!$H$7,'Risk Matrices'!$H$5,'Risk Matrices'!$I$5))))</f>
        <v>Crisis</v>
      </c>
      <c r="AR89" s="112" t="str">
        <f>IF(AN89="","",IF(ABS(AN89)&lt;='Risk Matrices'!$E$8,"Negligible",IF(ABS(AN89)&lt;='Risk Matrices'!$F$8,"Marginal",IF(ABS(AN89)&lt;='Risk Matrices'!$G$8,"Significant",IF(ABS(AN89)&lt;='Risk Matrices'!$H$8,"Critical","Crisis")))))</f>
        <v>Negligible</v>
      </c>
      <c r="AS89" s="102" t="s">
        <v>307</v>
      </c>
      <c r="AT89" s="298">
        <f>IF(OR(ISBLANK(AI89),AI89=0),0,VLOOKUP(AP89,'Risk Matrices'!$B$30:$C$34,2,0))</f>
        <v>3</v>
      </c>
      <c r="AU89" s="298">
        <f>IF(OR(ISBLANK(AK89),AK89=0),0,HLOOKUP(AQ89,'Risk Matrices'!$D$28:$H$29,2,0))</f>
        <v>5</v>
      </c>
      <c r="AV89" s="298">
        <f>IF(OR(ISBLANK(AR89),AR89=0),0,HLOOKUP(AR89,'Risk Matrices'!$D$28:$H$29,2,0))</f>
        <v>1</v>
      </c>
      <c r="AW89" s="298">
        <f>IF(OR(ISBLANK(AS89),AS89=0),0,HLOOKUP(AS89,'Risk Matrices'!$D$28:$H$29,2,0))</f>
        <v>3</v>
      </c>
      <c r="AX89" s="106">
        <f t="shared" si="48"/>
        <v>5</v>
      </c>
      <c r="AY89" s="106">
        <f t="shared" si="49"/>
        <v>15</v>
      </c>
      <c r="AZ89" s="107" t="str">
        <f>IF(B89="Retired","Retired",IF(OR(ISBLANK(AY89),AY89=0),"TBD",IF(AY89&lt;='Risk Matrices'!$D$40,'Risk Matrices'!$B$40,IF(AY89&lt;='Risk Matrices'!$D$39,'Risk Matrices'!$B$39,'Risk Matrices'!$B$38))))</f>
        <v>High</v>
      </c>
      <c r="BA89" s="104"/>
      <c r="BB89" s="949" t="s">
        <v>725</v>
      </c>
      <c r="BC89" s="109">
        <f t="shared" si="50"/>
        <v>-35000</v>
      </c>
      <c r="BD89" s="104"/>
      <c r="BE89" s="104"/>
      <c r="BF89" s="104"/>
      <c r="BG89" s="104"/>
      <c r="BH89" s="104"/>
      <c r="BI89" s="101"/>
      <c r="BJ89" s="874">
        <f t="shared" si="51"/>
        <v>-35000</v>
      </c>
      <c r="BK89" s="101"/>
      <c r="BL89" s="101"/>
      <c r="BM89" s="116">
        <v>43981</v>
      </c>
      <c r="BN89" s="330">
        <v>44134</v>
      </c>
      <c r="BO89" s="332"/>
      <c r="BP89" s="94">
        <f t="shared" si="74"/>
        <v>-35000</v>
      </c>
      <c r="BQ89" s="97" t="str">
        <f t="shared" si="53"/>
        <v>-100000 - -100000 - -100000</v>
      </c>
      <c r="BR89" s="97" t="str">
        <f t="shared" si="54"/>
        <v>0 - 0 - 0</v>
      </c>
      <c r="BS89" s="715">
        <f t="shared" si="81"/>
        <v>-35000</v>
      </c>
      <c r="BT89" s="736">
        <f t="shared" si="55"/>
        <v>0</v>
      </c>
      <c r="BU89" s="735" t="s">
        <v>726</v>
      </c>
      <c r="BV89" s="873">
        <v>45382</v>
      </c>
      <c r="BW89">
        <f t="shared" si="75"/>
        <v>1248</v>
      </c>
    </row>
    <row r="90" spans="2:75" customFormat="1" ht="70.25" hidden="1" customHeight="1" x14ac:dyDescent="0.2">
      <c r="B90" s="126" t="str">
        <f t="shared" si="66"/>
        <v>Active</v>
      </c>
      <c r="C90" s="785" t="s">
        <v>727</v>
      </c>
      <c r="D90" s="126" t="s">
        <v>151</v>
      </c>
      <c r="E90" s="103" t="s">
        <v>652</v>
      </c>
      <c r="F90" s="102" t="s">
        <v>124</v>
      </c>
      <c r="G90" s="132" t="s">
        <v>653</v>
      </c>
      <c r="H90" s="101" t="str">
        <f t="shared" si="71"/>
        <v>RT-6-005-011-LLP-CD3A</v>
      </c>
      <c r="I90" s="337" t="s">
        <v>417</v>
      </c>
      <c r="J90" s="102" t="s">
        <v>409</v>
      </c>
      <c r="K90" s="101" t="s">
        <v>728</v>
      </c>
      <c r="L90" s="104" t="s">
        <v>729</v>
      </c>
      <c r="M90" s="103" t="s">
        <v>197</v>
      </c>
      <c r="N90" s="105">
        <v>0</v>
      </c>
      <c r="O90" s="106" t="str" cm="1">
        <f t="array" ref="O90">_xlfn.IFS(N90="","",ABS(N90)&lt;='Risk Matrices'!$E$7,'Risk Matrices'!$E$5,ABS(N90)&lt;='Risk Matrices'!$F$7,'Risk Matrices'!$F$5,ABS(N90)&lt;='Risk Matrices'!$G$7,'Risk Matrices'!$G$5,ABS(N90)&lt;='Risk Matrices'!$H$7,'Risk Matrices'!$H$5,ABS(N90)&gt;'Risk Matrices'!$H$7,'Risk Matrices'!$I$5)</f>
        <v>Negligible</v>
      </c>
      <c r="P90" s="106">
        <v>18</v>
      </c>
      <c r="Q90" s="101" t="str" cm="1">
        <f t="array" ref="Q90">_xlfn.IFS(P90="","",ABS(P90)&lt;='Risk Matrices'!$E$8,'Risk Matrices'!$E$5,ABS(P90)&lt;='Risk Matrices'!$F$8,'Risk Matrices'!$F$5,ABS(P90)&lt;='Risk Matrices'!$G$8,'Risk Matrices'!$G$5,ABS(P90)&lt;='Risk Matrices'!$H$8,'Risk Matrices'!$H$5,ABS(P90)&gt;'Risk Matrices'!$H$8,'Risk Matrices'!$I$5)</f>
        <v>Critical</v>
      </c>
      <c r="R90" s="102" t="s">
        <v>130</v>
      </c>
      <c r="S90" s="106">
        <f t="shared" si="57"/>
        <v>5</v>
      </c>
      <c r="T90" s="106" cm="1">
        <f t="array" ref="T90">_xlfn.IFS(O90='Risk Matrices'!$D$28,'Risk Matrices'!$D$29,O90='Risk Matrices'!$E$28,'Risk Matrices'!$E$29,O90='Risk Matrices'!$F$28,'Risk Matrices'!$F$29,O90='Risk Matrices'!$G$28,'Risk Matrices'!$G$29,O90='Risk Matrices'!$H$28,'Risk Matrices'!$H$29)</f>
        <v>1</v>
      </c>
      <c r="U90" s="106">
        <f t="shared" si="76"/>
        <v>4</v>
      </c>
      <c r="V90" s="106">
        <f t="shared" si="73"/>
        <v>0</v>
      </c>
      <c r="W90" s="106">
        <f t="shared" si="77"/>
        <v>4</v>
      </c>
      <c r="X90" s="106">
        <f t="shared" si="78"/>
        <v>20</v>
      </c>
      <c r="Y90" s="107" t="str">
        <f t="shared" si="61"/>
        <v>High</v>
      </c>
      <c r="Z90" s="104"/>
      <c r="AA90" s="108">
        <f t="shared" si="79"/>
        <v>0.82</v>
      </c>
      <c r="AB90" s="109">
        <f t="shared" si="80"/>
        <v>0</v>
      </c>
      <c r="AC90" s="137" t="s">
        <v>155</v>
      </c>
      <c r="AD90" s="104" t="s">
        <v>730</v>
      </c>
      <c r="AE90" s="352"/>
      <c r="AF90" s="983" t="s">
        <v>134</v>
      </c>
      <c r="AG90" s="983"/>
      <c r="AH90" s="119" t="s">
        <v>731</v>
      </c>
      <c r="AI90" s="875">
        <v>0.5</v>
      </c>
      <c r="AJ90" s="101">
        <v>0</v>
      </c>
      <c r="AK90" s="157">
        <v>0</v>
      </c>
      <c r="AL90" s="101">
        <v>0</v>
      </c>
      <c r="AM90" s="106">
        <v>6</v>
      </c>
      <c r="AN90" s="106">
        <v>9</v>
      </c>
      <c r="AO90" s="106">
        <v>12</v>
      </c>
      <c r="AP90" s="112" t="str">
        <f>IF(OR(ISBLANK(AI90),AI90=0),"INSERT LIKELIHOOD",IF(ABS(AI90)&lt;='Risk Matrices'!$D$22,'Risk Matrices'!$C$21,IF(ABS(AI90)&lt;='Risk Matrices'!$D$19,'Risk Matrices'!$C$18,IF(ABS(AI90)&lt;='Risk Matrices'!$D$16,'Risk Matrices'!$C$15,IF(ABS(AI90)&lt;='Risk Matrices'!$D$13,'Risk Matrices'!$C$12,'Risk Matrices'!$C$10)))))</f>
        <v>High</v>
      </c>
      <c r="AQ90" s="112" t="str">
        <f>IF(OR(ISBLANK(AK90),AK90=0),"None",IF(ABS(AK90)&lt;='Risk Matrices'!$E$7,'Risk Matrices'!$E$5,IF(ABS(AK90)&lt;='Risk Matrices'!$G$7,'Risk Matrices'!$G$5,IF(ABS(AK90)&lt;='Risk Matrices'!$H$7,'Risk Matrices'!$H$5,'Risk Matrices'!$I$5))))</f>
        <v>None</v>
      </c>
      <c r="AR90" s="112" t="str">
        <f>IF(AN90="","",IF(ABS(AN90)&lt;='Risk Matrices'!$E$8,"Negligible",IF(ABS(AN90)&lt;='Risk Matrices'!$F$8,"Marginal",IF(ABS(AN90)&lt;='Risk Matrices'!$G$8,"Significant",IF(ABS(AN90)&lt;='Risk Matrices'!$H$8,"Critical","Crisis")))))</f>
        <v>Significant</v>
      </c>
      <c r="AS90" s="103" t="s">
        <v>130</v>
      </c>
      <c r="AT90" s="298">
        <f>IF(OR(ISBLANK(AI90),AI90=0),0,VLOOKUP(AP90,'Risk Matrices'!$B$30:$C$34,2,0))</f>
        <v>4</v>
      </c>
      <c r="AU90" s="298">
        <f>IF(OR(ISBLANK(AK90),AK90=0),0,HLOOKUP(AQ90,'Risk Matrices'!$D$28:$H$29,2,0))</f>
        <v>0</v>
      </c>
      <c r="AV90" s="298">
        <f>IF(OR(ISBLANK(AR90),AR90=0),0,HLOOKUP(AR90,'Risk Matrices'!$D$28:$H$29,2,0))</f>
        <v>3</v>
      </c>
      <c r="AW90" s="298">
        <f>IF(AS90="None",0,HLOOKUP(AS90,'Risk Matrices'!$D$28:$H$29,2,0))</f>
        <v>0</v>
      </c>
      <c r="AX90" s="106">
        <f t="shared" si="48"/>
        <v>3</v>
      </c>
      <c r="AY90" s="106">
        <f t="shared" si="49"/>
        <v>12</v>
      </c>
      <c r="AZ90" s="107" t="str">
        <f>IF(B90="Retired","Retired",IF(OR(ISBLANK(AY90),AY90=0),"TBD",IF(AY90&lt;='Risk Matrices'!$D$40,'Risk Matrices'!$B$40,IF(AY90&lt;='Risk Matrices'!$D$39,'Risk Matrices'!$B$39,'Risk Matrices'!$B$38))))</f>
        <v>Moderate</v>
      </c>
      <c r="BA90" s="104"/>
      <c r="BB90" s="113" t="s">
        <v>732</v>
      </c>
      <c r="BC90" s="109">
        <f t="shared" si="50"/>
        <v>0</v>
      </c>
      <c r="BD90" s="185">
        <v>45517</v>
      </c>
      <c r="BE90" s="104"/>
      <c r="BF90" s="104"/>
      <c r="BG90" s="104"/>
      <c r="BH90" s="104"/>
      <c r="BI90" s="101"/>
      <c r="BJ90" s="874">
        <f t="shared" si="51"/>
        <v>0</v>
      </c>
      <c r="BK90" s="101"/>
      <c r="BL90" s="101"/>
      <c r="BM90" s="116" t="s">
        <v>661</v>
      </c>
      <c r="BN90" s="116">
        <v>45104</v>
      </c>
      <c r="BO90" s="333" t="s">
        <v>733</v>
      </c>
      <c r="BP90" s="94">
        <f t="shared" si="74"/>
        <v>0</v>
      </c>
      <c r="BQ90" s="97" t="str">
        <f t="shared" si="53"/>
        <v>0 - 0 - 0</v>
      </c>
      <c r="BR90" s="97" t="str">
        <f t="shared" si="54"/>
        <v>6 - 9 - 12</v>
      </c>
      <c r="BS90" s="715"/>
      <c r="BT90" s="736">
        <f t="shared" si="55"/>
        <v>4.5</v>
      </c>
      <c r="BU90" s="735"/>
      <c r="BV90" s="873">
        <v>45382</v>
      </c>
      <c r="BW90">
        <f t="shared" si="75"/>
        <v>278</v>
      </c>
    </row>
    <row r="91" spans="2:75" customFormat="1" ht="70.25" hidden="1" customHeight="1" x14ac:dyDescent="0.2">
      <c r="B91" s="126" t="str">
        <f t="shared" si="66"/>
        <v>Active</v>
      </c>
      <c r="C91" s="785" t="s">
        <v>734</v>
      </c>
      <c r="D91" s="126" t="s">
        <v>151</v>
      </c>
      <c r="E91" s="132" t="s">
        <v>652</v>
      </c>
      <c r="F91" s="102" t="s">
        <v>124</v>
      </c>
      <c r="G91" s="132" t="s">
        <v>653</v>
      </c>
      <c r="H91" s="132" t="str">
        <f t="shared" si="71"/>
        <v>RT-6-005-012</v>
      </c>
      <c r="I91" s="337" t="s">
        <v>417</v>
      </c>
      <c r="J91" s="102" t="s">
        <v>409</v>
      </c>
      <c r="K91" s="101" t="s">
        <v>735</v>
      </c>
      <c r="L91" s="123" t="s">
        <v>736</v>
      </c>
      <c r="M91" s="103" t="s">
        <v>129</v>
      </c>
      <c r="N91" s="105">
        <v>0</v>
      </c>
      <c r="O91" s="106" t="str" cm="1">
        <f t="array" ref="O91">_xlfn.IFS(N91="","",ABS(N91)&lt;='Risk Matrices'!$E$7,'Risk Matrices'!$E$5,ABS(N91)&lt;='Risk Matrices'!$F$7,'Risk Matrices'!$F$5,ABS(N91)&lt;='Risk Matrices'!$G$7,'Risk Matrices'!$G$5,ABS(N91)&lt;='Risk Matrices'!$H$7,'Risk Matrices'!$H$5,ABS(N91)&gt;'Risk Matrices'!$H$7,'Risk Matrices'!$I$5)</f>
        <v>Negligible</v>
      </c>
      <c r="P91" s="106">
        <v>9</v>
      </c>
      <c r="Q91" s="101" t="str" cm="1">
        <f t="array" ref="Q91">_xlfn.IFS(P91="","",ABS(P91)&lt;='Risk Matrices'!$E$8,'Risk Matrices'!$E$5,ABS(P91)&lt;='Risk Matrices'!$F$8,'Risk Matrices'!$F$5,ABS(P91)&lt;='Risk Matrices'!$G$8,'Risk Matrices'!$G$5,ABS(P91)&lt;='Risk Matrices'!$H$8,'Risk Matrices'!$H$5,ABS(P91)&gt;'Risk Matrices'!$H$8,'Risk Matrices'!$I$5)</f>
        <v>Significant</v>
      </c>
      <c r="R91" s="101" t="s">
        <v>130</v>
      </c>
      <c r="S91" s="106">
        <f t="shared" si="57"/>
        <v>4</v>
      </c>
      <c r="T91" s="106" cm="1">
        <f t="array" ref="T91">_xlfn.IFS(O91='Risk Matrices'!$D$28,'Risk Matrices'!$D$29,O91='Risk Matrices'!$E$28,'Risk Matrices'!$E$29,O91='Risk Matrices'!$F$28,'Risk Matrices'!$F$29,O91='Risk Matrices'!$G$28,'Risk Matrices'!$G$29,O91='Risk Matrices'!$H$28,'Risk Matrices'!$H$29)</f>
        <v>1</v>
      </c>
      <c r="U91" s="106">
        <f t="shared" si="76"/>
        <v>3</v>
      </c>
      <c r="V91" s="106">
        <f t="shared" si="73"/>
        <v>0</v>
      </c>
      <c r="W91" s="106">
        <f t="shared" si="77"/>
        <v>3</v>
      </c>
      <c r="X91" s="106">
        <f t="shared" si="78"/>
        <v>12</v>
      </c>
      <c r="Y91" s="107" t="str">
        <f t="shared" si="61"/>
        <v>Moderate</v>
      </c>
      <c r="Z91" s="104"/>
      <c r="AA91" s="108">
        <f t="shared" si="79"/>
        <v>0.52</v>
      </c>
      <c r="AB91" s="109">
        <f t="shared" si="80"/>
        <v>0</v>
      </c>
      <c r="AC91" s="137" t="s">
        <v>155</v>
      </c>
      <c r="AD91" s="123" t="s">
        <v>737</v>
      </c>
      <c r="AE91" s="123"/>
      <c r="AF91" s="116" t="s">
        <v>134</v>
      </c>
      <c r="AG91" s="116"/>
      <c r="AH91" s="119" t="s">
        <v>175</v>
      </c>
      <c r="AI91" s="875">
        <v>0.5</v>
      </c>
      <c r="AJ91" s="101">
        <v>0</v>
      </c>
      <c r="AK91" s="157">
        <v>0</v>
      </c>
      <c r="AL91" s="101">
        <v>0</v>
      </c>
      <c r="AM91" s="106">
        <v>6</v>
      </c>
      <c r="AN91" s="106">
        <v>9</v>
      </c>
      <c r="AO91" s="106">
        <v>12</v>
      </c>
      <c r="AP91" s="112" t="str">
        <f>IF(OR(ISBLANK(AI91),AI91=0),"INSERT LIKELIHOOD",IF(ABS(AI91)&lt;='Risk Matrices'!$D$22,'Risk Matrices'!$C$21,IF(ABS(AI91)&lt;='Risk Matrices'!$D$19,'Risk Matrices'!$C$18,IF(ABS(AI91)&lt;='Risk Matrices'!$D$16,'Risk Matrices'!$C$15,IF(ABS(AI91)&lt;='Risk Matrices'!$D$13,'Risk Matrices'!$C$12,'Risk Matrices'!$C$10)))))</f>
        <v>High</v>
      </c>
      <c r="AQ91" s="112" t="str">
        <f>IF(OR(ISBLANK(AK91),AK91=0),"None",IF(ABS(AK91)&lt;='Risk Matrices'!$E$7,'Risk Matrices'!$E$5,IF(ABS(AK91)&lt;='Risk Matrices'!$G$7,'Risk Matrices'!$G$5,IF(ABS(AK91)&lt;='Risk Matrices'!$H$7,'Risk Matrices'!$H$5,'Risk Matrices'!$I$5))))</f>
        <v>None</v>
      </c>
      <c r="AR91" s="112" t="str">
        <f>IF(AN91="","",IF(ABS(AN91)&lt;='Risk Matrices'!$E$8,"Negligible",IF(ABS(AN91)&lt;='Risk Matrices'!$F$8,"Marginal",IF(ABS(AN91)&lt;='Risk Matrices'!$G$8,"Significant",IF(ABS(AN91)&lt;='Risk Matrices'!$H$8,"Critical","Crisis")))))</f>
        <v>Significant</v>
      </c>
      <c r="AS91" s="103" t="s">
        <v>130</v>
      </c>
      <c r="AT91" s="298">
        <f>IF(OR(ISBLANK(AI91),AI91=0),0,VLOOKUP(AP91,'Risk Matrices'!$B$30:$C$34,2,0))</f>
        <v>4</v>
      </c>
      <c r="AU91" s="298">
        <f>IF(OR(ISBLANK(AK91),AK91=0),0,HLOOKUP(AQ91,'Risk Matrices'!$D$28:$H$29,2,0))</f>
        <v>0</v>
      </c>
      <c r="AV91" s="298">
        <f>IF(OR(ISBLANK(AR91),AR91=0),0,HLOOKUP(AR91,'Risk Matrices'!$D$28:$H$29,2,0))</f>
        <v>3</v>
      </c>
      <c r="AW91" s="298">
        <f>IF(AS91="None",0,HLOOKUP(AS91,'Risk Matrices'!$D$28:$H$29,2,0))</f>
        <v>0</v>
      </c>
      <c r="AX91" s="106">
        <f t="shared" ref="AX91:AX122" si="82">MAX(AU91,AV91,AW91)</f>
        <v>3</v>
      </c>
      <c r="AY91" s="106">
        <f t="shared" ref="AY91:AY122" si="83">AT91*AX91</f>
        <v>12</v>
      </c>
      <c r="AZ91" s="107" t="str">
        <f>IF(B91="Retired","Retired",IF(OR(ISBLANK(AY91),AY91=0),"TBD",IF(AY91&lt;='Risk Matrices'!$D$40,'Risk Matrices'!$B$40,IF(AY91&lt;='Risk Matrices'!$D$39,'Risk Matrices'!$B$39,'Risk Matrices'!$B$38))))</f>
        <v>Moderate</v>
      </c>
      <c r="BA91" s="104"/>
      <c r="BB91" s="113" t="s">
        <v>738</v>
      </c>
      <c r="BC91" s="109">
        <f t="shared" ref="BC91:BC122" si="84">IF(B91="Active",AI91*AK91,B91)</f>
        <v>0</v>
      </c>
      <c r="BD91" s="185">
        <v>45334</v>
      </c>
      <c r="BE91" s="104"/>
      <c r="BF91" s="104"/>
      <c r="BG91" s="104"/>
      <c r="BH91" s="104"/>
      <c r="BI91" s="101"/>
      <c r="BJ91" s="874">
        <f t="shared" si="51"/>
        <v>0</v>
      </c>
      <c r="BK91" s="101"/>
      <c r="BL91" s="101"/>
      <c r="BM91" s="116" t="s">
        <v>661</v>
      </c>
      <c r="BN91" s="116">
        <v>45104</v>
      </c>
      <c r="BO91" s="332"/>
      <c r="BP91" s="94">
        <f t="shared" si="74"/>
        <v>0</v>
      </c>
      <c r="BQ91" s="97" t="str">
        <f t="shared" si="53"/>
        <v>0 - 0 - 0</v>
      </c>
      <c r="BR91" s="97" t="str">
        <f t="shared" si="54"/>
        <v>6 - 9 - 12</v>
      </c>
      <c r="BS91" s="715">
        <f>BJ91</f>
        <v>0</v>
      </c>
      <c r="BT91" s="736">
        <f t="shared" si="55"/>
        <v>4.5</v>
      </c>
      <c r="BU91" s="735"/>
      <c r="BV91" s="873">
        <v>45382</v>
      </c>
      <c r="BW91">
        <f t="shared" si="75"/>
        <v>278</v>
      </c>
    </row>
    <row r="92" spans="2:75" customFormat="1" ht="50" hidden="1" customHeight="1" x14ac:dyDescent="0.2">
      <c r="B92" s="126" t="str">
        <f t="shared" si="66"/>
        <v>Active</v>
      </c>
      <c r="C92" s="785" t="s">
        <v>739</v>
      </c>
      <c r="D92" s="126" t="s">
        <v>151</v>
      </c>
      <c r="E92" s="132" t="s">
        <v>652</v>
      </c>
      <c r="F92" s="102" t="s">
        <v>124</v>
      </c>
      <c r="G92" s="132" t="s">
        <v>653</v>
      </c>
      <c r="H92" s="101" t="str">
        <f t="shared" si="71"/>
        <v>RT-6-005-013</v>
      </c>
      <c r="I92" s="337" t="s">
        <v>681</v>
      </c>
      <c r="J92" s="102" t="s">
        <v>409</v>
      </c>
      <c r="K92" s="101" t="s">
        <v>740</v>
      </c>
      <c r="L92" s="197" t="s">
        <v>741</v>
      </c>
      <c r="M92" s="103" t="s">
        <v>141</v>
      </c>
      <c r="N92" s="105">
        <v>0</v>
      </c>
      <c r="O92" s="106" t="str" cm="1">
        <f t="array" ref="O92">_xlfn.IFS(N92="","",ABS(N92)&lt;='Risk Matrices'!$E$7,'Risk Matrices'!$E$5,ABS(N92)&lt;='Risk Matrices'!$F$7,'Risk Matrices'!$F$5,ABS(N92)&lt;='Risk Matrices'!$G$7,'Risk Matrices'!$G$5,ABS(N92)&lt;='Risk Matrices'!$H$7,'Risk Matrices'!$H$5,ABS(N92)&gt;'Risk Matrices'!$H$7,'Risk Matrices'!$I$5)</f>
        <v>Negligible</v>
      </c>
      <c r="P92" s="106">
        <v>6</v>
      </c>
      <c r="Q92" s="101" t="str" cm="1">
        <f t="array" ref="Q92">_xlfn.IFS(P92="","",ABS(P92)&lt;='Risk Matrices'!$E$8,'Risk Matrices'!$E$5,ABS(P92)&lt;='Risk Matrices'!$F$8,'Risk Matrices'!$F$5,ABS(P92)&lt;='Risk Matrices'!$G$8,'Risk Matrices'!$G$5,ABS(P92)&lt;='Risk Matrices'!$H$8,'Risk Matrices'!$H$5,ABS(P92)&gt;'Risk Matrices'!$H$8,'Risk Matrices'!$I$5)</f>
        <v>Marginal</v>
      </c>
      <c r="R92" s="101" t="s">
        <v>130</v>
      </c>
      <c r="S92" s="106">
        <f t="shared" si="57"/>
        <v>3</v>
      </c>
      <c r="T92" s="106" cm="1">
        <f t="array" ref="T92">_xlfn.IFS(O92='Risk Matrices'!$D$28,'Risk Matrices'!$D$29,O92='Risk Matrices'!$E$28,'Risk Matrices'!$E$29,O92='Risk Matrices'!$F$28,'Risk Matrices'!$F$29,O92='Risk Matrices'!$G$28,'Risk Matrices'!$G$29,O92='Risk Matrices'!$H$28,'Risk Matrices'!$H$29)</f>
        <v>1</v>
      </c>
      <c r="U92" s="106"/>
      <c r="V92" s="106">
        <f t="shared" si="73"/>
        <v>0</v>
      </c>
      <c r="W92" s="106"/>
      <c r="X92" s="106"/>
      <c r="Y92" s="793" t="str">
        <f t="shared" si="61"/>
        <v>Low</v>
      </c>
      <c r="Z92" s="104"/>
      <c r="AA92" s="108"/>
      <c r="AB92" s="109"/>
      <c r="AC92" s="137" t="s">
        <v>155</v>
      </c>
      <c r="AD92" s="770" t="s">
        <v>540</v>
      </c>
      <c r="AE92" s="770"/>
      <c r="AF92" s="116" t="s">
        <v>134</v>
      </c>
      <c r="AG92" s="116"/>
      <c r="AH92" s="854" t="s">
        <v>175</v>
      </c>
      <c r="AI92" s="875">
        <v>0.3</v>
      </c>
      <c r="AJ92" s="101">
        <v>0</v>
      </c>
      <c r="AK92" s="157">
        <v>0</v>
      </c>
      <c r="AL92" s="101">
        <v>0</v>
      </c>
      <c r="AM92" s="106">
        <v>3</v>
      </c>
      <c r="AN92" s="106">
        <v>6</v>
      </c>
      <c r="AO92" s="106">
        <v>9</v>
      </c>
      <c r="AP92" s="112" t="str">
        <f>IF(OR(ISBLANK(AI92),AI92=0),"INSERT LIKELIHOOD",IF(ABS(AI92)&lt;='Risk Matrices'!$D$22,'Risk Matrices'!$C$21,IF(ABS(AI92)&lt;='Risk Matrices'!$D$19,'Risk Matrices'!$C$18,IF(ABS(AI92)&lt;='Risk Matrices'!$D$16,'Risk Matrices'!$C$15,IF(ABS(AI92)&lt;='Risk Matrices'!$D$13,'Risk Matrices'!$C$12,'Risk Matrices'!$C$10)))))</f>
        <v>Moderate</v>
      </c>
      <c r="AQ92" s="112" t="str">
        <f>IF(OR(ISBLANK(AK92),AK92=0),"None",IF(ABS(AK92)&lt;='Risk Matrices'!$E$7,'Risk Matrices'!$E$5,IF(ABS(AK92)&lt;='Risk Matrices'!$G$7,'Risk Matrices'!$G$5,IF(ABS(AK92)&lt;='Risk Matrices'!$H$7,'Risk Matrices'!$H$5,'Risk Matrices'!$I$5))))</f>
        <v>None</v>
      </c>
      <c r="AR92" s="112" t="str">
        <f>IF(AN92="","",IF(ABS(AN92)&lt;='Risk Matrices'!$E$8,"Negligible",IF(ABS(AN92)&lt;='Risk Matrices'!$F$8,"Marginal",IF(ABS(AN92)&lt;='Risk Matrices'!$G$8,"Significant",IF(ABS(AN92)&lt;='Risk Matrices'!$H$8,"Critical","Crisis")))))</f>
        <v>Marginal</v>
      </c>
      <c r="AS92" s="103" t="s">
        <v>130</v>
      </c>
      <c r="AT92" s="298">
        <f>IF(OR(ISBLANK(AI92),AI92=0),0,VLOOKUP(AP92,'Risk Matrices'!$B$30:$C$34,2,0))</f>
        <v>3</v>
      </c>
      <c r="AU92" s="298">
        <f>IF(OR(ISBLANK(AK92),AK92=0),0,HLOOKUP(AQ92,'Risk Matrices'!$D$28:$H$29,2,0))</f>
        <v>0</v>
      </c>
      <c r="AV92" s="298">
        <f>IF(OR(ISBLANK(AR92),AR92=0),0,HLOOKUP(AR92,'Risk Matrices'!$D$28:$H$29,2,0))</f>
        <v>2</v>
      </c>
      <c r="AW92" s="298">
        <f>IF(AS92="None",0,HLOOKUP(AS92,'Risk Matrices'!$D$28:$H$29,2,0))</f>
        <v>0</v>
      </c>
      <c r="AX92" s="106">
        <f t="shared" si="82"/>
        <v>2</v>
      </c>
      <c r="AY92" s="106">
        <f t="shared" si="83"/>
        <v>6</v>
      </c>
      <c r="AZ92" s="107" t="str">
        <f>IF(B92="Retired","Retired",IF(OR(ISBLANK(AY92),AY92=0),"TBD",IF(AY92&lt;='Risk Matrices'!$D$40,'Risk Matrices'!$B$40,IF(AY92&lt;='Risk Matrices'!$D$39,'Risk Matrices'!$B$39,'Risk Matrices'!$B$38))))</f>
        <v>Low</v>
      </c>
      <c r="BA92" s="104"/>
      <c r="BB92" s="113" t="s">
        <v>742</v>
      </c>
      <c r="BC92" s="109">
        <f t="shared" si="84"/>
        <v>0</v>
      </c>
      <c r="BD92" s="185">
        <v>45334</v>
      </c>
      <c r="BE92" s="104"/>
      <c r="BF92" s="104"/>
      <c r="BG92" s="104"/>
      <c r="BH92" s="104"/>
      <c r="BI92" s="101"/>
      <c r="BJ92" s="874">
        <f t="shared" si="51"/>
        <v>0</v>
      </c>
      <c r="BK92" s="101"/>
      <c r="BL92" s="101"/>
      <c r="BM92" s="116" t="s">
        <v>661</v>
      </c>
      <c r="BN92" s="116">
        <v>45104</v>
      </c>
      <c r="BO92" s="332"/>
      <c r="BP92" s="94">
        <f t="shared" si="74"/>
        <v>0</v>
      </c>
      <c r="BQ92" s="97" t="str">
        <f t="shared" si="53"/>
        <v>0 - 0 - 0</v>
      </c>
      <c r="BR92" s="97" t="str">
        <f t="shared" si="54"/>
        <v>3 - 6 - 9</v>
      </c>
      <c r="BS92" s="715">
        <f>BJ92</f>
        <v>0</v>
      </c>
      <c r="BT92" s="736">
        <f t="shared" si="55"/>
        <v>1.7999999999999998</v>
      </c>
      <c r="BU92" s="735"/>
      <c r="BV92" s="873">
        <v>45382</v>
      </c>
      <c r="BW92">
        <f t="shared" si="75"/>
        <v>278</v>
      </c>
    </row>
    <row r="93" spans="2:75" customFormat="1" ht="45" hidden="1" x14ac:dyDescent="0.2">
      <c r="B93" s="126" t="str">
        <f t="shared" si="66"/>
        <v>Active</v>
      </c>
      <c r="C93" s="785" t="s">
        <v>743</v>
      </c>
      <c r="D93" s="126" t="s">
        <v>151</v>
      </c>
      <c r="E93" s="132" t="s">
        <v>652</v>
      </c>
      <c r="F93" s="102" t="s">
        <v>124</v>
      </c>
      <c r="G93" s="132" t="s">
        <v>653</v>
      </c>
      <c r="H93" s="101" t="str">
        <f t="shared" si="71"/>
        <v>RT-6-005-014</v>
      </c>
      <c r="I93" s="337" t="s">
        <v>681</v>
      </c>
      <c r="J93" s="102" t="s">
        <v>409</v>
      </c>
      <c r="K93" s="101" t="s">
        <v>744</v>
      </c>
      <c r="L93" s="123" t="s">
        <v>745</v>
      </c>
      <c r="M93" s="103" t="s">
        <v>141</v>
      </c>
      <c r="N93" s="105">
        <v>500</v>
      </c>
      <c r="O93" s="106" t="str" cm="1">
        <f t="array" ref="O93">_xlfn.IFS(N93="","",ABS(N93)&lt;='Risk Matrices'!$E$7,'Risk Matrices'!$E$5,ABS(N93)&lt;='Risk Matrices'!$F$7,'Risk Matrices'!$F$5,ABS(N93)&lt;='Risk Matrices'!$G$7,'Risk Matrices'!$G$5,ABS(N93)&lt;='Risk Matrices'!$H$7,'Risk Matrices'!$H$5,ABS(N93)&gt;'Risk Matrices'!$H$7,'Risk Matrices'!$I$5)</f>
        <v>Marginal</v>
      </c>
      <c r="P93" s="106">
        <v>9</v>
      </c>
      <c r="Q93" s="101" t="str" cm="1">
        <f t="array" ref="Q93">_xlfn.IFS(P93="","",ABS(P93)&lt;='Risk Matrices'!$E$8,'Risk Matrices'!$E$5,ABS(P93)&lt;='Risk Matrices'!$F$8,'Risk Matrices'!$F$5,ABS(P93)&lt;='Risk Matrices'!$G$8,'Risk Matrices'!$G$5,ABS(P93)&lt;='Risk Matrices'!$H$8,'Risk Matrices'!$H$5,ABS(P93)&gt;'Risk Matrices'!$H$8,'Risk Matrices'!$I$5)</f>
        <v>Significant</v>
      </c>
      <c r="R93" s="101" t="s">
        <v>130</v>
      </c>
      <c r="S93" s="106">
        <f t="shared" si="57"/>
        <v>3</v>
      </c>
      <c r="T93" s="106" cm="1">
        <f t="array" ref="T93">_xlfn.IFS(O93='Risk Matrices'!$D$28,'Risk Matrices'!$D$29,O93='Risk Matrices'!$E$28,'Risk Matrices'!$E$29,O93='Risk Matrices'!$F$28,'Risk Matrices'!$F$29,O93='Risk Matrices'!$G$28,'Risk Matrices'!$G$29,O93='Risk Matrices'!$H$28,'Risk Matrices'!$H$29)</f>
        <v>2</v>
      </c>
      <c r="U93" s="106"/>
      <c r="V93" s="106">
        <f t="shared" si="73"/>
        <v>0</v>
      </c>
      <c r="W93" s="106"/>
      <c r="X93" s="106"/>
      <c r="Y93" s="793" t="str">
        <f t="shared" si="61"/>
        <v>Low</v>
      </c>
      <c r="Z93" s="104"/>
      <c r="AA93" s="108"/>
      <c r="AB93" s="109"/>
      <c r="AC93" s="137" t="s">
        <v>155</v>
      </c>
      <c r="AD93" s="123" t="s">
        <v>746</v>
      </c>
      <c r="AE93" s="123"/>
      <c r="AF93" s="116" t="s">
        <v>167</v>
      </c>
      <c r="AG93" s="116"/>
      <c r="AH93" s="854" t="s">
        <v>175</v>
      </c>
      <c r="AI93" s="875">
        <v>0.2</v>
      </c>
      <c r="AJ93" s="101">
        <v>250</v>
      </c>
      <c r="AK93" s="157">
        <v>500</v>
      </c>
      <c r="AL93" s="101">
        <v>750</v>
      </c>
      <c r="AM93" s="106">
        <v>6</v>
      </c>
      <c r="AN93" s="106">
        <v>9</v>
      </c>
      <c r="AO93" s="106">
        <v>12</v>
      </c>
      <c r="AP93" s="112" t="str">
        <f>IF(OR(ISBLANK(AI93),AI93=0),"INSERT LIKELIHOOD",IF(ABS(AI93)&lt;='Risk Matrices'!$D$22,'Risk Matrices'!$C$21,IF(ABS(AI93)&lt;='Risk Matrices'!$D$19,'Risk Matrices'!$C$18,IF(ABS(AI93)&lt;='Risk Matrices'!$D$16,'Risk Matrices'!$C$15,IF(ABS(AI93)&lt;='Risk Matrices'!$D$13,'Risk Matrices'!$C$12,'Risk Matrices'!$C$10)))))</f>
        <v>Low</v>
      </c>
      <c r="AQ93" s="112" t="str">
        <f>IF(OR(ISBLANK(AK93),AK93=0),"None",IF(ABS(AK93)&lt;='Risk Matrices'!$E$7,'Risk Matrices'!$E$5,IF(ABS(AK93)&lt;='Risk Matrices'!$G$7,'Risk Matrices'!$G$5,IF(ABS(AK93)&lt;='Risk Matrices'!$H$7,'Risk Matrices'!$H$5,'Risk Matrices'!$I$5))))</f>
        <v>Significant</v>
      </c>
      <c r="AR93" s="112" t="str">
        <f>IF(AN93="","",IF(ABS(AN93)&lt;='Risk Matrices'!$E$8,"Negligible",IF(ABS(AN93)&lt;='Risk Matrices'!$F$8,"Marginal",IF(ABS(AN93)&lt;='Risk Matrices'!$G$8,"Significant",IF(ABS(AN93)&lt;='Risk Matrices'!$H$8,"Critical","Crisis")))))</f>
        <v>Significant</v>
      </c>
      <c r="AS93" s="103" t="s">
        <v>130</v>
      </c>
      <c r="AT93" s="298">
        <f>IF(OR(ISBLANK(AI93),AI93=0),0,VLOOKUP(AP93,'Risk Matrices'!$B$30:$C$34,2,0))</f>
        <v>2</v>
      </c>
      <c r="AU93" s="298">
        <f>IF(OR(ISBLANK(AK93),AK93=0),0,HLOOKUP(AQ93,'Risk Matrices'!$D$28:$H$29,2,0))</f>
        <v>3</v>
      </c>
      <c r="AV93" s="298">
        <f>IF(OR(ISBLANK(AR93),AR93=0),0,HLOOKUP(AR93,'Risk Matrices'!$D$28:$H$29,2,0))</f>
        <v>3</v>
      </c>
      <c r="AW93" s="298">
        <f>IF(AS93="None",0,HLOOKUP(AS93,'Risk Matrices'!$D$28:$H$29,2,0))</f>
        <v>0</v>
      </c>
      <c r="AX93" s="106">
        <f t="shared" si="82"/>
        <v>3</v>
      </c>
      <c r="AY93" s="106">
        <f t="shared" si="83"/>
        <v>6</v>
      </c>
      <c r="AZ93" s="107" t="str">
        <f>IF(B93="Retired","Retired",IF(OR(ISBLANK(AY93),AY93=0),"TBD",IF(AY93&lt;='Risk Matrices'!$D$40,'Risk Matrices'!$B$40,IF(AY93&lt;='Risk Matrices'!$D$39,'Risk Matrices'!$B$39,'Risk Matrices'!$B$38))))</f>
        <v>Low</v>
      </c>
      <c r="BA93" s="104"/>
      <c r="BB93" s="113" t="s">
        <v>742</v>
      </c>
      <c r="BC93" s="109">
        <f t="shared" si="84"/>
        <v>100</v>
      </c>
      <c r="BD93" s="185">
        <v>45334</v>
      </c>
      <c r="BE93" s="104"/>
      <c r="BF93" s="104"/>
      <c r="BG93" s="104"/>
      <c r="BH93" s="104"/>
      <c r="BI93" s="101"/>
      <c r="BJ93" s="874">
        <f t="shared" si="51"/>
        <v>100</v>
      </c>
      <c r="BK93" s="101"/>
      <c r="BL93" s="101"/>
      <c r="BM93" s="116" t="s">
        <v>661</v>
      </c>
      <c r="BN93" s="116">
        <v>45104</v>
      </c>
      <c r="BO93" s="332"/>
      <c r="BP93" s="94">
        <f t="shared" si="74"/>
        <v>100</v>
      </c>
      <c r="BQ93" s="97" t="str">
        <f t="shared" si="53"/>
        <v>250 - 500 - 750</v>
      </c>
      <c r="BR93" s="97" t="str">
        <f t="shared" si="54"/>
        <v>6 - 9 - 12</v>
      </c>
      <c r="BS93" s="715">
        <f>BJ93</f>
        <v>100</v>
      </c>
      <c r="BT93" s="736">
        <f t="shared" si="55"/>
        <v>1.8</v>
      </c>
      <c r="BU93" s="735"/>
      <c r="BV93" s="873">
        <v>45382</v>
      </c>
      <c r="BW93">
        <f t="shared" si="75"/>
        <v>278</v>
      </c>
    </row>
    <row r="94" spans="2:75" customFormat="1" ht="59.5" hidden="1" customHeight="1" x14ac:dyDescent="0.2">
      <c r="B94" s="126" t="str">
        <f t="shared" si="66"/>
        <v>Active</v>
      </c>
      <c r="C94" s="785" t="s">
        <v>747</v>
      </c>
      <c r="D94" s="126" t="s">
        <v>151</v>
      </c>
      <c r="E94" s="132" t="s">
        <v>652</v>
      </c>
      <c r="F94" s="102" t="s">
        <v>124</v>
      </c>
      <c r="G94" s="132" t="s">
        <v>653</v>
      </c>
      <c r="H94" s="132" t="str">
        <f t="shared" si="71"/>
        <v>RT-6-005-015</v>
      </c>
      <c r="I94" s="337" t="s">
        <v>654</v>
      </c>
      <c r="J94" s="101" t="s">
        <v>655</v>
      </c>
      <c r="K94" s="747" t="s">
        <v>748</v>
      </c>
      <c r="L94" s="123" t="s">
        <v>749</v>
      </c>
      <c r="M94" s="103" t="s">
        <v>129</v>
      </c>
      <c r="N94" s="105">
        <v>100</v>
      </c>
      <c r="O94" s="106" t="str" cm="1">
        <f t="array" ref="O94">_xlfn.IFS(N94="","",ABS(N94)&lt;='Risk Matrices'!$E$7,'Risk Matrices'!$E$5,ABS(N94)&lt;='Risk Matrices'!$F$7,'Risk Matrices'!$F$5,ABS(N94)&lt;='Risk Matrices'!$G$7,'Risk Matrices'!$G$5,ABS(N94)&lt;='Risk Matrices'!$H$7,'Risk Matrices'!$H$5,ABS(N94)&gt;'Risk Matrices'!$H$7,'Risk Matrices'!$I$5)</f>
        <v>Negligible</v>
      </c>
      <c r="P94" s="106">
        <v>2</v>
      </c>
      <c r="Q94" s="101" t="str" cm="1">
        <f t="array" ref="Q94">_xlfn.IFS(P94="","",ABS(P94)&lt;='Risk Matrices'!$E$8,'Risk Matrices'!$E$5,ABS(P94)&lt;='Risk Matrices'!$F$8,'Risk Matrices'!$F$5,ABS(P94)&lt;='Risk Matrices'!$G$8,'Risk Matrices'!$G$5,ABS(P94)&lt;='Risk Matrices'!$H$8,'Risk Matrices'!$H$5,ABS(P94)&gt;'Risk Matrices'!$H$8,'Risk Matrices'!$I$5)</f>
        <v>Negligible</v>
      </c>
      <c r="R94" s="101" t="s">
        <v>130</v>
      </c>
      <c r="S94" s="106">
        <f t="shared" si="57"/>
        <v>4</v>
      </c>
      <c r="T94" s="106" cm="1">
        <f t="array" ref="T94">_xlfn.IFS(O94='Risk Matrices'!$D$28,'Risk Matrices'!$D$29,O94='Risk Matrices'!$E$28,'Risk Matrices'!$E$29,O94='Risk Matrices'!$F$28,'Risk Matrices'!$F$29,O94='Risk Matrices'!$G$28,'Risk Matrices'!$G$29,O94='Risk Matrices'!$H$28,'Risk Matrices'!$H$29)</f>
        <v>1</v>
      </c>
      <c r="U94" s="106"/>
      <c r="V94" s="106">
        <f t="shared" si="73"/>
        <v>0</v>
      </c>
      <c r="W94" s="106"/>
      <c r="X94" s="106"/>
      <c r="Y94" s="793" t="str">
        <f t="shared" si="61"/>
        <v>Low</v>
      </c>
      <c r="Z94" s="104"/>
      <c r="AA94" s="108"/>
      <c r="AB94" s="109"/>
      <c r="AC94" s="137" t="s">
        <v>155</v>
      </c>
      <c r="AD94" s="146" t="s">
        <v>750</v>
      </c>
      <c r="AE94" s="146"/>
      <c r="AF94" s="116" t="s">
        <v>134</v>
      </c>
      <c r="AG94" s="116"/>
      <c r="AH94" s="854" t="s">
        <v>175</v>
      </c>
      <c r="AI94" s="875">
        <v>0.5</v>
      </c>
      <c r="AJ94" s="101">
        <v>50</v>
      </c>
      <c r="AK94" s="157">
        <v>100</v>
      </c>
      <c r="AL94" s="101">
        <v>200</v>
      </c>
      <c r="AM94" s="106">
        <v>1</v>
      </c>
      <c r="AN94" s="106">
        <v>2</v>
      </c>
      <c r="AO94" s="106">
        <v>3</v>
      </c>
      <c r="AP94" s="112" t="str">
        <f>IF(OR(ISBLANK(AI94),AI94=0),"INSERT LIKELIHOOD",IF(ABS(AI94)&lt;='Risk Matrices'!$D$22,'Risk Matrices'!$C$21,IF(ABS(AI94)&lt;='Risk Matrices'!$D$19,'Risk Matrices'!$C$18,IF(ABS(AI94)&lt;='Risk Matrices'!$D$16,'Risk Matrices'!$C$15,IF(ABS(AI94)&lt;='Risk Matrices'!$D$13,'Risk Matrices'!$C$12,'Risk Matrices'!$C$10)))))</f>
        <v>High</v>
      </c>
      <c r="AQ94" s="112" t="str">
        <f>IF(OR(ISBLANK(AK94),AK94=0),"None",IF(ABS(AK94)&lt;='Risk Matrices'!$E$7,'Risk Matrices'!$E$5,IF(ABS(AK94)&lt;='Risk Matrices'!$G$7,'Risk Matrices'!$G$5,IF(ABS(AK94)&lt;='Risk Matrices'!$H$7,'Risk Matrices'!$H$5,'Risk Matrices'!$I$5))))</f>
        <v>Negligible</v>
      </c>
      <c r="AR94" s="112" t="str">
        <f>IF(AN94="","",IF(ABS(AN94)&lt;='Risk Matrices'!$E$8,"Negligible",IF(ABS(AN94)&lt;='Risk Matrices'!$F$8,"Marginal",IF(ABS(AN94)&lt;='Risk Matrices'!$G$8,"Significant",IF(ABS(AN94)&lt;='Risk Matrices'!$H$8,"Critical","Crisis")))))</f>
        <v>Negligible</v>
      </c>
      <c r="AS94" s="103" t="s">
        <v>130</v>
      </c>
      <c r="AT94" s="298">
        <f>IF(OR(ISBLANK(AI94),AI94=0),0,VLOOKUP(AP94,'Risk Matrices'!$B$30:$C$34,2,0))</f>
        <v>4</v>
      </c>
      <c r="AU94" s="298">
        <f>IF(OR(ISBLANK(AK94),AK94=0),0,HLOOKUP(AQ94,'Risk Matrices'!$D$28:$H$29,2,0))</f>
        <v>1</v>
      </c>
      <c r="AV94" s="298">
        <f>IF(OR(ISBLANK(AR94),AR94=0),0,HLOOKUP(AR94,'Risk Matrices'!$D$28:$H$29,2,0))</f>
        <v>1</v>
      </c>
      <c r="AW94" s="298">
        <f>IF(AS94="None",0,HLOOKUP(AS94,'Risk Matrices'!$D$28:$H$29,2,0))</f>
        <v>0</v>
      </c>
      <c r="AX94" s="106">
        <f t="shared" si="82"/>
        <v>1</v>
      </c>
      <c r="AY94" s="106">
        <f t="shared" si="83"/>
        <v>4</v>
      </c>
      <c r="AZ94" s="107" t="str">
        <f>IF(B94="Retired","Retired",IF(OR(ISBLANK(AY94),AY94=0),"TBD",IF(AY94&lt;='Risk Matrices'!$D$40,'Risk Matrices'!$B$40,IF(AY94&lt;='Risk Matrices'!$D$39,'Risk Matrices'!$B$39,'Risk Matrices'!$B$38))))</f>
        <v>Low</v>
      </c>
      <c r="BA94" s="104"/>
      <c r="BB94" s="95" t="s">
        <v>751</v>
      </c>
      <c r="BC94" s="109">
        <f t="shared" si="84"/>
        <v>50</v>
      </c>
      <c r="BD94" s="185">
        <v>45281</v>
      </c>
      <c r="BE94" s="104"/>
      <c r="BF94" s="104"/>
      <c r="BG94" s="104"/>
      <c r="BH94" s="104"/>
      <c r="BI94" s="101"/>
      <c r="BJ94" s="874">
        <f t="shared" si="51"/>
        <v>58.333333333333336</v>
      </c>
      <c r="BK94" s="101"/>
      <c r="BL94" s="101"/>
      <c r="BM94" s="116" t="s">
        <v>661</v>
      </c>
      <c r="BN94" s="116">
        <v>45104</v>
      </c>
      <c r="BO94" s="332"/>
      <c r="BP94" s="94">
        <f t="shared" si="74"/>
        <v>54.166666666666664</v>
      </c>
      <c r="BQ94" s="97" t="str">
        <f t="shared" si="53"/>
        <v>50 - 100 - 200</v>
      </c>
      <c r="BR94" s="97" t="str">
        <f t="shared" si="54"/>
        <v>1 - 2 - 3</v>
      </c>
      <c r="BS94" s="715">
        <f>BJ94</f>
        <v>58.333333333333336</v>
      </c>
      <c r="BT94" s="736">
        <f t="shared" si="55"/>
        <v>1</v>
      </c>
      <c r="BU94" s="735"/>
      <c r="BV94" s="873">
        <v>45382</v>
      </c>
      <c r="BW94">
        <f t="shared" si="75"/>
        <v>278</v>
      </c>
    </row>
    <row r="95" spans="2:75" customFormat="1" ht="68" hidden="1" customHeight="1" x14ac:dyDescent="0.2">
      <c r="B95" s="126" t="str">
        <f t="shared" si="66"/>
        <v>Active</v>
      </c>
      <c r="C95" s="814" t="s">
        <v>752</v>
      </c>
      <c r="D95" s="691" t="s">
        <v>151</v>
      </c>
      <c r="E95" s="815" t="s">
        <v>652</v>
      </c>
      <c r="F95" s="102" t="s">
        <v>124</v>
      </c>
      <c r="G95" s="132" t="s">
        <v>653</v>
      </c>
      <c r="H95" s="132" t="str">
        <f t="shared" si="71"/>
        <v>RT-6-005-016-LLP-CD3A</v>
      </c>
      <c r="I95" s="337" t="s">
        <v>654</v>
      </c>
      <c r="J95" s="101" t="s">
        <v>655</v>
      </c>
      <c r="K95" s="101" t="s">
        <v>753</v>
      </c>
      <c r="L95" s="104" t="s">
        <v>754</v>
      </c>
      <c r="M95" s="103" t="s">
        <v>129</v>
      </c>
      <c r="N95" s="105">
        <v>25</v>
      </c>
      <c r="O95" s="106" t="str" cm="1">
        <f t="array" ref="O95">_xlfn.IFS(N95="","",ABS(N95)&lt;='Risk Matrices'!$E$7,'Risk Matrices'!$E$5,ABS(N95)&lt;='Risk Matrices'!$F$7,'Risk Matrices'!$F$5,ABS(N95)&lt;='Risk Matrices'!$G$7,'Risk Matrices'!$G$5,ABS(N95)&lt;='Risk Matrices'!$H$7,'Risk Matrices'!$H$5,ABS(N95)&gt;'Risk Matrices'!$H$7,'Risk Matrices'!$I$5)</f>
        <v>Negligible</v>
      </c>
      <c r="P95" s="101">
        <v>6</v>
      </c>
      <c r="Q95" s="101" t="str" cm="1">
        <f t="array" ref="Q95">_xlfn.IFS(P95="","",ABS(P95)&lt;='Risk Matrices'!$E$8,'Risk Matrices'!$E$5,ABS(P95)&lt;='Risk Matrices'!$F$8,'Risk Matrices'!$F$5,ABS(P95)&lt;='Risk Matrices'!$G$8,'Risk Matrices'!$G$5,ABS(P95)&lt;='Risk Matrices'!$H$8,'Risk Matrices'!$H$5,ABS(P95)&gt;'Risk Matrices'!$H$8,'Risk Matrices'!$I$5)</f>
        <v>Marginal</v>
      </c>
      <c r="R95" s="101" t="s">
        <v>130</v>
      </c>
      <c r="S95" s="106">
        <f t="shared" si="57"/>
        <v>4</v>
      </c>
      <c r="T95" s="106" cm="1">
        <f t="array" ref="T95">_xlfn.IFS(O95='Risk Matrices'!$D$28,'Risk Matrices'!$D$29,O95='Risk Matrices'!$E$28,'Risk Matrices'!$E$29,O95='Risk Matrices'!$F$28,'Risk Matrices'!$F$29,O95='Risk Matrices'!$G$28,'Risk Matrices'!$G$29,O95='Risk Matrices'!$H$28,'Risk Matrices'!$H$29)</f>
        <v>1</v>
      </c>
      <c r="U95" s="106">
        <f>IF(Q95="",0,IF(Q95="Negligible",1,IF(Q95="Marginal",2,IF(Q95="Significant",3,IF(Q95="Critical",4,IF(Q95="Crisis",5))))))</f>
        <v>2</v>
      </c>
      <c r="V95" s="106">
        <f t="shared" si="73"/>
        <v>0</v>
      </c>
      <c r="W95" s="106">
        <f>MAX(T95,U95,V95)</f>
        <v>2</v>
      </c>
      <c r="X95" s="106">
        <f>S95*W95</f>
        <v>8</v>
      </c>
      <c r="Y95" s="107" t="str">
        <f t="shared" si="61"/>
        <v>Moderate</v>
      </c>
      <c r="Z95" s="104"/>
      <c r="AA95" s="108">
        <f>IF(M95="",0,IF(M95="Very Low (There is a &lt;10% chance that this event will occur)",0.05,IF(M95="Low (Risk is likely to occur with a probability of &gt; 10% to &lt; 25%)",0.17,IF(M95="Moderate (Risk is likely to occur with a probability of &gt; 25% to &lt; 40%)",0.32,IF(M95="High (Risk is likely to occur with a probability of &gt;40 to &lt;65%)",0.52,IF(M95="Very High (Risk is likely to occur with a probability of &gt;65%)",0.82))))))</f>
        <v>0.52</v>
      </c>
      <c r="AB95" s="109">
        <f>+AA95*N95</f>
        <v>13</v>
      </c>
      <c r="AC95" s="137" t="s">
        <v>155</v>
      </c>
      <c r="AD95" s="352" t="s">
        <v>755</v>
      </c>
      <c r="AE95" s="352"/>
      <c r="AF95" s="116" t="s">
        <v>200</v>
      </c>
      <c r="AG95" s="116"/>
      <c r="AH95" s="119" t="s">
        <v>756</v>
      </c>
      <c r="AI95" s="877">
        <v>0.2</v>
      </c>
      <c r="AJ95" s="101">
        <v>25</v>
      </c>
      <c r="AK95" s="101">
        <v>25</v>
      </c>
      <c r="AL95" s="101">
        <v>200</v>
      </c>
      <c r="AM95" s="106">
        <v>1</v>
      </c>
      <c r="AN95" s="106">
        <v>3</v>
      </c>
      <c r="AO95" s="106">
        <v>6</v>
      </c>
      <c r="AP95" s="112" t="str">
        <f>IF(OR(ISBLANK(AI95),AI95=0),"INSERT LIKELIHOOD",IF(ABS(AI95)&lt;='Risk Matrices'!$D$22,'Risk Matrices'!$C$21,IF(ABS(AI95)&lt;='Risk Matrices'!$D$19,'Risk Matrices'!$C$18,IF(ABS(AI95)&lt;='Risk Matrices'!$D$16,'Risk Matrices'!$C$15,IF(ABS(AI95)&lt;='Risk Matrices'!$D$13,'Risk Matrices'!$C$12,'Risk Matrices'!$C$10)))))</f>
        <v>Low</v>
      </c>
      <c r="AQ95" s="112" t="str">
        <f>IF(OR(ISBLANK(AK95),AK95=0),"None",IF(ABS(AK95)&lt;='Risk Matrices'!$E$7,'Risk Matrices'!$E$5,IF(ABS(AK95)&lt;='Risk Matrices'!$G$7,'Risk Matrices'!$G$5,IF(ABS(AK95)&lt;='Risk Matrices'!$H$7,'Risk Matrices'!$H$5,'Risk Matrices'!$I$5))))</f>
        <v>Negligible</v>
      </c>
      <c r="AR95" s="112" t="str">
        <f>IF(AN95="","",IF(ABS(AN95)&lt;='Risk Matrices'!$E$8,"Negligible",IF(ABS(AN95)&lt;='Risk Matrices'!$F$8,"Marginal",IF(ABS(AN95)&lt;='Risk Matrices'!$G$8,"Significant",IF(ABS(AN95)&lt;='Risk Matrices'!$H$8,"Critical","Crisis")))))</f>
        <v>Negligible</v>
      </c>
      <c r="AS95" s="103" t="s">
        <v>130</v>
      </c>
      <c r="AT95" s="298">
        <f>IF(OR(ISBLANK(AI95),AI95=0),0,VLOOKUP(AP95,'Risk Matrices'!$B$30:$C$34,2,0))</f>
        <v>2</v>
      </c>
      <c r="AU95" s="298">
        <f>IF(OR(ISBLANK(AK95),AK95=0),0,HLOOKUP(AQ95,'Risk Matrices'!$D$28:$H$29,2,0))</f>
        <v>1</v>
      </c>
      <c r="AV95" s="298">
        <f>IF(OR(ISBLANK(AR95),AR95=0),0,HLOOKUP(AR95,'Risk Matrices'!$D$28:$H$29,2,0))</f>
        <v>1</v>
      </c>
      <c r="AW95" s="298">
        <f>IF(AS95="None",0,HLOOKUP(AS95,'Risk Matrices'!$D$28:$H$29,2,0))</f>
        <v>0</v>
      </c>
      <c r="AX95" s="106">
        <f t="shared" si="82"/>
        <v>1</v>
      </c>
      <c r="AY95" s="106">
        <f t="shared" si="83"/>
        <v>2</v>
      </c>
      <c r="AZ95" s="165" t="str">
        <f>IF(B95="Retired","Retired",IF(OR(ISBLANK(AY95),AY95=0),"TBD",IF(AY95&lt;='Risk Matrices'!$D$40,'Risk Matrices'!$B$40,IF(AY95&lt;='Risk Matrices'!$D$39,'Risk Matrices'!$B$39,'Risk Matrices'!$B$38))))</f>
        <v>Low</v>
      </c>
      <c r="BA95" s="104"/>
      <c r="BB95" s="197" t="s">
        <v>757</v>
      </c>
      <c r="BC95" s="109">
        <f t="shared" si="84"/>
        <v>5</v>
      </c>
      <c r="BD95" s="185">
        <v>45517</v>
      </c>
      <c r="BE95" s="104"/>
      <c r="BF95" s="104"/>
      <c r="BG95" s="104"/>
      <c r="BH95" s="104"/>
      <c r="BI95" s="101"/>
      <c r="BJ95" s="874">
        <f t="shared" si="51"/>
        <v>16.666666666666668</v>
      </c>
      <c r="BK95" s="101"/>
      <c r="BL95" s="101"/>
      <c r="BM95" s="116">
        <v>45104</v>
      </c>
      <c r="BN95" s="116">
        <v>45104</v>
      </c>
      <c r="BO95" s="332"/>
      <c r="BP95" s="94">
        <f t="shared" si="74"/>
        <v>10.833333333333334</v>
      </c>
      <c r="BQ95" s="97" t="str">
        <f t="shared" si="53"/>
        <v>25 - 25 - 200</v>
      </c>
      <c r="BR95" s="97" t="str">
        <f t="shared" si="54"/>
        <v>1 - 3 - 6</v>
      </c>
      <c r="BS95" s="715">
        <f>BJ95</f>
        <v>16.666666666666668</v>
      </c>
      <c r="BT95" s="736">
        <f t="shared" si="55"/>
        <v>0.66666666666666663</v>
      </c>
      <c r="BU95" s="735"/>
      <c r="BV95" s="873">
        <v>45382</v>
      </c>
      <c r="BW95">
        <f t="shared" si="75"/>
        <v>278</v>
      </c>
    </row>
    <row r="96" spans="2:75" customFormat="1" ht="68" hidden="1" customHeight="1" x14ac:dyDescent="0.2">
      <c r="B96" s="126" t="str">
        <f t="shared" si="66"/>
        <v>Active</v>
      </c>
      <c r="C96" s="814" t="s">
        <v>758</v>
      </c>
      <c r="D96" s="691" t="s">
        <v>151</v>
      </c>
      <c r="E96" s="815" t="s">
        <v>652</v>
      </c>
      <c r="F96" s="102" t="s">
        <v>124</v>
      </c>
      <c r="G96" s="132" t="s">
        <v>653</v>
      </c>
      <c r="H96" s="132" t="str">
        <f t="shared" si="71"/>
        <v>RT-6-005-017-LLP-CD3A</v>
      </c>
      <c r="I96" s="337" t="s">
        <v>654</v>
      </c>
      <c r="J96" s="957" t="s">
        <v>655</v>
      </c>
      <c r="K96" s="101" t="s">
        <v>759</v>
      </c>
      <c r="L96" s="104" t="s">
        <v>760</v>
      </c>
      <c r="M96" s="103" t="s">
        <v>129</v>
      </c>
      <c r="N96" s="105">
        <v>1000</v>
      </c>
      <c r="O96" s="106" t="str" cm="1">
        <f t="array" ref="O96">_xlfn.IFS(N96="","",ABS(N96)&lt;='Risk Matrices'!$E$7,'Risk Matrices'!$E$5,ABS(N96)&lt;='Risk Matrices'!$F$7,'Risk Matrices'!$F$5,ABS(N96)&lt;='Risk Matrices'!$G$7,'Risk Matrices'!$G$5,ABS(N96)&lt;='Risk Matrices'!$H$7,'Risk Matrices'!$H$5,ABS(N96)&gt;'Risk Matrices'!$H$7,'Risk Matrices'!$I$5)</f>
        <v>Marginal</v>
      </c>
      <c r="P96" s="101">
        <v>12</v>
      </c>
      <c r="Q96" s="101" t="str" cm="1">
        <f t="array" ref="Q96">_xlfn.IFS(P96="","",ABS(P96)&lt;='Risk Matrices'!$E$8,'Risk Matrices'!$E$5,ABS(P96)&lt;='Risk Matrices'!$F$8,'Risk Matrices'!$F$5,ABS(P96)&lt;='Risk Matrices'!$G$8,'Risk Matrices'!$G$5,ABS(P96)&lt;='Risk Matrices'!$H$8,'Risk Matrices'!$H$5,ABS(P96)&gt;'Risk Matrices'!$H$8,'Risk Matrices'!$I$5)</f>
        <v>Significant</v>
      </c>
      <c r="R96" s="101" t="s">
        <v>130</v>
      </c>
      <c r="S96" s="106">
        <f t="shared" si="57"/>
        <v>4</v>
      </c>
      <c r="T96" s="106" cm="1">
        <f t="array" ref="T96">_xlfn.IFS(O96='Risk Matrices'!$D$28,'Risk Matrices'!$D$29,O96='Risk Matrices'!$E$28,'Risk Matrices'!$E$29,O96='Risk Matrices'!$F$28,'Risk Matrices'!$F$29,O96='Risk Matrices'!$G$28,'Risk Matrices'!$G$29,O96='Risk Matrices'!$H$28,'Risk Matrices'!$H$29)</f>
        <v>2</v>
      </c>
      <c r="U96" s="106">
        <f>IF(Q96="",0,IF(Q96="Negligible",1,IF(Q96="Marginal",2,IF(Q96="Significant",3,IF(Q96="Critical",4,IF(Q96="Crisis",5))))))</f>
        <v>3</v>
      </c>
      <c r="V96" s="106">
        <f t="shared" si="73"/>
        <v>0</v>
      </c>
      <c r="W96" s="106">
        <f>MAX(T96,U96,V96)</f>
        <v>3</v>
      </c>
      <c r="X96" s="106">
        <f>S96*W96</f>
        <v>12</v>
      </c>
      <c r="Y96" s="107" t="str">
        <f t="shared" si="61"/>
        <v>Moderate</v>
      </c>
      <c r="Z96" s="104"/>
      <c r="AA96" s="108">
        <f>IF(M96="",0,IF(M96="Very Low (There is a &lt;10% chance that this event will occur)",0.05,IF(M96="Low (Risk is likely to occur with a probability of &gt; 10% to &lt; 25%)",0.17,IF(M96="Moderate (Risk is likely to occur with a probability of &gt; 25% to &lt; 40%)",0.32,IF(M96="High (Risk is likely to occur with a probability of &gt;40 to &lt;65%)",0.52,IF(M96="Very High (Risk is likely to occur with a probability of &gt;65%)",0.82))))))</f>
        <v>0.52</v>
      </c>
      <c r="AB96" s="109">
        <f>+AA96*N96</f>
        <v>520</v>
      </c>
      <c r="AC96" s="137" t="s">
        <v>155</v>
      </c>
      <c r="AD96" s="352" t="s">
        <v>761</v>
      </c>
      <c r="AE96" s="352"/>
      <c r="AF96" s="116" t="s">
        <v>167</v>
      </c>
      <c r="AG96" s="116"/>
      <c r="AH96" s="119" t="s">
        <v>762</v>
      </c>
      <c r="AI96" s="877">
        <v>0.5</v>
      </c>
      <c r="AJ96" s="101">
        <v>100</v>
      </c>
      <c r="AK96" s="157">
        <v>500</v>
      </c>
      <c r="AL96" s="101">
        <v>1000</v>
      </c>
      <c r="AM96" s="106">
        <v>3</v>
      </c>
      <c r="AN96" s="106">
        <v>6</v>
      </c>
      <c r="AO96" s="106">
        <v>12</v>
      </c>
      <c r="AP96" s="112" t="str">
        <f>IF(OR(ISBLANK(AI96),AI96=0),"INSERT LIKELIHOOD",IF(ABS(AI96)&lt;='Risk Matrices'!$D$22,'Risk Matrices'!$C$21,IF(ABS(AI96)&lt;='Risk Matrices'!$D$19,'Risk Matrices'!$C$18,IF(ABS(AI96)&lt;='Risk Matrices'!$D$16,'Risk Matrices'!$C$15,IF(ABS(AI96)&lt;='Risk Matrices'!$D$13,'Risk Matrices'!$C$12,'Risk Matrices'!$C$10)))))</f>
        <v>High</v>
      </c>
      <c r="AQ96" s="112" t="str">
        <f>IF(OR(ISBLANK(AK96),AK96=0),"None",IF(ABS(AK96)&lt;='Risk Matrices'!$E$7,'Risk Matrices'!$E$5,IF(ABS(AK96)&lt;='Risk Matrices'!$G$7,'Risk Matrices'!$G$5,IF(ABS(AK96)&lt;='Risk Matrices'!$H$7,'Risk Matrices'!$H$5,'Risk Matrices'!$I$5))))</f>
        <v>Significant</v>
      </c>
      <c r="AR96" s="112" t="str">
        <f>IF(AN96="","",IF(ABS(AN96)&lt;='Risk Matrices'!$E$8,"Negligible",IF(ABS(AN96)&lt;='Risk Matrices'!$F$8,"Marginal",IF(ABS(AN96)&lt;='Risk Matrices'!$G$8,"Significant",IF(ABS(AN96)&lt;='Risk Matrices'!$H$8,"Critical","Crisis")))))</f>
        <v>Marginal</v>
      </c>
      <c r="AS96" s="103" t="s">
        <v>130</v>
      </c>
      <c r="AT96" s="298">
        <f>IF(OR(ISBLANK(AI96),AI96=0),0,VLOOKUP(AP96,'Risk Matrices'!$B$30:$C$34,2,0))</f>
        <v>4</v>
      </c>
      <c r="AU96" s="298">
        <f>IF(OR(ISBLANK(AK96),AK96=0),0,HLOOKUP(AQ96,'Risk Matrices'!$D$28:$H$29,2,0))</f>
        <v>3</v>
      </c>
      <c r="AV96" s="298">
        <f>IF(OR(ISBLANK(AR96),AR96=0),0,HLOOKUP(AR96,'Risk Matrices'!$D$28:$H$29,2,0))</f>
        <v>2</v>
      </c>
      <c r="AW96" s="298">
        <f>IF(AS96="None",0,HLOOKUP(AS96,'Risk Matrices'!$D$28:$H$29,2,0))</f>
        <v>0</v>
      </c>
      <c r="AX96" s="106">
        <f t="shared" si="82"/>
        <v>3</v>
      </c>
      <c r="AY96" s="106">
        <f t="shared" si="83"/>
        <v>12</v>
      </c>
      <c r="AZ96" s="107" t="str">
        <f>IF(B96="Retired","Retired",IF(OR(ISBLANK(AY96),AY96=0),"TBD",IF(AY96&lt;='Risk Matrices'!$D$40,'Risk Matrices'!$B$40,IF(AY96&lt;='Risk Matrices'!$D$39,'Risk Matrices'!$B$39,'Risk Matrices'!$B$38))))</f>
        <v>Moderate</v>
      </c>
      <c r="BA96" s="104"/>
      <c r="BB96" s="197" t="s">
        <v>763</v>
      </c>
      <c r="BC96" s="109">
        <f t="shared" si="84"/>
        <v>250</v>
      </c>
      <c r="BD96" s="185">
        <v>45517</v>
      </c>
      <c r="BE96" s="104"/>
      <c r="BF96" s="104"/>
      <c r="BG96" s="104"/>
      <c r="BH96" s="104"/>
      <c r="BI96" s="101"/>
      <c r="BJ96" s="874">
        <f t="shared" si="51"/>
        <v>266.66666666666669</v>
      </c>
      <c r="BK96" s="101"/>
      <c r="BL96" s="101"/>
      <c r="BM96" s="116" t="s">
        <v>661</v>
      </c>
      <c r="BN96" s="116">
        <v>45104</v>
      </c>
      <c r="BO96" s="332"/>
      <c r="BP96" s="94">
        <f t="shared" si="74"/>
        <v>258.33333333333331</v>
      </c>
      <c r="BQ96" s="97"/>
      <c r="BR96" s="97"/>
      <c r="BS96" s="715"/>
      <c r="BT96" s="736"/>
      <c r="BU96" s="735"/>
      <c r="BV96" s="873">
        <v>45382</v>
      </c>
      <c r="BW96">
        <f t="shared" si="75"/>
        <v>278</v>
      </c>
    </row>
    <row r="97" spans="2:75" customFormat="1" ht="75" hidden="1" x14ac:dyDescent="0.2">
      <c r="B97" s="126" t="str">
        <f t="shared" si="66"/>
        <v>Retired</v>
      </c>
      <c r="C97" s="110" t="s">
        <v>764</v>
      </c>
      <c r="D97" s="126" t="s">
        <v>151</v>
      </c>
      <c r="E97" s="132" t="s">
        <v>652</v>
      </c>
      <c r="F97" s="102" t="s">
        <v>124</v>
      </c>
      <c r="G97" s="132" t="s">
        <v>653</v>
      </c>
      <c r="H97" s="132"/>
      <c r="I97" s="337" t="s">
        <v>654</v>
      </c>
      <c r="J97" s="743" t="s">
        <v>655</v>
      </c>
      <c r="K97" s="860" t="s">
        <v>765</v>
      </c>
      <c r="L97" s="125" t="s">
        <v>766</v>
      </c>
      <c r="M97" s="104"/>
      <c r="N97" s="105"/>
      <c r="O97" s="106" t="str" cm="1">
        <f t="array" ref="O97">_xlfn.IFS(N97="","",ABS(N97)&lt;='Risk Matrices'!$E$7,'Risk Matrices'!$E$5,ABS(N97)&lt;='Risk Matrices'!$F$7,'Risk Matrices'!$F$5,ABS(N97)&lt;='Risk Matrices'!$G$7,'Risk Matrices'!$G$5,ABS(N97)&lt;='Risk Matrices'!$H$7,'Risk Matrices'!$H$5,ABS(N97)&gt;'Risk Matrices'!$H$7,'Risk Matrices'!$I$5)</f>
        <v/>
      </c>
      <c r="P97" s="106"/>
      <c r="Q97" s="104"/>
      <c r="R97" s="104"/>
      <c r="S97" s="106"/>
      <c r="T97" s="106" t="e" cm="1">
        <f t="array" ref="T97">_xlfn.IFS(O97='Risk Matrices'!$D$28,'Risk Matrices'!$D$29,O97='Risk Matrices'!$E$28,'Risk Matrices'!$E$29,O97='Risk Matrices'!$F$28,'Risk Matrices'!$F$29,O97='Risk Matrices'!$G$28,'Risk Matrices'!$G$29,O97='Risk Matrices'!$H$28,'Risk Matrices'!$H$29)</f>
        <v>#N/A</v>
      </c>
      <c r="U97" s="106"/>
      <c r="V97" s="106"/>
      <c r="W97" s="106"/>
      <c r="X97" s="106"/>
      <c r="Y97" s="107"/>
      <c r="Z97" s="104"/>
      <c r="AA97" s="108"/>
      <c r="AB97" s="109"/>
      <c r="AC97" s="137" t="s">
        <v>155</v>
      </c>
      <c r="AD97" s="352" t="s">
        <v>767</v>
      </c>
      <c r="AE97" s="352"/>
      <c r="AF97" s="101" t="s">
        <v>768</v>
      </c>
      <c r="AG97" s="101"/>
      <c r="AH97" s="739" t="s">
        <v>175</v>
      </c>
      <c r="AI97" s="875">
        <v>0.3</v>
      </c>
      <c r="AJ97" s="101">
        <v>0</v>
      </c>
      <c r="AK97" s="157">
        <v>0</v>
      </c>
      <c r="AL97" s="101">
        <v>0</v>
      </c>
      <c r="AM97" s="106">
        <v>2</v>
      </c>
      <c r="AN97" s="106">
        <v>4</v>
      </c>
      <c r="AO97" s="106">
        <v>6</v>
      </c>
      <c r="AP97" s="112" t="str">
        <f>IF(OR(ISBLANK(AI97),AI97=0),"INSERT LIKELIHOOD",IF(ABS(AI97)&lt;='Risk Matrices'!$D$22,'Risk Matrices'!$C$21,IF(ABS(AI97)&lt;='Risk Matrices'!$D$19,'Risk Matrices'!$C$18,IF(ABS(AI97)&lt;='Risk Matrices'!$D$16,'Risk Matrices'!$C$15,IF(ABS(AI97)&lt;='Risk Matrices'!$D$13,'Risk Matrices'!$C$12,'Risk Matrices'!$C$10)))))</f>
        <v>Moderate</v>
      </c>
      <c r="AQ97" s="112" t="str">
        <f>IF(OR(ISBLANK(AK97),AK97=0),"None",IF(ABS(AK97)&lt;='Risk Matrices'!$E$7,'Risk Matrices'!$E$5,IF(ABS(AK97)&lt;='Risk Matrices'!$G$7,'Risk Matrices'!$G$5,IF(ABS(AK97)&lt;='Risk Matrices'!$H$7,'Risk Matrices'!$H$5,'Risk Matrices'!$I$5))))</f>
        <v>None</v>
      </c>
      <c r="AR97" s="112" t="str">
        <f>IF(AN97="","",IF(ABS(AN97)&lt;='Risk Matrices'!$E$8,"Negligible",IF(ABS(AN97)&lt;='Risk Matrices'!$F$8,"Marginal",IF(ABS(AN97)&lt;='Risk Matrices'!$G$8,"Significant",IF(ABS(AN97)&lt;='Risk Matrices'!$H$8,"Critical","Crisis")))))</f>
        <v>Marginal</v>
      </c>
      <c r="AS97" s="103" t="s">
        <v>130</v>
      </c>
      <c r="AT97" s="298">
        <f>IF(OR(ISBLANK(AI97),AI97=0),0,VLOOKUP(AP97,'Risk Matrices'!$B$30:$C$34,2,0))</f>
        <v>3</v>
      </c>
      <c r="AU97" s="298">
        <f>IF(OR(ISBLANK(AK97),AK97=0),0,HLOOKUP(AQ97,'Risk Matrices'!$D$28:$H$29,2,0))</f>
        <v>0</v>
      </c>
      <c r="AV97" s="298">
        <f>IF(OR(ISBLANK(AR97),AR97=0),0,HLOOKUP(AR97,'Risk Matrices'!$D$28:$H$29,2,0))</f>
        <v>2</v>
      </c>
      <c r="AW97" s="298">
        <f>IF(AS97="None",0,HLOOKUP(AS97,'Risk Matrices'!$D$28:$H$29,2,0))</f>
        <v>0</v>
      </c>
      <c r="AX97" s="106">
        <f t="shared" si="82"/>
        <v>2</v>
      </c>
      <c r="AY97" s="106">
        <f t="shared" si="83"/>
        <v>6</v>
      </c>
      <c r="AZ97" s="107" t="str">
        <f>IF(B97="Retired","Retired",IF(OR(ISBLANK(AY97),AY97=0),"TBD",IF(AY97&lt;='Risk Matrices'!$D$40,'Risk Matrices'!$B$40,IF(AY97&lt;='Risk Matrices'!$D$39,'Risk Matrices'!$B$39,'Risk Matrices'!$B$38))))</f>
        <v>Retired</v>
      </c>
      <c r="BA97" s="104"/>
      <c r="BB97" s="767" t="s">
        <v>769</v>
      </c>
      <c r="BC97" s="109" t="str">
        <f t="shared" si="84"/>
        <v>Retired</v>
      </c>
      <c r="BD97" s="104"/>
      <c r="BE97" s="104"/>
      <c r="BF97" s="104"/>
      <c r="BG97" s="104" t="s">
        <v>770</v>
      </c>
      <c r="BH97" s="104"/>
      <c r="BI97" s="101"/>
      <c r="BJ97" s="874"/>
      <c r="BK97" s="101" t="s">
        <v>311</v>
      </c>
      <c r="BL97" s="116">
        <v>45173</v>
      </c>
      <c r="BM97" s="116" t="s">
        <v>661</v>
      </c>
      <c r="BN97" s="116" t="s">
        <v>661</v>
      </c>
      <c r="BO97" s="332"/>
      <c r="BP97" s="94">
        <f t="shared" si="74"/>
        <v>0</v>
      </c>
      <c r="BQ97" s="97" t="str">
        <f t="shared" ref="BQ97:BQ128" si="85">CONCATENATE(AJ97," - ",AK97," - ",AL97)</f>
        <v>0 - 0 - 0</v>
      </c>
      <c r="BR97" s="97" t="str">
        <f t="shared" ref="BR97:BR128" si="86">CONCATENATE(AM97," - ",AN97," - ",AO97)</f>
        <v>2 - 4 - 6</v>
      </c>
      <c r="BS97" s="715">
        <f t="shared" ref="BS97:BS111" si="87">BJ97</f>
        <v>0</v>
      </c>
      <c r="BT97" s="736">
        <f t="shared" ref="BT97:BT128" si="88">AI97*(AM97+AN97+AO97)/3</f>
        <v>1.2</v>
      </c>
      <c r="BU97" s="735"/>
    </row>
    <row r="98" spans="2:75" customFormat="1" ht="60" hidden="1" customHeight="1" x14ac:dyDescent="0.2">
      <c r="B98" s="101" t="str">
        <f t="shared" si="66"/>
        <v>Active</v>
      </c>
      <c r="C98" s="785" t="s">
        <v>771</v>
      </c>
      <c r="D98" s="101" t="s">
        <v>151</v>
      </c>
      <c r="E98" s="103" t="s">
        <v>652</v>
      </c>
      <c r="F98" s="102" t="s">
        <v>124</v>
      </c>
      <c r="G98" s="103" t="s">
        <v>653</v>
      </c>
      <c r="H98" s="103" t="str">
        <f>C98</f>
        <v>RT-6-005-019</v>
      </c>
      <c r="I98" s="103" t="s">
        <v>653</v>
      </c>
      <c r="J98" s="858" t="s">
        <v>409</v>
      </c>
      <c r="K98" s="103" t="s">
        <v>772</v>
      </c>
      <c r="L98" s="104" t="s">
        <v>773</v>
      </c>
      <c r="M98" s="103" t="s">
        <v>141</v>
      </c>
      <c r="N98" s="105">
        <v>2000</v>
      </c>
      <c r="O98" s="106" t="str" cm="1">
        <f t="array" ref="O98">_xlfn.IFS(N98="","",ABS(N98)&lt;='Risk Matrices'!$E$7,'Risk Matrices'!$E$5,ABS(N98)&lt;='Risk Matrices'!$F$7,'Risk Matrices'!$F$5,ABS(N98)&lt;='Risk Matrices'!$G$7,'Risk Matrices'!$G$5,ABS(N98)&lt;='Risk Matrices'!$H$7,'Risk Matrices'!$H$5,ABS(N98)&gt;'Risk Matrices'!$H$7,'Risk Matrices'!$I$5)</f>
        <v>Significant</v>
      </c>
      <c r="P98" s="106">
        <v>0</v>
      </c>
      <c r="Q98" s="101" t="str" cm="1">
        <f t="array" ref="Q98">_xlfn.IFS(P98="","",ABS(P98)&lt;='Risk Matrices'!$E$8,'Risk Matrices'!$E$5,ABS(P98)&lt;='Risk Matrices'!$F$8,'Risk Matrices'!$F$5,ABS(P98)&lt;='Risk Matrices'!$G$8,'Risk Matrices'!$G$5,ABS(P98)&lt;='Risk Matrices'!$H$8,'Risk Matrices'!$H$5,ABS(P98)&gt;'Risk Matrices'!$H$8,'Risk Matrices'!$I$5)</f>
        <v>Negligible</v>
      </c>
      <c r="R98" s="101" t="s">
        <v>130</v>
      </c>
      <c r="S98" s="106">
        <f t="shared" ref="S98:S133" si="89">IF(M98="",0,IF(M98="Very Low (There is a &lt;10% chance that this event will occur)",1,IF(M98="Low (Risk is likely to occur with a probability of &gt; 10% to &lt; 25%)",2,IF(M98="Moderate (Risk is likely to occur with a probability of &gt; 25% to &lt; 40%)",3,IF(M98="High (Risk is likely to occur with a probability of &gt;40 to &lt;65%)",4,IF(M98="Very High (Risk is likely to occur with a probability of &gt;65%)",5))))))</f>
        <v>3</v>
      </c>
      <c r="T98" s="106" cm="1">
        <f t="array" ref="T98">_xlfn.IFS(O98='Risk Matrices'!$D$28,'Risk Matrices'!$D$29,O98='Risk Matrices'!$E$28,'Risk Matrices'!$E$29,O98='Risk Matrices'!$F$28,'Risk Matrices'!$F$29,O98='Risk Matrices'!$G$28,'Risk Matrices'!$G$29,O98='Risk Matrices'!$H$28,'Risk Matrices'!$H$29)</f>
        <v>3</v>
      </c>
      <c r="U98" s="106">
        <f>IF(Q98="",0,IF(Q98="Negligible",1,IF(Q98="Marginal",2,IF(Q98="Significant",3,IF(Q98="Critical",4,IF(Q98="Crisis",5))))))</f>
        <v>1</v>
      </c>
      <c r="V98" s="106">
        <f>IF(R98="None",0,IF(R98="Negligible",1,IF(R98="Marginal",2,IF(R98="Significant",3,IF(R98="Critical",4,IF(R98="Crisis",5))))))</f>
        <v>0</v>
      </c>
      <c r="W98" s="106">
        <f>MAX(T98,U98,V98)</f>
        <v>3</v>
      </c>
      <c r="X98" s="106">
        <f>S98*W98</f>
        <v>9</v>
      </c>
      <c r="Y98" s="107" t="str">
        <f t="shared" ref="Y98:Y133" si="90">IF(X98&lt;=6,"Low",IF(X98&lt;=14,"Moderate",IF(X98&lt;=25,"High")))</f>
        <v>Moderate</v>
      </c>
      <c r="Z98" s="104"/>
      <c r="AA98" s="108">
        <f>IF(M98="",0,IF(M98="Very Low (There is a &lt;10% chance that this event will occur)",0.05,IF(M98="Low (Risk is likely to occur with a probability of &gt; 10% to &lt; 25%)",0.17,IF(M98="Moderate (Risk is likely to occur with a probability of &gt; 25% to &lt; 40%)",0.32,IF(M98="High (Risk is likely to occur with a probability of &gt;40 to &lt;65%)",0.52,IF(M98="Very High (Risk is likely to occur with a probability of &gt;65%)",0.82))))))</f>
        <v>0.32</v>
      </c>
      <c r="AB98" s="109">
        <f>+AA98*N98</f>
        <v>640</v>
      </c>
      <c r="AC98" s="109" t="s">
        <v>155</v>
      </c>
      <c r="AD98" s="751" t="s">
        <v>774</v>
      </c>
      <c r="AE98" s="751"/>
      <c r="AF98" s="908" t="s">
        <v>265</v>
      </c>
      <c r="AG98" s="908"/>
      <c r="AH98" s="854" t="s">
        <v>775</v>
      </c>
      <c r="AI98" s="112">
        <v>0.1</v>
      </c>
      <c r="AJ98" s="106">
        <v>1000</v>
      </c>
      <c r="AK98" s="106">
        <v>2000</v>
      </c>
      <c r="AL98" s="106">
        <v>2000</v>
      </c>
      <c r="AM98" s="106">
        <v>0</v>
      </c>
      <c r="AN98" s="106">
        <v>0</v>
      </c>
      <c r="AO98" s="106">
        <v>0</v>
      </c>
      <c r="AP98" s="112" t="str">
        <f>IF(OR(ISBLANK(AI98),AI98=0),"INSERT LIKELIHOOD",IF(ABS(AI98)&lt;='Risk Matrices'!$D$22,'Risk Matrices'!$C$21,IF(ABS(AI98)&lt;='Risk Matrices'!$D$19,'Risk Matrices'!$C$18,IF(ABS(AI98)&lt;='Risk Matrices'!$D$16,'Risk Matrices'!$C$15,IF(ABS(AI98)&lt;='Risk Matrices'!$D$13,'Risk Matrices'!$C$12,'Risk Matrices'!$C$10)))))</f>
        <v>Very Low</v>
      </c>
      <c r="AQ98" s="112" t="str">
        <f>IF(OR(ISBLANK(AK98),AK98=0),"None",IF(ABS(AK98)&lt;='Risk Matrices'!$E$7,'Risk Matrices'!$E$5,IF(ABS(AK98)&lt;='Risk Matrices'!$G$7,'Risk Matrices'!$G$5,IF(ABS(AK98)&lt;='Risk Matrices'!$H$7,'Risk Matrices'!$H$5,'Risk Matrices'!$I$5))))</f>
        <v>Significant</v>
      </c>
      <c r="AR98" s="112" t="str">
        <f>IF(AN98="","",IF(ABS(AN98)&lt;='Risk Matrices'!$E$8,"Negligible",IF(ABS(AN98)&lt;='Risk Matrices'!$F$8,"Marginal",IF(ABS(AN98)&lt;='Risk Matrices'!$G$8,"Significant",IF(ABS(AN98)&lt;='Risk Matrices'!$H$8,"Critical","Crisis")))))</f>
        <v>Negligible</v>
      </c>
      <c r="AS98" s="103" t="s">
        <v>207</v>
      </c>
      <c r="AT98" s="298">
        <f>IF(OR(ISBLANK(AI98),AI98=0),0,VLOOKUP(AP98,'Risk Matrices'!$B$30:$C$34,2,0))</f>
        <v>1</v>
      </c>
      <c r="AU98" s="298">
        <f>IF(OR(ISBLANK(AK98),AK98=0),0,HLOOKUP(AQ98,'Risk Matrices'!$D$28:$H$29,2,0))</f>
        <v>3</v>
      </c>
      <c r="AV98" s="298">
        <f>IF(OR(ISBLANK(AR98),AR98=0),0,HLOOKUP(AR98,'Risk Matrices'!$D$28:$H$29,2,0))</f>
        <v>1</v>
      </c>
      <c r="AW98" s="298">
        <f>IF(OR(ISBLANK(AS98),AS98=0),0,HLOOKUP(AS98,'Risk Matrices'!$D$28:$H$29,2,0))</f>
        <v>1</v>
      </c>
      <c r="AX98" s="106">
        <f t="shared" si="82"/>
        <v>3</v>
      </c>
      <c r="AY98" s="106">
        <f t="shared" si="83"/>
        <v>3</v>
      </c>
      <c r="AZ98" s="107" t="str">
        <f>IF(B98="Retired","Retired",IF(OR(ISBLANK(AY98),AY98=0),"TBD",IF(AY98&lt;='Risk Matrices'!$D$40,'Risk Matrices'!$B$40,IF(AY98&lt;='Risk Matrices'!$D$39,'Risk Matrices'!$B$39,'Risk Matrices'!$B$38))))</f>
        <v>Low</v>
      </c>
      <c r="BA98" s="112"/>
      <c r="BB98" s="750" t="s">
        <v>366</v>
      </c>
      <c r="BC98" s="109">
        <f t="shared" si="84"/>
        <v>200</v>
      </c>
      <c r="BD98" s="113"/>
      <c r="BE98" s="114"/>
      <c r="BF98" s="115"/>
      <c r="BG98" s="115"/>
      <c r="BH98" s="115"/>
      <c r="BI98" s="101"/>
      <c r="BJ98" s="874">
        <f t="shared" ref="BJ98:BJ129" si="91">AI98*(SUM(AJ98:AL98)/3)</f>
        <v>166.66666666666669</v>
      </c>
      <c r="BK98" s="101"/>
      <c r="BL98" s="101"/>
      <c r="BM98" s="116">
        <v>43981</v>
      </c>
      <c r="BN98" s="116">
        <v>44134</v>
      </c>
      <c r="BO98" s="332"/>
      <c r="BP98" s="94">
        <f t="shared" si="74"/>
        <v>183.33333333333334</v>
      </c>
      <c r="BQ98" s="97" t="str">
        <f t="shared" si="85"/>
        <v>1000 - 2000 - 2000</v>
      </c>
      <c r="BR98" s="97" t="str">
        <f t="shared" si="86"/>
        <v>0 - 0 - 0</v>
      </c>
      <c r="BS98" s="715">
        <f t="shared" si="87"/>
        <v>166.66666666666669</v>
      </c>
      <c r="BT98" s="736">
        <f t="shared" si="88"/>
        <v>0</v>
      </c>
      <c r="BU98" s="735" t="s">
        <v>776</v>
      </c>
      <c r="BV98" s="873">
        <v>45382</v>
      </c>
      <c r="BW98">
        <f>BV98-BN98</f>
        <v>1248</v>
      </c>
    </row>
    <row r="99" spans="2:75" customFormat="1" ht="141.5" hidden="1" customHeight="1" x14ac:dyDescent="0.2">
      <c r="B99" s="101" t="str">
        <f t="shared" si="66"/>
        <v>Retired</v>
      </c>
      <c r="C99" s="784" t="s">
        <v>777</v>
      </c>
      <c r="D99" s="101" t="s">
        <v>151</v>
      </c>
      <c r="E99" s="103" t="s">
        <v>652</v>
      </c>
      <c r="F99" s="102" t="s">
        <v>124</v>
      </c>
      <c r="G99" s="103" t="s">
        <v>653</v>
      </c>
      <c r="H99" s="101" t="str">
        <f>C99</f>
        <v>RT-6-005-020</v>
      </c>
      <c r="I99" s="106" t="s">
        <v>194</v>
      </c>
      <c r="J99" s="103" t="s">
        <v>702</v>
      </c>
      <c r="K99" s="119" t="s">
        <v>778</v>
      </c>
      <c r="L99" s="862" t="s">
        <v>779</v>
      </c>
      <c r="M99" s="103" t="s">
        <v>129</v>
      </c>
      <c r="N99" s="105">
        <v>1</v>
      </c>
      <c r="O99" s="106" t="str" cm="1">
        <f t="array" ref="O99">_xlfn.IFS(N99="","",ABS(N99)&lt;='Risk Matrices'!$E$7,'Risk Matrices'!$E$5,ABS(N99)&lt;='Risk Matrices'!$F$7,'Risk Matrices'!$F$5,ABS(N99)&lt;='Risk Matrices'!$G$7,'Risk Matrices'!$G$5,ABS(N99)&lt;='Risk Matrices'!$H$7,'Risk Matrices'!$H$5,ABS(N99)&gt;'Risk Matrices'!$H$7,'Risk Matrices'!$I$5)</f>
        <v>Negligible</v>
      </c>
      <c r="P99" s="106">
        <v>0</v>
      </c>
      <c r="Q99" s="101" t="str" cm="1">
        <f t="array" ref="Q99">_xlfn.IFS(P99="","",ABS(P99)&lt;='Risk Matrices'!$E$8,'Risk Matrices'!$E$5,ABS(P99)&lt;='Risk Matrices'!$F$8,'Risk Matrices'!$F$5,ABS(P99)&lt;='Risk Matrices'!$G$8,'Risk Matrices'!$G$5,ABS(P99)&lt;='Risk Matrices'!$H$8,'Risk Matrices'!$H$5,ABS(P99)&gt;'Risk Matrices'!$H$8,'Risk Matrices'!$I$5)</f>
        <v>Negligible</v>
      </c>
      <c r="R99" s="102" t="s">
        <v>280</v>
      </c>
      <c r="S99" s="106">
        <f t="shared" si="89"/>
        <v>4</v>
      </c>
      <c r="T99" s="106" cm="1">
        <f t="array" ref="T99">_xlfn.IFS(O99='Risk Matrices'!$D$28,'Risk Matrices'!$D$29,O99='Risk Matrices'!$E$28,'Risk Matrices'!$E$29,O99='Risk Matrices'!$F$28,'Risk Matrices'!$F$29,O99='Risk Matrices'!$G$28,'Risk Matrices'!$G$29,O99='Risk Matrices'!$H$28,'Risk Matrices'!$H$29)</f>
        <v>1</v>
      </c>
      <c r="U99" s="106">
        <f>IF(Q99="",0,IF(Q99="Negligible",1,IF(Q99="Marginal",2,IF(Q99="Significant",3,IF(Q99="Critical",4,IF(Q99="Crisis",5))))))</f>
        <v>1</v>
      </c>
      <c r="V99" s="106">
        <f>IF(R99="None",0,IF(R99="Negligible",1,IF(R99="Marginal",2,IF(R99="Significant",3,IF(R99="Critical",4,IF(R99="Crisis",5))))))</f>
        <v>2</v>
      </c>
      <c r="W99" s="106">
        <f>MAX(T99,U99,V99)</f>
        <v>2</v>
      </c>
      <c r="X99" s="106">
        <f>S99*W99</f>
        <v>8</v>
      </c>
      <c r="Y99" s="107" t="str">
        <f t="shared" si="90"/>
        <v>Moderate</v>
      </c>
      <c r="Z99" s="104" t="s">
        <v>780</v>
      </c>
      <c r="AA99" s="108">
        <f>IF(M99="",0,IF(M99="Very Low (There is a &lt;10% chance that this event will occur)",0.05,IF(M99="Low (Risk is likely to occur with a probability of &gt; 10% to &lt; 25%)",0.17,IF(M99="Moderate (Risk is likely to occur with a probability of &gt; 25% to &lt; 40%)",0.32,IF(M99="High (Risk is likely to occur with a probability of &gt;40 to &lt;65%)",0.52,IF(M99="Very High (Risk is likely to occur with a probability of &gt;65%)",0.82))))))</f>
        <v>0.52</v>
      </c>
      <c r="AB99" s="109">
        <f>+AA99*N99</f>
        <v>0.52</v>
      </c>
      <c r="AC99" s="109" t="s">
        <v>155</v>
      </c>
      <c r="AD99" s="124" t="s">
        <v>781</v>
      </c>
      <c r="AE99" s="124"/>
      <c r="AF99" s="103" t="s">
        <v>145</v>
      </c>
      <c r="AG99" s="103"/>
      <c r="AH99" s="761" t="s">
        <v>724</v>
      </c>
      <c r="AI99" s="112">
        <v>0.4</v>
      </c>
      <c r="AJ99" s="106">
        <v>5000</v>
      </c>
      <c r="AK99" s="106">
        <v>18200</v>
      </c>
      <c r="AL99" s="106">
        <v>36400</v>
      </c>
      <c r="AM99" s="106">
        <v>3</v>
      </c>
      <c r="AN99" s="106">
        <v>6</v>
      </c>
      <c r="AO99" s="106">
        <v>12</v>
      </c>
      <c r="AP99" s="112" t="str">
        <f>IF(OR(ISBLANK(AI99),AI99=0),"INSERT LIKELIHOOD",IF(ABS(AI99)&lt;='Risk Matrices'!$D$22,'Risk Matrices'!$C$21,IF(ABS(AI99)&lt;='Risk Matrices'!$D$19,'Risk Matrices'!$C$18,IF(ABS(AI99)&lt;='Risk Matrices'!$D$16,'Risk Matrices'!$C$15,IF(ABS(AI99)&lt;='Risk Matrices'!$D$13,'Risk Matrices'!$C$12,'Risk Matrices'!$C$10)))))</f>
        <v>Moderate</v>
      </c>
      <c r="AQ99" s="112" t="str">
        <f>IF(OR(ISBLANK(AK99),AK99=0),"None",IF(ABS(AK99)&lt;='Risk Matrices'!$E$7,'Risk Matrices'!$E$5,IF(ABS(AK99)&lt;='Risk Matrices'!$G$7,'Risk Matrices'!$G$5,IF(ABS(AK99)&lt;='Risk Matrices'!$H$7,'Risk Matrices'!$H$5,'Risk Matrices'!$I$5))))</f>
        <v>Critical</v>
      </c>
      <c r="AR99" s="112" t="str">
        <f>IF(AN99="","",IF(ABS(AN99)&lt;='Risk Matrices'!$E$8,"Negligible",IF(ABS(AN99)&lt;='Risk Matrices'!$F$8,"Marginal",IF(ABS(AN99)&lt;='Risk Matrices'!$G$8,"Significant",IF(ABS(AN99)&lt;='Risk Matrices'!$H$8,"Critical","Crisis")))))</f>
        <v>Marginal</v>
      </c>
      <c r="AS99" s="102" t="s">
        <v>280</v>
      </c>
      <c r="AT99" s="298">
        <f>IF(OR(ISBLANK(AI99),AI99=0),0,VLOOKUP(AP99,'Risk Matrices'!$B$30:$C$34,2,0))</f>
        <v>3</v>
      </c>
      <c r="AU99" s="298">
        <f>IF(OR(ISBLANK(AK99),AK99=0),0,HLOOKUP(AQ99,'Risk Matrices'!$D$28:$H$29,2,0))</f>
        <v>4</v>
      </c>
      <c r="AV99" s="298">
        <f>IF(OR(ISBLANK(AR99),AR99=0),0,HLOOKUP(AR99,'Risk Matrices'!$D$28:$H$29,2,0))</f>
        <v>2</v>
      </c>
      <c r="AW99" s="298">
        <f>IF(OR(ISBLANK(AS99),AS99=0),0,HLOOKUP(AS99,'Risk Matrices'!$D$28:$H$29,2,0))</f>
        <v>2</v>
      </c>
      <c r="AX99" s="106">
        <f t="shared" si="82"/>
        <v>4</v>
      </c>
      <c r="AY99" s="106">
        <f t="shared" si="83"/>
        <v>12</v>
      </c>
      <c r="AZ99" s="107" t="str">
        <f>IF(B99="Retired","Retired",IF(OR(ISBLANK(AY99),AY99=0),"TBD",IF(AY99&lt;='Risk Matrices'!$D$40,'Risk Matrices'!$B$40,IF(AY99&lt;='Risk Matrices'!$D$39,'Risk Matrices'!$B$39,'Risk Matrices'!$B$38))))</f>
        <v>Retired</v>
      </c>
      <c r="BA99" s="112"/>
      <c r="BB99" s="122" t="s">
        <v>782</v>
      </c>
      <c r="BC99" s="109" t="str">
        <f t="shared" si="84"/>
        <v>Retired</v>
      </c>
      <c r="BD99" s="185">
        <v>45219</v>
      </c>
      <c r="BE99" s="114"/>
      <c r="BF99" s="115"/>
      <c r="BG99" s="730" t="s">
        <v>783</v>
      </c>
      <c r="BH99" s="115"/>
      <c r="BI99" s="115"/>
      <c r="BJ99" s="874">
        <f t="shared" si="91"/>
        <v>7946.6666666666679</v>
      </c>
      <c r="BK99" s="101" t="s">
        <v>375</v>
      </c>
      <c r="BL99" s="116">
        <v>45332</v>
      </c>
      <c r="BM99" s="116">
        <v>44012</v>
      </c>
      <c r="BN99" s="330">
        <v>44134</v>
      </c>
      <c r="BO99" s="333"/>
      <c r="BP99" s="94">
        <f t="shared" si="74"/>
        <v>7613.333333333333</v>
      </c>
      <c r="BQ99" s="97" t="str">
        <f t="shared" si="85"/>
        <v>5000 - 18200 - 36400</v>
      </c>
      <c r="BR99" s="97" t="str">
        <f t="shared" si="86"/>
        <v>3 - 6 - 12</v>
      </c>
      <c r="BS99" s="715">
        <f t="shared" si="87"/>
        <v>7946.6666666666679</v>
      </c>
      <c r="BT99" s="736">
        <f t="shared" si="88"/>
        <v>2.8000000000000003</v>
      </c>
      <c r="BU99" s="735" t="s">
        <v>784</v>
      </c>
      <c r="BV99" s="873">
        <v>45382</v>
      </c>
      <c r="BW99">
        <f>BV99-BN99</f>
        <v>1248</v>
      </c>
    </row>
    <row r="100" spans="2:75" customFormat="1" ht="50" hidden="1" customHeight="1" x14ac:dyDescent="0.2">
      <c r="B100" s="101" t="str">
        <f t="shared" ref="B100:B133" si="92">IF(BN100="","Proposed",IF(BG100="","Active","Retired"))</f>
        <v>Active</v>
      </c>
      <c r="C100" s="785" t="s">
        <v>785</v>
      </c>
      <c r="D100" s="101" t="s">
        <v>151</v>
      </c>
      <c r="E100" s="103" t="s">
        <v>652</v>
      </c>
      <c r="F100" s="102" t="s">
        <v>124</v>
      </c>
      <c r="G100" s="103" t="s">
        <v>653</v>
      </c>
      <c r="H100" s="103" t="str">
        <f>C100</f>
        <v>RT-6-005-021</v>
      </c>
      <c r="I100" s="103" t="s">
        <v>653</v>
      </c>
      <c r="J100" s="103" t="s">
        <v>351</v>
      </c>
      <c r="K100" s="103" t="s">
        <v>786</v>
      </c>
      <c r="L100" s="197" t="s">
        <v>787</v>
      </c>
      <c r="M100" s="103" t="s">
        <v>141</v>
      </c>
      <c r="N100" s="106">
        <v>3000</v>
      </c>
      <c r="O100" s="106" t="str" cm="1">
        <f t="array" ref="O100">_xlfn.IFS(N100="","",ABS(N100)&lt;='Risk Matrices'!$E$7,'Risk Matrices'!$E$5,ABS(N100)&lt;='Risk Matrices'!$F$7,'Risk Matrices'!$F$5,ABS(N100)&lt;='Risk Matrices'!$G$7,'Risk Matrices'!$G$5,ABS(N100)&lt;='Risk Matrices'!$H$7,'Risk Matrices'!$H$5,ABS(N100)&gt;'Risk Matrices'!$H$7,'Risk Matrices'!$I$5)</f>
        <v>Significant</v>
      </c>
      <c r="P100" s="106">
        <v>0</v>
      </c>
      <c r="Q100" s="101" t="str" cm="1">
        <f t="array" ref="Q100">_xlfn.IFS(P100="","",ABS(P100)&lt;='Risk Matrices'!$E$8,'Risk Matrices'!$E$5,ABS(P100)&lt;='Risk Matrices'!$F$8,'Risk Matrices'!$F$5,ABS(P100)&lt;='Risk Matrices'!$G$8,'Risk Matrices'!$G$5,ABS(P100)&lt;='Risk Matrices'!$H$8,'Risk Matrices'!$H$5,ABS(P100)&gt;'Risk Matrices'!$H$8,'Risk Matrices'!$I$5)</f>
        <v>Negligible</v>
      </c>
      <c r="R100" s="101" t="s">
        <v>130</v>
      </c>
      <c r="S100" s="106">
        <f t="shared" si="89"/>
        <v>3</v>
      </c>
      <c r="T100" s="106" cm="1">
        <f t="array" ref="T100">_xlfn.IFS(O100='Risk Matrices'!$D$28,'Risk Matrices'!$D$29,O100='Risk Matrices'!$E$28,'Risk Matrices'!$E$29,O100='Risk Matrices'!$F$28,'Risk Matrices'!$F$29,O100='Risk Matrices'!$G$28,'Risk Matrices'!$G$29,O100='Risk Matrices'!$H$28,'Risk Matrices'!$H$29)</f>
        <v>3</v>
      </c>
      <c r="U100" s="106"/>
      <c r="V100" s="106">
        <f>IF(R100="None",0,IF(R100="Negligible",1,IF(R100="Marginal",2,IF(R100="Significant",3,IF(R100="Critical",4,IF(R100="Crisis",5))))))</f>
        <v>0</v>
      </c>
      <c r="W100" s="106"/>
      <c r="X100" s="106"/>
      <c r="Y100" s="793" t="str">
        <f t="shared" si="90"/>
        <v>Low</v>
      </c>
      <c r="Z100" s="104"/>
      <c r="AA100" s="108"/>
      <c r="AB100" s="109"/>
      <c r="AC100" s="109" t="s">
        <v>143</v>
      </c>
      <c r="AD100" s="104" t="s">
        <v>788</v>
      </c>
      <c r="AE100" s="104"/>
      <c r="AF100" s="103" t="s">
        <v>145</v>
      </c>
      <c r="AG100" s="103"/>
      <c r="AH100" s="119" t="s">
        <v>789</v>
      </c>
      <c r="AI100" s="112">
        <v>0.2</v>
      </c>
      <c r="AJ100" s="106">
        <v>3000</v>
      </c>
      <c r="AK100" s="106">
        <v>3000</v>
      </c>
      <c r="AL100" s="106">
        <v>3000</v>
      </c>
      <c r="AM100" s="106">
        <v>0</v>
      </c>
      <c r="AN100" s="106">
        <v>0</v>
      </c>
      <c r="AO100" s="106">
        <v>0</v>
      </c>
      <c r="AP100" s="112" t="str">
        <f>IF(OR(ISBLANK(AI100),AI100=0),"INSERT LIKELIHOOD",IF(ABS(AI100)&lt;='Risk Matrices'!$D$22,'Risk Matrices'!$C$21,IF(ABS(AI100)&lt;='Risk Matrices'!$D$19,'Risk Matrices'!$C$18,IF(ABS(AI100)&lt;='Risk Matrices'!$D$16,'Risk Matrices'!$C$15,IF(ABS(AI100)&lt;='Risk Matrices'!$D$13,'Risk Matrices'!$C$12,'Risk Matrices'!$C$10)))))</f>
        <v>Low</v>
      </c>
      <c r="AQ100" s="112" t="str">
        <f>IF(OR(ISBLANK(AK100),AK100=0),"None",IF(ABS(AK100)&lt;='Risk Matrices'!$E$7,'Risk Matrices'!$E$5,IF(ABS(AK100)&lt;='Risk Matrices'!$G$7,'Risk Matrices'!$G$5,IF(ABS(AK100)&lt;='Risk Matrices'!$H$7,'Risk Matrices'!$H$5,'Risk Matrices'!$I$5))))</f>
        <v>Significant</v>
      </c>
      <c r="AR100" s="112" t="str">
        <f>IF(AN100="","",IF(ABS(AN100)&lt;='Risk Matrices'!$E$8,"Negligible",IF(ABS(AN100)&lt;='Risk Matrices'!$F$8,"Marginal",IF(ABS(AN100)&lt;='Risk Matrices'!$G$8,"Significant",IF(ABS(AN100)&lt;='Risk Matrices'!$H$8,"Critical","Crisis")))))</f>
        <v>Negligible</v>
      </c>
      <c r="AS100" s="103" t="s">
        <v>130</v>
      </c>
      <c r="AT100" s="298">
        <f>IF(OR(ISBLANK(AI100),AI100=0),0,VLOOKUP(AP100,'Risk Matrices'!$B$30:$C$34,2,0))</f>
        <v>2</v>
      </c>
      <c r="AU100" s="298">
        <f>IF(OR(ISBLANK(AK100),AK100=0),0,HLOOKUP(AQ100,'Risk Matrices'!$D$28:$H$29,2,0))</f>
        <v>3</v>
      </c>
      <c r="AV100" s="298">
        <f>IF(OR(ISBLANK(AR100),AR100=0),0,HLOOKUP(AR100,'Risk Matrices'!$D$28:$H$29,2,0))</f>
        <v>1</v>
      </c>
      <c r="AW100" s="298">
        <f>IF(AS100="None",0,HLOOKUP(AS100,'Risk Matrices'!$D$28:$H$29,2,0))</f>
        <v>0</v>
      </c>
      <c r="AX100" s="106">
        <f t="shared" si="82"/>
        <v>3</v>
      </c>
      <c r="AY100" s="106">
        <f t="shared" si="83"/>
        <v>6</v>
      </c>
      <c r="AZ100" s="107" t="str">
        <f>IF(B100="Retired","Retired",IF(OR(ISBLANK(AY100),AY100=0),"TBD",IF(AY100&lt;='Risk Matrices'!$D$40,'Risk Matrices'!$B$40,IF(AY100&lt;='Risk Matrices'!$D$39,'Risk Matrices'!$B$39,'Risk Matrices'!$B$38))))</f>
        <v>Low</v>
      </c>
      <c r="BA100" s="112"/>
      <c r="BB100" s="763" t="s">
        <v>790</v>
      </c>
      <c r="BC100" s="109">
        <f t="shared" si="84"/>
        <v>600</v>
      </c>
      <c r="BD100" s="113"/>
      <c r="BE100" s="114"/>
      <c r="BF100" s="115"/>
      <c r="BG100" s="115"/>
      <c r="BH100" s="115"/>
      <c r="BI100" s="101"/>
      <c r="BJ100" s="874">
        <f t="shared" si="91"/>
        <v>600</v>
      </c>
      <c r="BK100" s="101"/>
      <c r="BL100" s="101"/>
      <c r="BM100" s="116">
        <v>44981</v>
      </c>
      <c r="BN100" s="330">
        <v>44998</v>
      </c>
      <c r="BO100" s="332"/>
      <c r="BP100" s="94">
        <f t="shared" si="74"/>
        <v>600</v>
      </c>
      <c r="BQ100" s="97" t="str">
        <f t="shared" si="85"/>
        <v>3000 - 3000 - 3000</v>
      </c>
      <c r="BR100" s="97" t="str">
        <f t="shared" si="86"/>
        <v>0 - 0 - 0</v>
      </c>
      <c r="BS100" s="715">
        <f t="shared" si="87"/>
        <v>600</v>
      </c>
      <c r="BT100" s="736">
        <f t="shared" si="88"/>
        <v>0</v>
      </c>
      <c r="BU100" s="735" t="s">
        <v>791</v>
      </c>
      <c r="BV100" s="873">
        <v>45382</v>
      </c>
      <c r="BW100">
        <f>BV100-BN100</f>
        <v>384</v>
      </c>
    </row>
    <row r="101" spans="2:75" customFormat="1" ht="60" hidden="1" x14ac:dyDescent="0.2">
      <c r="B101" s="101" t="str">
        <f t="shared" si="92"/>
        <v>Active</v>
      </c>
      <c r="C101" s="785" t="s">
        <v>792</v>
      </c>
      <c r="D101" s="101" t="s">
        <v>151</v>
      </c>
      <c r="E101" s="103" t="s">
        <v>652</v>
      </c>
      <c r="F101" s="102" t="s">
        <v>124</v>
      </c>
      <c r="G101" s="103" t="s">
        <v>653</v>
      </c>
      <c r="H101" s="103" t="str">
        <f>C101</f>
        <v>RT-6-005-022</v>
      </c>
      <c r="I101" s="337" t="s">
        <v>417</v>
      </c>
      <c r="J101" s="102" t="s">
        <v>409</v>
      </c>
      <c r="K101" s="936" t="s">
        <v>793</v>
      </c>
      <c r="L101" s="950" t="s">
        <v>794</v>
      </c>
      <c r="M101" s="103" t="s">
        <v>164</v>
      </c>
      <c r="N101" s="106">
        <v>500</v>
      </c>
      <c r="O101" s="106" t="str" cm="1">
        <f t="array" ref="O101">_xlfn.IFS(N101="","",ABS(N101)&lt;='Risk Matrices'!$E$7,'Risk Matrices'!$E$5,ABS(N101)&lt;='Risk Matrices'!$F$7,'Risk Matrices'!$F$5,ABS(N101)&lt;='Risk Matrices'!$G$7,'Risk Matrices'!$G$5,ABS(N101)&lt;='Risk Matrices'!$H$7,'Risk Matrices'!$H$5,ABS(N101)&gt;'Risk Matrices'!$H$7,'Risk Matrices'!$I$5)</f>
        <v>Marginal</v>
      </c>
      <c r="P101" s="106">
        <v>6</v>
      </c>
      <c r="Q101" s="101" t="str" cm="1">
        <f t="array" ref="Q101">_xlfn.IFS(P101="","",ABS(P101)&lt;='Risk Matrices'!$E$8,'Risk Matrices'!$E$5,ABS(P101)&lt;='Risk Matrices'!$F$8,'Risk Matrices'!$F$5,ABS(P101)&lt;='Risk Matrices'!$G$8,'Risk Matrices'!$G$5,ABS(P101)&lt;='Risk Matrices'!$H$8,'Risk Matrices'!$H$5,ABS(P101)&gt;'Risk Matrices'!$H$8,'Risk Matrices'!$I$5)</f>
        <v>Marginal</v>
      </c>
      <c r="R101" s="101" t="s">
        <v>280</v>
      </c>
      <c r="S101" s="106">
        <f t="shared" si="89"/>
        <v>2</v>
      </c>
      <c r="T101" s="106" cm="1">
        <f t="array" ref="T101">_xlfn.IFS(O101='Risk Matrices'!$D$28,'Risk Matrices'!$D$29,O101='Risk Matrices'!$E$28,'Risk Matrices'!$E$29,O101='Risk Matrices'!$F$28,'Risk Matrices'!$F$29,O101='Risk Matrices'!$G$28,'Risk Matrices'!$G$29,O101='Risk Matrices'!$H$28,'Risk Matrices'!$H$29)</f>
        <v>2</v>
      </c>
      <c r="U101" s="106">
        <f t="shared" ref="U101:U126" si="93">IF(Q101="",0,IF(Q101="Negligible",1,IF(Q101="Marginal",2,IF(Q101="Significant",3,IF(Q101="Critical",4,IF(Q101="Crisis",5))))))</f>
        <v>2</v>
      </c>
      <c r="V101" s="106">
        <f>IF(R101="None",0,IF(R101="Negligible",1,IF(R101="Marginal",2,IF(R101="Significant",3,IF(R101="Critical",4,IF(R101="Crisis",5))))))</f>
        <v>2</v>
      </c>
      <c r="W101" s="106">
        <f t="shared" ref="W101:W126" si="94">MAX(T101,U101,V101)</f>
        <v>2</v>
      </c>
      <c r="X101" s="106">
        <f t="shared" ref="X101:X126" si="95">S101*W101</f>
        <v>4</v>
      </c>
      <c r="Y101" s="107" t="str">
        <f t="shared" si="90"/>
        <v>Low</v>
      </c>
      <c r="Z101" s="104"/>
      <c r="AA101" s="108">
        <f t="shared" ref="AA101:AA111" si="96">IF(M101="",0,IF(M101="Very Low (There is a &lt;10% chance that this event will occur)",0.05,IF(M101="Low (Risk is likely to occur with a probability of &gt; 10% to &lt; 25%)",0.17,IF(M101="Moderate (Risk is likely to occur with a probability of &gt; 25% to &lt; 40%)",0.32,IF(M101="High (Risk is likely to occur with a probability of &gt;40 to &lt;65%)",0.52,IF(M101="Very High (Risk is likely to occur with a probability of &gt;65%)",0.82))))))</f>
        <v>0.17</v>
      </c>
      <c r="AB101" s="109">
        <f t="shared" ref="AB101:AB111" si="97">+AA101*N101</f>
        <v>85</v>
      </c>
      <c r="AC101" s="137" t="s">
        <v>155</v>
      </c>
      <c r="AD101" s="751" t="s">
        <v>795</v>
      </c>
      <c r="AE101" s="751"/>
      <c r="AF101" s="103" t="s">
        <v>134</v>
      </c>
      <c r="AG101" s="103"/>
      <c r="AH101" s="854" t="s">
        <v>796</v>
      </c>
      <c r="AI101" s="112">
        <v>0.2</v>
      </c>
      <c r="AJ101" s="106">
        <v>300</v>
      </c>
      <c r="AK101" s="106">
        <v>500</v>
      </c>
      <c r="AL101" s="106">
        <v>1000</v>
      </c>
      <c r="AM101" s="106">
        <v>1</v>
      </c>
      <c r="AN101" s="106">
        <v>6</v>
      </c>
      <c r="AO101" s="106">
        <v>12</v>
      </c>
      <c r="AP101" s="112" t="str">
        <f>IF(OR(ISBLANK(AI101),AI101=0),"INSERT LIKELIHOOD",IF(ABS(AI101)&lt;='Risk Matrices'!$D$22,'Risk Matrices'!$C$21,IF(ABS(AI101)&lt;='Risk Matrices'!$D$19,'Risk Matrices'!$C$18,IF(ABS(AI101)&lt;='Risk Matrices'!$D$16,'Risk Matrices'!$C$15,IF(ABS(AI101)&lt;='Risk Matrices'!$D$13,'Risk Matrices'!$C$12,'Risk Matrices'!$C$10)))))</f>
        <v>Low</v>
      </c>
      <c r="AQ101" s="112" t="str">
        <f>IF(OR(ISBLANK(AK101),AK101=0),"None",IF(ABS(AK101)&lt;='Risk Matrices'!$E$7,'Risk Matrices'!$E$5,IF(ABS(AK101)&lt;='Risk Matrices'!$G$7,'Risk Matrices'!$G$5,IF(ABS(AK101)&lt;='Risk Matrices'!$H$7,'Risk Matrices'!$H$5,'Risk Matrices'!$I$5))))</f>
        <v>Significant</v>
      </c>
      <c r="AR101" s="112" t="str">
        <f>IF(AN101="","",IF(ABS(AN101)&lt;='Risk Matrices'!$E$8,"Negligible",IF(ABS(AN101)&lt;='Risk Matrices'!$F$8,"Marginal",IF(ABS(AN101)&lt;='Risk Matrices'!$G$8,"Significant",IF(ABS(AN101)&lt;='Risk Matrices'!$H$8,"Critical","Crisis")))))</f>
        <v>Marginal</v>
      </c>
      <c r="AS101" s="103" t="s">
        <v>207</v>
      </c>
      <c r="AT101" s="298">
        <f>IF(OR(ISBLANK(AI101),AI101=0),0,VLOOKUP(AP101,'Risk Matrices'!$B$30:$C$34,2,0))</f>
        <v>2</v>
      </c>
      <c r="AU101" s="298">
        <f>IF(OR(ISBLANK(AK101),AK101=0),0,HLOOKUP(AQ101,'Risk Matrices'!$D$28:$H$29,2,0))</f>
        <v>3</v>
      </c>
      <c r="AV101" s="298">
        <f>IF(OR(ISBLANK(AR101),AR101=0),0,HLOOKUP(AR101,'Risk Matrices'!$D$28:$H$29,2,0))</f>
        <v>2</v>
      </c>
      <c r="AW101" s="298">
        <f>IF(AS101="None",0,HLOOKUP(AS101,'Risk Matrices'!$D$28:$H$29,2,0))</f>
        <v>1</v>
      </c>
      <c r="AX101" s="106">
        <f t="shared" si="82"/>
        <v>3</v>
      </c>
      <c r="AY101" s="106">
        <f t="shared" si="83"/>
        <v>6</v>
      </c>
      <c r="AZ101" s="107" t="str">
        <f>IF(B101="Retired","Retired",IF(OR(ISBLANK(AY101),AY101=0),"TBD",IF(AY101&lt;='Risk Matrices'!$D$40,'Risk Matrices'!$B$40,IF(AY101&lt;='Risk Matrices'!$D$39,'Risk Matrices'!$B$39,'Risk Matrices'!$B$38))))</f>
        <v>Low</v>
      </c>
      <c r="BA101" s="112"/>
      <c r="BB101" s="766" t="s">
        <v>366</v>
      </c>
      <c r="BC101" s="109">
        <f t="shared" si="84"/>
        <v>100</v>
      </c>
      <c r="BD101" s="185">
        <v>45398</v>
      </c>
      <c r="BE101" s="114"/>
      <c r="BF101" s="115"/>
      <c r="BG101" s="115"/>
      <c r="BH101" s="115"/>
      <c r="BI101" s="101"/>
      <c r="BJ101" s="874">
        <f t="shared" si="91"/>
        <v>120</v>
      </c>
      <c r="BK101" s="101"/>
      <c r="BL101" s="101"/>
      <c r="BM101" s="116">
        <v>45398</v>
      </c>
      <c r="BN101" s="116">
        <v>45398</v>
      </c>
      <c r="BO101" s="332"/>
      <c r="BP101" s="94">
        <f t="shared" si="74"/>
        <v>110</v>
      </c>
      <c r="BQ101" s="97" t="str">
        <f t="shared" si="85"/>
        <v>300 - 500 - 1000</v>
      </c>
      <c r="BR101" s="97" t="str">
        <f t="shared" si="86"/>
        <v>1 - 6 - 12</v>
      </c>
      <c r="BS101" s="715">
        <f t="shared" si="87"/>
        <v>120</v>
      </c>
      <c r="BT101" s="736">
        <f t="shared" si="88"/>
        <v>1.2666666666666668</v>
      </c>
      <c r="BU101" s="735"/>
      <c r="BV101" s="873">
        <v>45382</v>
      </c>
      <c r="BW101">
        <f>BV101-BN101</f>
        <v>-16</v>
      </c>
    </row>
    <row r="102" spans="2:75" customFormat="1" ht="75" hidden="1" x14ac:dyDescent="0.2">
      <c r="B102" s="101" t="str">
        <f t="shared" si="92"/>
        <v>Retired</v>
      </c>
      <c r="C102" s="110">
        <v>151</v>
      </c>
      <c r="D102" s="101" t="s">
        <v>151</v>
      </c>
      <c r="E102" s="103" t="s">
        <v>652</v>
      </c>
      <c r="F102" s="102" t="s">
        <v>124</v>
      </c>
      <c r="G102" s="103" t="s">
        <v>653</v>
      </c>
      <c r="H102" s="103"/>
      <c r="I102" s="120" t="s">
        <v>797</v>
      </c>
      <c r="J102" s="858" t="s">
        <v>409</v>
      </c>
      <c r="K102" s="861" t="s">
        <v>798</v>
      </c>
      <c r="L102" s="147" t="s">
        <v>799</v>
      </c>
      <c r="M102" s="104" t="s">
        <v>379</v>
      </c>
      <c r="N102" s="105">
        <v>20000</v>
      </c>
      <c r="O102" s="106" t="str" cm="1">
        <f t="array" ref="O102">_xlfn.IFS(N102="","",ABS(N102)&lt;='Risk Matrices'!$E$7,'Risk Matrices'!$E$5,ABS(N102)&lt;='Risk Matrices'!$F$7,'Risk Matrices'!$F$5,ABS(N102)&lt;='Risk Matrices'!$G$7,'Risk Matrices'!$G$5,ABS(N102)&lt;='Risk Matrices'!$H$7,'Risk Matrices'!$H$5,ABS(N102)&gt;'Risk Matrices'!$H$7,'Risk Matrices'!$I$5)</f>
        <v>Critical</v>
      </c>
      <c r="P102" s="106">
        <v>24</v>
      </c>
      <c r="Q102" s="101" t="s">
        <v>600</v>
      </c>
      <c r="R102" s="104"/>
      <c r="S102" s="106">
        <f t="shared" si="89"/>
        <v>1</v>
      </c>
      <c r="T102" s="106" cm="1">
        <f t="array" ref="T102">_xlfn.IFS(O102='Risk Matrices'!$D$28,'Risk Matrices'!$D$29,O102='Risk Matrices'!$E$28,'Risk Matrices'!$E$29,O102='Risk Matrices'!$F$28,'Risk Matrices'!$F$29,O102='Risk Matrices'!$G$28,'Risk Matrices'!$G$29,O102='Risk Matrices'!$H$28,'Risk Matrices'!$H$29)</f>
        <v>4</v>
      </c>
      <c r="U102" s="106">
        <f t="shared" si="93"/>
        <v>5</v>
      </c>
      <c r="V102" s="106">
        <f t="shared" ref="V102:V107" si="98">IF(R102="",0,IF(R102="Negligible",1,IF(R102="Marginal",2,IF(R102="Significant",3,IF(R102="Critical",4,IF(R102="Crisis",5))))))</f>
        <v>0</v>
      </c>
      <c r="W102" s="106">
        <f t="shared" si="94"/>
        <v>5</v>
      </c>
      <c r="X102" s="106">
        <f t="shared" si="95"/>
        <v>5</v>
      </c>
      <c r="Y102" s="107" t="str">
        <f t="shared" si="90"/>
        <v>Low</v>
      </c>
      <c r="Z102" s="104"/>
      <c r="AA102" s="108">
        <f t="shared" si="96"/>
        <v>0.05</v>
      </c>
      <c r="AB102" s="109">
        <f t="shared" si="97"/>
        <v>1000</v>
      </c>
      <c r="AC102" s="109" t="s">
        <v>155</v>
      </c>
      <c r="AD102" s="864" t="s">
        <v>800</v>
      </c>
      <c r="AE102" s="864"/>
      <c r="AF102" s="113" t="s">
        <v>801</v>
      </c>
      <c r="AG102" s="113"/>
      <c r="AH102" s="289" t="s">
        <v>802</v>
      </c>
      <c r="AI102" s="881">
        <v>0.05</v>
      </c>
      <c r="AJ102" s="101">
        <v>5000</v>
      </c>
      <c r="AK102" s="101">
        <v>10000</v>
      </c>
      <c r="AL102" s="101">
        <v>20000</v>
      </c>
      <c r="AM102" s="101">
        <v>24</v>
      </c>
      <c r="AN102" s="101">
        <v>24</v>
      </c>
      <c r="AO102" s="101">
        <v>24</v>
      </c>
      <c r="AP102" s="112" t="str">
        <f>IF(OR(ISBLANK(AI102),AI102=0),"INSERT LIKELIHOOD",IF(ABS(AI102)&lt;='Risk Matrices'!$D$22,'Risk Matrices'!$C$21,IF(ABS(AI102)&lt;='Risk Matrices'!$D$19,'Risk Matrices'!$C$18,IF(ABS(AI102)&lt;='Risk Matrices'!$D$16,'Risk Matrices'!$C$15,IF(ABS(AI102)&lt;='Risk Matrices'!$D$13,'Risk Matrices'!$C$12,'Risk Matrices'!$C$10)))))</f>
        <v>Very Low</v>
      </c>
      <c r="AQ102" s="112" t="str">
        <f>IF(OR(ISBLANK(AK102),AK102=0),"None",IF(ABS(AK102)&lt;='Risk Matrices'!$E$7,'Risk Matrices'!$E$5,IF(ABS(AK102)&lt;='Risk Matrices'!$G$7,'Risk Matrices'!$G$5,IF(ABS(AK102)&lt;='Risk Matrices'!$H$7,'Risk Matrices'!$H$5,'Risk Matrices'!$I$5))))</f>
        <v>Critical</v>
      </c>
      <c r="AR102" s="112" t="str">
        <f>IF(AN102="","",IF(ABS(AN102)&lt;='Risk Matrices'!$E$8,"Negligible",IF(ABS(AN102)&lt;='Risk Matrices'!$F$8,"Marginal",IF(ABS(AN102)&lt;='Risk Matrices'!$G$8,"Significant",IF(ABS(AN102)&lt;='Risk Matrices'!$H$8,"Critical","Crisis")))))</f>
        <v>Critical</v>
      </c>
      <c r="AS102" s="103" t="s">
        <v>207</v>
      </c>
      <c r="AT102" s="298">
        <f>IF(OR(ISBLANK(AI102),AI102=0),0,VLOOKUP(AP102,'Risk Matrices'!$B$30:$C$34,2,0))</f>
        <v>1</v>
      </c>
      <c r="AU102" s="298">
        <f>IF(OR(ISBLANK(AK102),AK102=0),0,HLOOKUP(AQ102,'Risk Matrices'!$D$28:$H$29,2,0))</f>
        <v>4</v>
      </c>
      <c r="AV102" s="298">
        <f>IF(OR(ISBLANK(AR102),AR102=0),0,HLOOKUP(AR102,'Risk Matrices'!$D$28:$H$29,2,0))</f>
        <v>4</v>
      </c>
      <c r="AW102" s="298">
        <f>IF(OR(ISBLANK(AS102),AS102=0),0,HLOOKUP(AS102,'Risk Matrices'!$D$28:$H$29,2,0))</f>
        <v>1</v>
      </c>
      <c r="AX102" s="106">
        <f t="shared" si="82"/>
        <v>4</v>
      </c>
      <c r="AY102" s="106">
        <f t="shared" si="83"/>
        <v>4</v>
      </c>
      <c r="AZ102" s="107" t="str">
        <f>IF(B102="Retired","Retired",IF(OR(ISBLANK(AY102),AY102=0),"TBD",IF(AY102&lt;='Risk Matrices'!$D$40,'Risk Matrices'!$B$40,IF(AY102&lt;='Risk Matrices'!$D$39,'Risk Matrices'!$B$39,'Risk Matrices'!$B$38))))</f>
        <v>Retired</v>
      </c>
      <c r="BA102" s="104"/>
      <c r="BB102" s="751"/>
      <c r="BC102" s="109" t="str">
        <f t="shared" si="84"/>
        <v>Retired</v>
      </c>
      <c r="BD102" s="104"/>
      <c r="BE102" s="104"/>
      <c r="BF102" s="104"/>
      <c r="BG102" s="104" t="s">
        <v>803</v>
      </c>
      <c r="BH102" s="874">
        <f>AI102*(SUM(AJ102:AL102)/3)</f>
        <v>583.33333333333337</v>
      </c>
      <c r="BI102" s="101"/>
      <c r="BJ102" s="874">
        <f t="shared" si="91"/>
        <v>583.33333333333337</v>
      </c>
      <c r="BK102" s="101" t="s">
        <v>311</v>
      </c>
      <c r="BL102" s="116">
        <v>44776</v>
      </c>
      <c r="BM102" s="116">
        <v>43981</v>
      </c>
      <c r="BN102" s="116">
        <v>44134</v>
      </c>
      <c r="BO102" s="332"/>
      <c r="BP102" s="94">
        <f t="shared" ref="BP102:BP107" si="99">AI102*((2*AJ102+4*AK102+2*AL102)/6)</f>
        <v>750</v>
      </c>
      <c r="BQ102" s="97" t="str">
        <f t="shared" si="85"/>
        <v>5000 - 10000 - 20000</v>
      </c>
      <c r="BR102" s="97" t="str">
        <f t="shared" si="86"/>
        <v>24 - 24 - 24</v>
      </c>
      <c r="BS102" s="715">
        <f t="shared" si="87"/>
        <v>583.33333333333337</v>
      </c>
      <c r="BT102" s="736">
        <f t="shared" si="88"/>
        <v>1.2</v>
      </c>
      <c r="BU102" s="735" t="s">
        <v>804</v>
      </c>
      <c r="BV102" s="873"/>
    </row>
    <row r="103" spans="2:75" customFormat="1" ht="45" hidden="1" x14ac:dyDescent="0.2">
      <c r="B103" s="101" t="str">
        <f t="shared" si="92"/>
        <v>Retired</v>
      </c>
      <c r="C103" s="780">
        <v>68</v>
      </c>
      <c r="D103" s="101" t="s">
        <v>151</v>
      </c>
      <c r="E103" s="103" t="s">
        <v>652</v>
      </c>
      <c r="F103" s="102" t="s">
        <v>124</v>
      </c>
      <c r="G103" s="103" t="s">
        <v>653</v>
      </c>
      <c r="H103" s="103"/>
      <c r="I103" s="103" t="s">
        <v>653</v>
      </c>
      <c r="J103" s="102" t="s">
        <v>409</v>
      </c>
      <c r="K103" s="103" t="s">
        <v>805</v>
      </c>
      <c r="L103" s="101" t="s">
        <v>806</v>
      </c>
      <c r="M103" s="103" t="s">
        <v>197</v>
      </c>
      <c r="N103" s="105">
        <v>40000</v>
      </c>
      <c r="O103" s="106" t="str" cm="1">
        <f t="array" ref="O103">_xlfn.IFS(N103="","",ABS(N103)&lt;='Risk Matrices'!$E$7,'Risk Matrices'!$E$5,ABS(N103)&lt;='Risk Matrices'!$F$7,'Risk Matrices'!$F$5,ABS(N103)&lt;='Risk Matrices'!$G$7,'Risk Matrices'!$G$5,ABS(N103)&lt;='Risk Matrices'!$H$7,'Risk Matrices'!$H$5,ABS(N103)&gt;'Risk Matrices'!$H$7,'Risk Matrices'!$I$5)</f>
        <v>Crisis</v>
      </c>
      <c r="P103" s="106">
        <v>0</v>
      </c>
      <c r="Q103" s="103" t="s">
        <v>307</v>
      </c>
      <c r="R103" s="103"/>
      <c r="S103" s="106">
        <f t="shared" si="89"/>
        <v>5</v>
      </c>
      <c r="T103" s="106" cm="1">
        <f t="array" ref="T103">_xlfn.IFS(O103='Risk Matrices'!$D$28,'Risk Matrices'!$D$29,O103='Risk Matrices'!$E$28,'Risk Matrices'!$E$29,O103='Risk Matrices'!$F$28,'Risk Matrices'!$F$29,O103='Risk Matrices'!$G$28,'Risk Matrices'!$G$29,O103='Risk Matrices'!$H$28,'Risk Matrices'!$H$29)</f>
        <v>5</v>
      </c>
      <c r="U103" s="106">
        <f t="shared" si="93"/>
        <v>3</v>
      </c>
      <c r="V103" s="106">
        <f t="shared" si="98"/>
        <v>0</v>
      </c>
      <c r="W103" s="106">
        <f t="shared" si="94"/>
        <v>5</v>
      </c>
      <c r="X103" s="106">
        <f t="shared" si="95"/>
        <v>25</v>
      </c>
      <c r="Y103" s="107" t="str">
        <f t="shared" si="90"/>
        <v>High</v>
      </c>
      <c r="Z103" s="104"/>
      <c r="AA103" s="108">
        <f t="shared" si="96"/>
        <v>0.82</v>
      </c>
      <c r="AB103" s="109">
        <f t="shared" si="97"/>
        <v>32800</v>
      </c>
      <c r="AC103" s="109" t="s">
        <v>155</v>
      </c>
      <c r="AD103" s="101" t="s">
        <v>807</v>
      </c>
      <c r="AE103" s="101"/>
      <c r="AF103" s="104"/>
      <c r="AG103" s="104"/>
      <c r="AH103" s="110"/>
      <c r="AI103" s="112"/>
      <c r="AJ103" s="106"/>
      <c r="AK103" s="106"/>
      <c r="AL103" s="106"/>
      <c r="AM103" s="141"/>
      <c r="AN103" s="141"/>
      <c r="AO103" s="141"/>
      <c r="AP103" s="112" t="str">
        <f>IF(OR(ISBLANK(AI103),AI103=0),"INSERT LIKELIHOOD",IF(ABS(AI103)&lt;='Risk Matrices'!$D$22,'Risk Matrices'!$C$21,IF(ABS(AI103)&lt;='Risk Matrices'!$D$19,'Risk Matrices'!$C$18,IF(ABS(AI103)&lt;='Risk Matrices'!$D$16,'Risk Matrices'!$C$15,IF(ABS(AI103)&lt;='Risk Matrices'!$D$13,'Risk Matrices'!$C$12,'Risk Matrices'!$C$10)))))</f>
        <v>INSERT LIKELIHOOD</v>
      </c>
      <c r="AQ103" s="112" t="str">
        <f>IF(OR(ISBLANK(AK103),AK103=0),"",IF(ABS(AK103)&lt;='Risk Matrices'!$E$7,'Risk Matrices'!$E$5,IF(ABS(AK103)&lt;='Risk Matrices'!$G$7,'Risk Matrices'!$G$5,IF(ABS(AK103)&lt;='Risk Matrices'!$H$7,'Risk Matrices'!$H$5,'Risk Matrices'!$I$5))))</f>
        <v/>
      </c>
      <c r="AR103" s="112" t="str">
        <f>IF(AN103="","",IF(ABS(AN103)&lt;='Risk Matrices'!$E$8,"Negligible",IF(ABS(AN103)&lt;='Risk Matrices'!$F$8,"Marginal",IF(ABS(AN103)&lt;='Risk Matrices'!$G$8,"Significant",IF(ABS(AN103)&lt;='Risk Matrices'!$H$8,"Critical","Crisis")))))</f>
        <v/>
      </c>
      <c r="AS103" s="103" t="s">
        <v>130</v>
      </c>
      <c r="AT103" s="298">
        <f>IF(OR(ISBLANK(AI103),AI103=0),0,VLOOKUP(AP103,'Risk Matrices'!$B$30:$C$34,2,0))</f>
        <v>0</v>
      </c>
      <c r="AU103" s="298">
        <f>IF(OR(ISBLANK(AK103),AK103=0),0,HLOOKUP(AQ103,'Risk Matrices'!$D$28:$H$29,2,0))</f>
        <v>0</v>
      </c>
      <c r="AV103" s="298" t="e">
        <f>IF(OR(ISBLANK(AR103),AR103=0),0,HLOOKUP(AR103,'Risk Matrices'!$D$28:$H$29,2,0))</f>
        <v>#N/A</v>
      </c>
      <c r="AW103" s="298">
        <f>IF(AS103="None",0,HLOOKUP(AS103,'Risk Matrices'!$D$28:$H$29,2,0))</f>
        <v>0</v>
      </c>
      <c r="AX103" s="106" t="e">
        <f t="shared" si="82"/>
        <v>#N/A</v>
      </c>
      <c r="AY103" s="106" t="e">
        <f t="shared" si="83"/>
        <v>#N/A</v>
      </c>
      <c r="AZ103" s="107" t="str">
        <f>IF(B103="Retired","Retired",IF(OR(ISBLANK(AY103),AY103=0),"TBD",IF(AY103&lt;='Risk Matrices'!$D$40,'Risk Matrices'!$B$40,IF(AY103&lt;='Risk Matrices'!$D$39,'Risk Matrices'!$B$39,'Risk Matrices'!$B$38))))</f>
        <v>Retired</v>
      </c>
      <c r="BA103" s="112"/>
      <c r="BB103" s="113"/>
      <c r="BC103" s="109" t="str">
        <f t="shared" si="84"/>
        <v>Retired</v>
      </c>
      <c r="BD103" s="113"/>
      <c r="BE103" s="114"/>
      <c r="BF103" s="101"/>
      <c r="BG103" s="101" t="s">
        <v>808</v>
      </c>
      <c r="BH103" s="115"/>
      <c r="BI103" s="101"/>
      <c r="BJ103" s="874">
        <f t="shared" si="91"/>
        <v>0</v>
      </c>
      <c r="BK103" s="101" t="s">
        <v>311</v>
      </c>
      <c r="BL103" s="116">
        <v>44197</v>
      </c>
      <c r="BM103" s="116">
        <v>43981</v>
      </c>
      <c r="BN103" s="330">
        <v>44134</v>
      </c>
      <c r="BO103" s="332"/>
      <c r="BP103" s="94">
        <f t="shared" si="99"/>
        <v>0</v>
      </c>
      <c r="BQ103" s="97" t="str">
        <f t="shared" si="85"/>
        <v xml:space="preserve"> -  - </v>
      </c>
      <c r="BR103" s="97" t="str">
        <f t="shared" si="86"/>
        <v xml:space="preserve"> -  - </v>
      </c>
      <c r="BS103" s="715">
        <f t="shared" si="87"/>
        <v>0</v>
      </c>
      <c r="BT103" s="736">
        <f t="shared" si="88"/>
        <v>0</v>
      </c>
      <c r="BU103" s="735" t="s">
        <v>809</v>
      </c>
    </row>
    <row r="104" spans="2:75" customFormat="1" ht="60" hidden="1" x14ac:dyDescent="0.2">
      <c r="B104" s="101" t="str">
        <f t="shared" si="92"/>
        <v>Retired</v>
      </c>
      <c r="C104" s="780">
        <v>71</v>
      </c>
      <c r="D104" s="101" t="s">
        <v>151</v>
      </c>
      <c r="E104" s="103" t="s">
        <v>652</v>
      </c>
      <c r="F104" s="102" t="s">
        <v>124</v>
      </c>
      <c r="G104" s="103" t="s">
        <v>653</v>
      </c>
      <c r="H104" s="103"/>
      <c r="I104" s="103" t="s">
        <v>653</v>
      </c>
      <c r="J104" s="103" t="s">
        <v>351</v>
      </c>
      <c r="K104" s="101" t="s">
        <v>810</v>
      </c>
      <c r="L104" s="101" t="s">
        <v>811</v>
      </c>
      <c r="M104" s="103" t="s">
        <v>164</v>
      </c>
      <c r="N104" s="105"/>
      <c r="O104" s="106" t="str" cm="1">
        <f t="array" ref="O104">_xlfn.IFS(N104="","",ABS(N104)&lt;='Risk Matrices'!$E$7,'Risk Matrices'!$E$5,ABS(N104)&lt;='Risk Matrices'!$F$7,'Risk Matrices'!$F$5,ABS(N104)&lt;='Risk Matrices'!$G$7,'Risk Matrices'!$G$5,ABS(N104)&lt;='Risk Matrices'!$H$7,'Risk Matrices'!$H$5,ABS(N104)&gt;'Risk Matrices'!$H$7,'Risk Matrices'!$I$5)</f>
        <v/>
      </c>
      <c r="P104" s="101"/>
      <c r="Q104" s="123"/>
      <c r="R104" s="103" t="s">
        <v>307</v>
      </c>
      <c r="S104" s="106">
        <f t="shared" si="89"/>
        <v>2</v>
      </c>
      <c r="T104" s="106" t="e" cm="1">
        <f t="array" ref="T104">_xlfn.IFS(O104='Risk Matrices'!$D$28,'Risk Matrices'!$D$29,O104='Risk Matrices'!$E$28,'Risk Matrices'!$E$29,O104='Risk Matrices'!$F$28,'Risk Matrices'!$F$29,O104='Risk Matrices'!$G$28,'Risk Matrices'!$G$29,O104='Risk Matrices'!$H$28,'Risk Matrices'!$H$29)</f>
        <v>#N/A</v>
      </c>
      <c r="U104" s="106">
        <f t="shared" si="93"/>
        <v>0</v>
      </c>
      <c r="V104" s="106">
        <f t="shared" si="98"/>
        <v>3</v>
      </c>
      <c r="W104" s="106" t="e">
        <f t="shared" si="94"/>
        <v>#N/A</v>
      </c>
      <c r="X104" s="106" t="e">
        <f t="shared" si="95"/>
        <v>#N/A</v>
      </c>
      <c r="Y104" s="107" t="e">
        <f t="shared" si="90"/>
        <v>#N/A</v>
      </c>
      <c r="Z104" s="104"/>
      <c r="AA104" s="108">
        <f t="shared" si="96"/>
        <v>0.17</v>
      </c>
      <c r="AB104" s="109">
        <f t="shared" si="97"/>
        <v>0</v>
      </c>
      <c r="AC104" s="109" t="s">
        <v>155</v>
      </c>
      <c r="AD104" s="101"/>
      <c r="AE104" s="101"/>
      <c r="AF104" s="104"/>
      <c r="AG104" s="104"/>
      <c r="AH104" s="110"/>
      <c r="AI104" s="112"/>
      <c r="AJ104" s="106"/>
      <c r="AK104" s="106"/>
      <c r="AL104" s="106"/>
      <c r="AM104" s="141"/>
      <c r="AN104" s="141"/>
      <c r="AO104" s="141"/>
      <c r="AP104" s="112" t="str">
        <f>IF(OR(ISBLANK(AI104),AI104=0),"INSERT LIKELIHOOD",IF(ABS(AI104)&lt;='Risk Matrices'!$D$22,'Risk Matrices'!$C$21,IF(ABS(AI104)&lt;='Risk Matrices'!$D$19,'Risk Matrices'!$C$18,IF(ABS(AI104)&lt;='Risk Matrices'!$D$16,'Risk Matrices'!$C$15,IF(ABS(AI104)&lt;='Risk Matrices'!$D$13,'Risk Matrices'!$C$12,'Risk Matrices'!$C$10)))))</f>
        <v>INSERT LIKELIHOOD</v>
      </c>
      <c r="AQ104" s="112" t="str">
        <f>IF(OR(ISBLANK(AK104),AK104=0),"",IF(ABS(AK104)&lt;='Risk Matrices'!$E$7,'Risk Matrices'!$E$5,IF(ABS(AK104)&lt;='Risk Matrices'!$G$7,'Risk Matrices'!$G$5,IF(ABS(AK104)&lt;='Risk Matrices'!$H$7,'Risk Matrices'!$H$5,'Risk Matrices'!$I$5))))</f>
        <v/>
      </c>
      <c r="AR104" s="112" t="str">
        <f>IF(AN104="","",IF(ABS(AN104)&lt;='Risk Matrices'!$E$8,"Negligible",IF(ABS(AN104)&lt;='Risk Matrices'!$F$8,"Marginal",IF(ABS(AN104)&lt;='Risk Matrices'!$G$8,"Significant",IF(ABS(AN104)&lt;='Risk Matrices'!$H$8,"Critical","Crisis")))))</f>
        <v/>
      </c>
      <c r="AS104" s="103" t="s">
        <v>130</v>
      </c>
      <c r="AT104" s="298">
        <f>IF(OR(ISBLANK(AI104),AI104=0),0,VLOOKUP(AP104,'Risk Matrices'!$B$30:$C$34,2,0))</f>
        <v>0</v>
      </c>
      <c r="AU104" s="298">
        <f>IF(OR(ISBLANK(AK104),AK104=0),0,HLOOKUP(AQ104,'Risk Matrices'!$D$28:$H$29,2,0))</f>
        <v>0</v>
      </c>
      <c r="AV104" s="298" t="e">
        <f>IF(OR(ISBLANK(AR104),AR104=0),0,HLOOKUP(AR104,'Risk Matrices'!$D$28:$H$29,2,0))</f>
        <v>#N/A</v>
      </c>
      <c r="AW104" s="298">
        <f>IF(AS104="None",0,HLOOKUP(AS104,'Risk Matrices'!$D$28:$H$29,2,0))</f>
        <v>0</v>
      </c>
      <c r="AX104" s="106" t="e">
        <f t="shared" si="82"/>
        <v>#N/A</v>
      </c>
      <c r="AY104" s="106" t="e">
        <f t="shared" si="83"/>
        <v>#N/A</v>
      </c>
      <c r="AZ104" s="107" t="str">
        <f>IF(B104="Retired","Retired",IF(OR(ISBLANK(AY104),AY104=0),"TBD",IF(AY104&lt;='Risk Matrices'!$D$40,'Risk Matrices'!$B$40,IF(AY104&lt;='Risk Matrices'!$D$39,'Risk Matrices'!$B$39,'Risk Matrices'!$B$38))))</f>
        <v>Retired</v>
      </c>
      <c r="BA104" s="112"/>
      <c r="BB104" s="113"/>
      <c r="BC104" s="109" t="str">
        <f t="shared" si="84"/>
        <v>Retired</v>
      </c>
      <c r="BD104" s="113"/>
      <c r="BE104" s="114"/>
      <c r="BF104" s="146"/>
      <c r="BG104" s="146" t="s">
        <v>812</v>
      </c>
      <c r="BH104" s="115"/>
      <c r="BI104" s="874"/>
      <c r="BJ104" s="874">
        <f t="shared" si="91"/>
        <v>0</v>
      </c>
      <c r="BK104" s="101" t="s">
        <v>311</v>
      </c>
      <c r="BL104" s="116">
        <v>44321</v>
      </c>
      <c r="BM104" s="116">
        <v>43981</v>
      </c>
      <c r="BN104" s="330">
        <v>44134</v>
      </c>
      <c r="BO104" s="332"/>
      <c r="BP104" s="94">
        <f t="shared" si="99"/>
        <v>0</v>
      </c>
      <c r="BQ104" s="97" t="str">
        <f t="shared" si="85"/>
        <v xml:space="preserve"> -  - </v>
      </c>
      <c r="BR104" s="97" t="str">
        <f t="shared" si="86"/>
        <v xml:space="preserve"> -  - </v>
      </c>
      <c r="BS104" s="715">
        <f t="shared" si="87"/>
        <v>0</v>
      </c>
      <c r="BT104" s="736">
        <f t="shared" si="88"/>
        <v>0</v>
      </c>
      <c r="BU104" s="735" t="s">
        <v>813</v>
      </c>
    </row>
    <row r="105" spans="2:75" customFormat="1" ht="75" hidden="1" x14ac:dyDescent="0.2">
      <c r="B105" s="101" t="str">
        <f t="shared" si="92"/>
        <v>Retired</v>
      </c>
      <c r="C105" s="110">
        <v>168</v>
      </c>
      <c r="D105" s="101" t="s">
        <v>151</v>
      </c>
      <c r="E105" s="103" t="s">
        <v>652</v>
      </c>
      <c r="F105" s="102" t="s">
        <v>124</v>
      </c>
      <c r="G105" s="103" t="s">
        <v>653</v>
      </c>
      <c r="H105" s="103"/>
      <c r="I105" s="101" t="s">
        <v>653</v>
      </c>
      <c r="J105" s="93" t="s">
        <v>655</v>
      </c>
      <c r="K105" s="101" t="s">
        <v>814</v>
      </c>
      <c r="L105" s="104" t="s">
        <v>815</v>
      </c>
      <c r="M105" s="103" t="s">
        <v>141</v>
      </c>
      <c r="N105" s="105">
        <v>1000</v>
      </c>
      <c r="O105" s="106" t="str" cm="1">
        <f t="array" ref="O105">_xlfn.IFS(N105="","",ABS(N105)&lt;='Risk Matrices'!$E$7,'Risk Matrices'!$E$5,ABS(N105)&lt;='Risk Matrices'!$F$7,'Risk Matrices'!$F$5,ABS(N105)&lt;='Risk Matrices'!$G$7,'Risk Matrices'!$G$5,ABS(N105)&lt;='Risk Matrices'!$H$7,'Risk Matrices'!$H$5,ABS(N105)&gt;'Risk Matrices'!$H$7,'Risk Matrices'!$I$5)</f>
        <v>Marginal</v>
      </c>
      <c r="P105" s="101">
        <v>0</v>
      </c>
      <c r="Q105" s="101" t="str" cm="1">
        <f t="array" ref="Q105">_xlfn.IFS(P105="","",ABS(P105)&lt;='Risk Matrices'!$E$8,'Risk Matrices'!$E$5,ABS(P105)&lt;='Risk Matrices'!$F$8,'Risk Matrices'!$F$5,ABS(P105)&lt;='Risk Matrices'!$G$8,'Risk Matrices'!$G$5,ABS(P105)&lt;='Risk Matrices'!$H$8,'Risk Matrices'!$H$5,ABS(P105)&gt;'Risk Matrices'!$H$8,'Risk Matrices'!$I$5)</f>
        <v>Negligible</v>
      </c>
      <c r="R105" s="101" t="s">
        <v>280</v>
      </c>
      <c r="S105" s="106">
        <f t="shared" si="89"/>
        <v>3</v>
      </c>
      <c r="T105" s="106" cm="1">
        <f t="array" ref="T105">_xlfn.IFS(O105='Risk Matrices'!$D$28,'Risk Matrices'!$D$29,O105='Risk Matrices'!$E$28,'Risk Matrices'!$E$29,O105='Risk Matrices'!$F$28,'Risk Matrices'!$F$29,O105='Risk Matrices'!$G$28,'Risk Matrices'!$G$29,O105='Risk Matrices'!$H$28,'Risk Matrices'!$H$29)</f>
        <v>2</v>
      </c>
      <c r="U105" s="106">
        <f t="shared" si="93"/>
        <v>1</v>
      </c>
      <c r="V105" s="106">
        <f t="shared" si="98"/>
        <v>2</v>
      </c>
      <c r="W105" s="106">
        <f t="shared" si="94"/>
        <v>2</v>
      </c>
      <c r="X105" s="106">
        <f t="shared" si="95"/>
        <v>6</v>
      </c>
      <c r="Y105" s="107" t="str">
        <f t="shared" si="90"/>
        <v>Low</v>
      </c>
      <c r="Z105" s="104"/>
      <c r="AA105" s="108">
        <f t="shared" si="96"/>
        <v>0.32</v>
      </c>
      <c r="AB105" s="109">
        <f t="shared" si="97"/>
        <v>320</v>
      </c>
      <c r="AC105" s="109" t="s">
        <v>155</v>
      </c>
      <c r="AD105" s="104" t="s">
        <v>816</v>
      </c>
      <c r="AE105" s="104"/>
      <c r="AF105" s="104"/>
      <c r="AG105" s="104"/>
      <c r="AH105" s="739" t="s">
        <v>817</v>
      </c>
      <c r="AI105" s="112">
        <v>0.25</v>
      </c>
      <c r="AJ105" s="101">
        <v>500</v>
      </c>
      <c r="AK105" s="101">
        <v>1000</v>
      </c>
      <c r="AL105" s="101">
        <v>2000</v>
      </c>
      <c r="AM105" s="101">
        <v>1</v>
      </c>
      <c r="AN105" s="101">
        <v>3</v>
      </c>
      <c r="AO105" s="101">
        <v>6</v>
      </c>
      <c r="AP105" s="112" t="str">
        <f>IF(OR(ISBLANK(AI105),AI105=0),"INSERT LIKELIHOOD",IF(ABS(AI105)&lt;='Risk Matrices'!$D$22,'Risk Matrices'!$C$21,IF(ABS(AI105)&lt;='Risk Matrices'!$D$19,'Risk Matrices'!$C$18,IF(ABS(AI105)&lt;='Risk Matrices'!$D$16,'Risk Matrices'!$C$15,IF(ABS(AI105)&lt;='Risk Matrices'!$D$13,'Risk Matrices'!$C$12,'Risk Matrices'!$C$10)))))</f>
        <v>Low</v>
      </c>
      <c r="AQ105" s="112" t="str">
        <f>IF(OR(ISBLANK(AK105),AK105=0),"None",IF(ABS(AK105)&lt;='Risk Matrices'!$E$7,'Risk Matrices'!$E$5,IF(ABS(AK105)&lt;='Risk Matrices'!$G$7,'Risk Matrices'!$G$5,IF(ABS(AK105)&lt;='Risk Matrices'!$H$7,'Risk Matrices'!$H$5,'Risk Matrices'!$I$5))))</f>
        <v>Significant</v>
      </c>
      <c r="AR105" s="112" t="str">
        <f>IF(AN105="","",IF(ABS(AN105)&lt;='Risk Matrices'!$E$8,"Negligible",IF(ABS(AN105)&lt;='Risk Matrices'!$F$8,"Marginal",IF(ABS(AN105)&lt;='Risk Matrices'!$G$8,"Significant",IF(ABS(AN105)&lt;='Risk Matrices'!$H$8,"Critical","Crisis")))))</f>
        <v>Negligible</v>
      </c>
      <c r="AS105" s="103" t="s">
        <v>130</v>
      </c>
      <c r="AT105" s="298">
        <f>IF(OR(ISBLANK(AI105),AI105=0),0,VLOOKUP(AP105,'Risk Matrices'!$B$30:$C$34,2,0))</f>
        <v>2</v>
      </c>
      <c r="AU105" s="298">
        <f>IF(OR(ISBLANK(AK105),AK105=0),0,HLOOKUP(AQ105,'Risk Matrices'!$D$28:$H$29,2,0))</f>
        <v>3</v>
      </c>
      <c r="AV105" s="298">
        <f>IF(OR(ISBLANK(AR105),AR105=0),0,HLOOKUP(AR105,'Risk Matrices'!$D$28:$H$29,2,0))</f>
        <v>1</v>
      </c>
      <c r="AW105" s="298">
        <f>IF(AS105="None",0,HLOOKUP(AS105,'Risk Matrices'!$D$28:$H$29,2,0))</f>
        <v>0</v>
      </c>
      <c r="AX105" s="106">
        <f t="shared" si="82"/>
        <v>3</v>
      </c>
      <c r="AY105" s="106">
        <f t="shared" si="83"/>
        <v>6</v>
      </c>
      <c r="AZ105" s="107" t="str">
        <f>IF(B105="Retired","Retired",IF(OR(ISBLANK(AY105),AY105=0),"TBD",IF(AY105&lt;='Risk Matrices'!$D$40,'Risk Matrices'!$B$40,IF(AY105&lt;='Risk Matrices'!$D$39,'Risk Matrices'!$B$39,'Risk Matrices'!$B$38))))</f>
        <v>Retired</v>
      </c>
      <c r="BA105" s="104"/>
      <c r="BB105" s="766" t="s">
        <v>366</v>
      </c>
      <c r="BC105" s="109" t="str">
        <f t="shared" si="84"/>
        <v>Retired</v>
      </c>
      <c r="BD105" s="116">
        <v>45428</v>
      </c>
      <c r="BE105" s="104"/>
      <c r="BF105" s="104"/>
      <c r="BG105" s="104" t="s">
        <v>818</v>
      </c>
      <c r="BH105" s="104"/>
      <c r="BI105" s="101"/>
      <c r="BJ105" s="874">
        <f t="shared" si="91"/>
        <v>291.66666666666669</v>
      </c>
      <c r="BK105" s="101"/>
      <c r="BL105" s="116">
        <v>45428</v>
      </c>
      <c r="BM105" s="116">
        <v>43981</v>
      </c>
      <c r="BN105" s="116">
        <v>43981</v>
      </c>
      <c r="BO105" s="332"/>
      <c r="BP105" s="94">
        <f t="shared" si="99"/>
        <v>375</v>
      </c>
      <c r="BQ105" s="97" t="str">
        <f t="shared" si="85"/>
        <v>500 - 1000 - 2000</v>
      </c>
      <c r="BR105" s="97" t="str">
        <f t="shared" si="86"/>
        <v>1 - 3 - 6</v>
      </c>
      <c r="BS105" s="715">
        <f t="shared" si="87"/>
        <v>291.66666666666669</v>
      </c>
      <c r="BT105" s="736">
        <f t="shared" si="88"/>
        <v>0.83333333333333337</v>
      </c>
      <c r="BU105" s="735" t="s">
        <v>819</v>
      </c>
    </row>
    <row r="106" spans="2:75" customFormat="1" ht="372" hidden="1" x14ac:dyDescent="0.2">
      <c r="B106" s="101" t="str">
        <f t="shared" si="92"/>
        <v>Retired</v>
      </c>
      <c r="C106" s="129">
        <v>150</v>
      </c>
      <c r="D106" s="101" t="s">
        <v>151</v>
      </c>
      <c r="E106" s="103" t="s">
        <v>652</v>
      </c>
      <c r="F106" s="102" t="s">
        <v>124</v>
      </c>
      <c r="G106" s="132" t="s">
        <v>653</v>
      </c>
      <c r="H106" s="132"/>
      <c r="I106" s="162" t="s">
        <v>586</v>
      </c>
      <c r="J106" s="152" t="s">
        <v>587</v>
      </c>
      <c r="K106" s="144" t="s">
        <v>820</v>
      </c>
      <c r="L106" s="863" t="s">
        <v>821</v>
      </c>
      <c r="M106" s="121" t="s">
        <v>197</v>
      </c>
      <c r="N106" s="134">
        <v>1050</v>
      </c>
      <c r="O106" s="106" t="str" cm="1">
        <f t="array" ref="O106">_xlfn.IFS(N106="","",ABS(N106)&lt;='Risk Matrices'!$E$7,'Risk Matrices'!$E$5,ABS(N106)&lt;='Risk Matrices'!$F$7,'Risk Matrices'!$F$5,ABS(N106)&lt;='Risk Matrices'!$G$7,'Risk Matrices'!$G$5,ABS(N106)&lt;='Risk Matrices'!$H$7,'Risk Matrices'!$H$5,ABS(N106)&gt;'Risk Matrices'!$H$7,'Risk Matrices'!$I$5)</f>
        <v>Significant</v>
      </c>
      <c r="P106" s="128">
        <v>0</v>
      </c>
      <c r="Q106" s="121" t="s">
        <v>600</v>
      </c>
      <c r="R106" s="121" t="s">
        <v>600</v>
      </c>
      <c r="S106" s="128">
        <f t="shared" si="89"/>
        <v>5</v>
      </c>
      <c r="T106" s="106" cm="1">
        <f t="array" ref="T106">_xlfn.IFS(O106='Risk Matrices'!$D$28,'Risk Matrices'!$D$29,O106='Risk Matrices'!$E$28,'Risk Matrices'!$E$29,O106='Risk Matrices'!$F$28,'Risk Matrices'!$F$29,O106='Risk Matrices'!$G$28,'Risk Matrices'!$G$29,O106='Risk Matrices'!$H$28,'Risk Matrices'!$H$29)</f>
        <v>3</v>
      </c>
      <c r="U106" s="128">
        <f t="shared" si="93"/>
        <v>5</v>
      </c>
      <c r="V106" s="128">
        <f t="shared" si="98"/>
        <v>5</v>
      </c>
      <c r="W106" s="106">
        <f t="shared" si="94"/>
        <v>5</v>
      </c>
      <c r="X106" s="128">
        <f t="shared" si="95"/>
        <v>25</v>
      </c>
      <c r="Y106" s="135" t="str">
        <f t="shared" si="90"/>
        <v>High</v>
      </c>
      <c r="Z106" s="121" t="s">
        <v>822</v>
      </c>
      <c r="AA106" s="136">
        <f t="shared" si="96"/>
        <v>0.82</v>
      </c>
      <c r="AB106" s="137">
        <f t="shared" si="97"/>
        <v>861</v>
      </c>
      <c r="AC106" s="137" t="s">
        <v>155</v>
      </c>
      <c r="AD106" s="104" t="s">
        <v>823</v>
      </c>
      <c r="AE106" s="104"/>
      <c r="AF106" s="163" t="s">
        <v>824</v>
      </c>
      <c r="AG106" s="163"/>
      <c r="AH106" s="868" t="s">
        <v>678</v>
      </c>
      <c r="AI106" s="878">
        <v>0.1</v>
      </c>
      <c r="AJ106" s="101"/>
      <c r="AK106" s="101"/>
      <c r="AL106" s="101"/>
      <c r="AM106" s="101"/>
      <c r="AN106" s="101"/>
      <c r="AO106" s="101"/>
      <c r="AP106" s="112" t="str">
        <f>IF(OR(ISBLANK(AI106),AI106=0),"INSERT LIKELIHOOD",IF(ABS(AI106)&lt;='Risk Matrices'!$D$22,'Risk Matrices'!$C$21,IF(ABS(AI106)&lt;='Risk Matrices'!$D$19,'Risk Matrices'!$C$18,IF(ABS(AI106)&lt;='Risk Matrices'!$D$16,'Risk Matrices'!$C$15,IF(ABS(AI106)&lt;='Risk Matrices'!$D$13,'Risk Matrices'!$C$12,'Risk Matrices'!$C$10)))))</f>
        <v>Very Low</v>
      </c>
      <c r="AQ106" s="112" t="str">
        <f>IF(OR(ISBLANK(AK106),AK106=0),"None",IF(ABS(AK106)&lt;='Risk Matrices'!$E$7,'Risk Matrices'!$E$5,IF(ABS(AK106)&lt;='Risk Matrices'!$G$7,'Risk Matrices'!$G$5,IF(ABS(AK106)&lt;='Risk Matrices'!$H$7,'Risk Matrices'!$H$5,'Risk Matrices'!$I$5))))</f>
        <v>None</v>
      </c>
      <c r="AR106" s="112" t="str">
        <f>IF(AN106="","",IF(ABS(AN106)&lt;='Risk Matrices'!$E$8,"Negligible",IF(ABS(AN106)&lt;='Risk Matrices'!$F$8,"Marginal",IF(ABS(AN106)&lt;='Risk Matrices'!$G$8,"Significant",IF(ABS(AN106)&lt;='Risk Matrices'!$H$8,"Critical","Crisis")))))</f>
        <v/>
      </c>
      <c r="AS106" s="103" t="s">
        <v>130</v>
      </c>
      <c r="AT106" s="298">
        <f>IF(OR(ISBLANK(AI106),AI106=0),0,VLOOKUP(AP106,'Risk Matrices'!$B$30:$C$34,2,0))</f>
        <v>1</v>
      </c>
      <c r="AU106" s="298">
        <f>IF(OR(ISBLANK(AK106),AK106=0),0,HLOOKUP(AQ106,'Risk Matrices'!$D$28:$H$29,2,0))</f>
        <v>0</v>
      </c>
      <c r="AV106" s="298" t="e">
        <f>IF(OR(ISBLANK(AR106),AR106=0),0,HLOOKUP(AR106,'Risk Matrices'!$D$28:$H$29,2,0))</f>
        <v>#N/A</v>
      </c>
      <c r="AW106" s="298">
        <f>IF(AS106="None",0,HLOOKUP(AS106,'Risk Matrices'!$D$28:$H$29,2,0))</f>
        <v>0</v>
      </c>
      <c r="AX106" s="106" t="e">
        <f t="shared" si="82"/>
        <v>#N/A</v>
      </c>
      <c r="AY106" s="106" t="e">
        <f t="shared" si="83"/>
        <v>#N/A</v>
      </c>
      <c r="AZ106" s="107" t="str">
        <f>IF(B106="Retired","Retired",IF(OR(ISBLANK(AY106),AY106=0),"TBD",IF(AY106&lt;='Risk Matrices'!$D$40,'Risk Matrices'!$B$40,IF(AY106&lt;='Risk Matrices'!$D$39,'Risk Matrices'!$B$39,'Risk Matrices'!$B$38))))</f>
        <v>Retired</v>
      </c>
      <c r="BA106" s="104"/>
      <c r="BB106" s="751"/>
      <c r="BC106" s="109" t="str">
        <f t="shared" si="84"/>
        <v>Retired</v>
      </c>
      <c r="BD106" s="104" t="s">
        <v>825</v>
      </c>
      <c r="BE106" s="104"/>
      <c r="BF106" s="104"/>
      <c r="BG106" s="197" t="s">
        <v>826</v>
      </c>
      <c r="BH106" s="104"/>
      <c r="BI106" s="101"/>
      <c r="BJ106" s="874">
        <f t="shared" si="91"/>
        <v>0</v>
      </c>
      <c r="BK106" s="101" t="s">
        <v>311</v>
      </c>
      <c r="BL106" s="116">
        <v>44903</v>
      </c>
      <c r="BM106" s="116">
        <v>43981</v>
      </c>
      <c r="BN106" s="330">
        <v>44508</v>
      </c>
      <c r="BO106" s="332"/>
      <c r="BP106" s="94">
        <f t="shared" si="99"/>
        <v>0</v>
      </c>
      <c r="BQ106" s="97" t="str">
        <f t="shared" si="85"/>
        <v xml:space="preserve"> -  - </v>
      </c>
      <c r="BR106" s="97" t="str">
        <f t="shared" si="86"/>
        <v xml:space="preserve"> -  - </v>
      </c>
      <c r="BS106" s="715">
        <f t="shared" si="87"/>
        <v>0</v>
      </c>
      <c r="BT106" s="736">
        <f t="shared" si="88"/>
        <v>0</v>
      </c>
      <c r="BU106" s="735" t="s">
        <v>827</v>
      </c>
    </row>
    <row r="107" spans="2:75" customFormat="1" ht="372" hidden="1" x14ac:dyDescent="0.2">
      <c r="B107" s="101" t="str">
        <f t="shared" si="92"/>
        <v>Retired</v>
      </c>
      <c r="C107" s="129" t="s">
        <v>828</v>
      </c>
      <c r="D107" s="101" t="s">
        <v>151</v>
      </c>
      <c r="E107" s="103" t="s">
        <v>652</v>
      </c>
      <c r="F107" s="102" t="s">
        <v>124</v>
      </c>
      <c r="G107" s="132" t="s">
        <v>653</v>
      </c>
      <c r="H107" s="132"/>
      <c r="I107" s="162" t="s">
        <v>586</v>
      </c>
      <c r="J107" s="152" t="s">
        <v>587</v>
      </c>
      <c r="K107" s="182" t="s">
        <v>829</v>
      </c>
      <c r="L107" s="147" t="s">
        <v>830</v>
      </c>
      <c r="M107" s="121" t="s">
        <v>197</v>
      </c>
      <c r="N107" s="134">
        <v>750</v>
      </c>
      <c r="O107" s="106" t="str" cm="1">
        <f t="array" ref="O107">_xlfn.IFS(N107="","",ABS(N107)&lt;='Risk Matrices'!$E$7,'Risk Matrices'!$E$5,ABS(N107)&lt;='Risk Matrices'!$F$7,'Risk Matrices'!$F$5,ABS(N107)&lt;='Risk Matrices'!$G$7,'Risk Matrices'!$G$5,ABS(N107)&lt;='Risk Matrices'!$H$7,'Risk Matrices'!$H$5,ABS(N107)&gt;'Risk Matrices'!$H$7,'Risk Matrices'!$I$5)</f>
        <v>Marginal</v>
      </c>
      <c r="P107" s="126">
        <v>0</v>
      </c>
      <c r="Q107" s="126" t="s">
        <v>600</v>
      </c>
      <c r="R107" s="126" t="s">
        <v>600</v>
      </c>
      <c r="S107" s="128">
        <f t="shared" si="89"/>
        <v>5</v>
      </c>
      <c r="T107" s="106" cm="1">
        <f t="array" ref="T107">_xlfn.IFS(O107='Risk Matrices'!$D$28,'Risk Matrices'!$D$29,O107='Risk Matrices'!$E$28,'Risk Matrices'!$E$29,O107='Risk Matrices'!$F$28,'Risk Matrices'!$F$29,O107='Risk Matrices'!$G$28,'Risk Matrices'!$G$29,O107='Risk Matrices'!$H$28,'Risk Matrices'!$H$29)</f>
        <v>2</v>
      </c>
      <c r="U107" s="128">
        <f t="shared" si="93"/>
        <v>5</v>
      </c>
      <c r="V107" s="128">
        <f t="shared" si="98"/>
        <v>5</v>
      </c>
      <c r="W107" s="106">
        <f t="shared" si="94"/>
        <v>5</v>
      </c>
      <c r="X107" s="128">
        <f t="shared" si="95"/>
        <v>25</v>
      </c>
      <c r="Y107" s="135" t="str">
        <f t="shared" si="90"/>
        <v>High</v>
      </c>
      <c r="Z107" s="121" t="s">
        <v>822</v>
      </c>
      <c r="AA107" s="136">
        <f t="shared" si="96"/>
        <v>0.82</v>
      </c>
      <c r="AB107" s="137">
        <f t="shared" si="97"/>
        <v>615</v>
      </c>
      <c r="AC107" s="137" t="s">
        <v>155</v>
      </c>
      <c r="AD107" s="104" t="s">
        <v>831</v>
      </c>
      <c r="AE107" s="104"/>
      <c r="AF107" s="163" t="s">
        <v>832</v>
      </c>
      <c r="AG107" s="163"/>
      <c r="AH107" s="713" t="s">
        <v>678</v>
      </c>
      <c r="AI107" s="112">
        <v>0.2</v>
      </c>
      <c r="AJ107" s="101"/>
      <c r="AK107" s="157"/>
      <c r="AL107" s="101"/>
      <c r="AM107" s="101"/>
      <c r="AN107" s="101"/>
      <c r="AO107" s="101"/>
      <c r="AP107" s="112" t="str">
        <f>IF(OR(ISBLANK(AI107),AI107=0),"INSERT LIKELIHOOD",IF(ABS(AI107)&lt;='Risk Matrices'!$D$22,'Risk Matrices'!$C$21,IF(ABS(AI107)&lt;='Risk Matrices'!$D$19,'Risk Matrices'!$C$18,IF(ABS(AI107)&lt;='Risk Matrices'!$D$16,'Risk Matrices'!$C$15,IF(ABS(AI107)&lt;='Risk Matrices'!$D$13,'Risk Matrices'!$C$12,'Risk Matrices'!$C$10)))))</f>
        <v>Low</v>
      </c>
      <c r="AQ107" s="112" t="str">
        <f>IF(OR(ISBLANK(AK107),AK107=0),"None",IF(ABS(AK107)&lt;='Risk Matrices'!$E$7,'Risk Matrices'!$E$5,IF(ABS(AK107)&lt;='Risk Matrices'!$G$7,'Risk Matrices'!$G$5,IF(ABS(AK107)&lt;='Risk Matrices'!$H$7,'Risk Matrices'!$H$5,'Risk Matrices'!$I$5))))</f>
        <v>None</v>
      </c>
      <c r="AR107" s="112" t="str">
        <f>IF(AN107="","",IF(ABS(AN107)&lt;='Risk Matrices'!$E$8,"Negligible",IF(ABS(AN107)&lt;='Risk Matrices'!$F$8,"Marginal",IF(ABS(AN107)&lt;='Risk Matrices'!$G$8,"Significant",IF(ABS(AN107)&lt;='Risk Matrices'!$H$8,"Critical","Crisis")))))</f>
        <v/>
      </c>
      <c r="AS107" s="103" t="s">
        <v>130</v>
      </c>
      <c r="AT107" s="298">
        <f>IF(OR(ISBLANK(AI107),AI107=0),0,VLOOKUP(AP107,'Risk Matrices'!$B$30:$C$34,2,0))</f>
        <v>2</v>
      </c>
      <c r="AU107" s="298">
        <f>IF(OR(ISBLANK(AK107),AK107=0),0,HLOOKUP(AQ107,'Risk Matrices'!$D$28:$H$29,2,0))</f>
        <v>0</v>
      </c>
      <c r="AV107" s="298" t="e">
        <f>IF(OR(ISBLANK(AR107),AR107=0),0,HLOOKUP(AR107,'Risk Matrices'!$D$28:$H$29,2,0))</f>
        <v>#N/A</v>
      </c>
      <c r="AW107" s="298">
        <f>IF(AS107="None",0,HLOOKUP(AS107,'Risk Matrices'!$D$28:$H$29,2,0))</f>
        <v>0</v>
      </c>
      <c r="AX107" s="106" t="e">
        <f t="shared" si="82"/>
        <v>#N/A</v>
      </c>
      <c r="AY107" s="106" t="e">
        <f t="shared" si="83"/>
        <v>#N/A</v>
      </c>
      <c r="AZ107" s="107" t="str">
        <f>IF(B107="Retired","Retired",IF(OR(ISBLANK(AY107),AY107=0),"TBD",IF(AY107&lt;='Risk Matrices'!$D$40,'Risk Matrices'!$B$40,IF(AY107&lt;='Risk Matrices'!$D$39,'Risk Matrices'!$B$39,'Risk Matrices'!$B$38))))</f>
        <v>Retired</v>
      </c>
      <c r="BA107" s="104"/>
      <c r="BB107" s="104"/>
      <c r="BC107" s="109" t="str">
        <f t="shared" si="84"/>
        <v>Retired</v>
      </c>
      <c r="BD107" s="104" t="s">
        <v>825</v>
      </c>
      <c r="BE107" s="104"/>
      <c r="BF107" s="104"/>
      <c r="BG107" s="197" t="s">
        <v>826</v>
      </c>
      <c r="BH107" s="104"/>
      <c r="BI107" s="874"/>
      <c r="BJ107" s="874">
        <f t="shared" si="91"/>
        <v>0</v>
      </c>
      <c r="BK107" s="101" t="s">
        <v>311</v>
      </c>
      <c r="BL107" s="116">
        <v>44903</v>
      </c>
      <c r="BM107" s="116">
        <v>44407</v>
      </c>
      <c r="BN107" s="330">
        <v>44508</v>
      </c>
      <c r="BO107" s="332"/>
      <c r="BP107" s="94">
        <f t="shared" si="99"/>
        <v>0</v>
      </c>
      <c r="BQ107" s="97" t="str">
        <f t="shared" si="85"/>
        <v xml:space="preserve"> -  - </v>
      </c>
      <c r="BR107" s="97" t="str">
        <f t="shared" si="86"/>
        <v xml:space="preserve"> -  - </v>
      </c>
      <c r="BS107" s="715">
        <f t="shared" si="87"/>
        <v>0</v>
      </c>
      <c r="BT107" s="736">
        <f t="shared" si="88"/>
        <v>0</v>
      </c>
      <c r="BU107" s="735" t="s">
        <v>828</v>
      </c>
    </row>
    <row r="108" spans="2:75" customFormat="1" ht="55.25" hidden="1" customHeight="1" x14ac:dyDescent="0.2">
      <c r="B108" s="101" t="str">
        <f t="shared" si="92"/>
        <v>Active</v>
      </c>
      <c r="C108" s="786" t="s">
        <v>833</v>
      </c>
      <c r="D108" s="118" t="s">
        <v>122</v>
      </c>
      <c r="E108" s="942" t="s">
        <v>834</v>
      </c>
      <c r="F108" s="164" t="s">
        <v>124</v>
      </c>
      <c r="G108" s="140" t="s">
        <v>835</v>
      </c>
      <c r="H108" s="101" t="str">
        <f t="shared" ref="H108:H115" si="100">C108</f>
        <v>RO-6-006-001</v>
      </c>
      <c r="I108" s="140" t="s">
        <v>360</v>
      </c>
      <c r="J108" s="101" t="s">
        <v>361</v>
      </c>
      <c r="K108" s="101" t="s">
        <v>836</v>
      </c>
      <c r="L108" s="121" t="s">
        <v>837</v>
      </c>
      <c r="M108" s="103" t="s">
        <v>197</v>
      </c>
      <c r="N108" s="105">
        <v>-15000</v>
      </c>
      <c r="O108" s="106" t="str" cm="1">
        <f t="array" ref="O108">_xlfn.IFS(N108="","",ABS(N108)&lt;='Risk Matrices'!$E$7,'Risk Matrices'!$E$5,ABS(N108)&lt;='Risk Matrices'!$F$7,'Risk Matrices'!$F$5,ABS(N108)&lt;='Risk Matrices'!$G$7,'Risk Matrices'!$G$5,ABS(N108)&lt;='Risk Matrices'!$H$7,'Risk Matrices'!$H$5,ABS(N108)&gt;'Risk Matrices'!$H$7,'Risk Matrices'!$I$5)</f>
        <v>Critical</v>
      </c>
      <c r="P108" s="106">
        <v>-24</v>
      </c>
      <c r="Q108" s="101" t="str" cm="1">
        <f t="array" ref="Q108">_xlfn.IFS(P108="","",ABS(P108)&lt;='Risk Matrices'!$E$8,'Risk Matrices'!$E$5,ABS(P108)&lt;='Risk Matrices'!$F$8,'Risk Matrices'!$F$5,ABS(P108)&lt;='Risk Matrices'!$G$8,'Risk Matrices'!$G$5,ABS(P108)&lt;='Risk Matrices'!$H$8,'Risk Matrices'!$H$5,ABS(P108)&gt;'Risk Matrices'!$H$8,'Risk Matrices'!$I$5)</f>
        <v>Critical</v>
      </c>
      <c r="R108" s="102" t="s">
        <v>307</v>
      </c>
      <c r="S108" s="106">
        <f t="shared" si="89"/>
        <v>5</v>
      </c>
      <c r="T108" s="106" cm="1">
        <f t="array" ref="T108">_xlfn.IFS(O108='Risk Matrices'!$D$28,'Risk Matrices'!$D$29,O108='Risk Matrices'!$E$28,'Risk Matrices'!$E$29,O108='Risk Matrices'!$F$28,'Risk Matrices'!$F$29,O108='Risk Matrices'!$G$28,'Risk Matrices'!$G$29,O108='Risk Matrices'!$H$28,'Risk Matrices'!$H$29)</f>
        <v>4</v>
      </c>
      <c r="U108" s="106">
        <f t="shared" si="93"/>
        <v>4</v>
      </c>
      <c r="V108" s="106">
        <f t="shared" ref="V108:V115" si="101">IF(R108="None",0,IF(R108="Negligible",1,IF(R108="Marginal",2,IF(R108="Significant",3,IF(R108="Critical",4,IF(R108="Crisis",5))))))</f>
        <v>3</v>
      </c>
      <c r="W108" s="106">
        <f t="shared" si="94"/>
        <v>4</v>
      </c>
      <c r="X108" s="106">
        <f t="shared" si="95"/>
        <v>20</v>
      </c>
      <c r="Y108" s="107" t="str">
        <f t="shared" si="90"/>
        <v>High</v>
      </c>
      <c r="Z108" s="166"/>
      <c r="AA108" s="108">
        <f t="shared" si="96"/>
        <v>0.82</v>
      </c>
      <c r="AB108" s="109">
        <f t="shared" si="97"/>
        <v>-12300</v>
      </c>
      <c r="AC108" s="119" t="s">
        <v>132</v>
      </c>
      <c r="AD108" s="104" t="s">
        <v>838</v>
      </c>
      <c r="AE108" s="104"/>
      <c r="AF108" s="103" t="s">
        <v>145</v>
      </c>
      <c r="AG108" s="103"/>
      <c r="AH108" s="853" t="s">
        <v>401</v>
      </c>
      <c r="AI108" s="160">
        <v>0.3</v>
      </c>
      <c r="AJ108" s="157">
        <v>-4000</v>
      </c>
      <c r="AK108" s="157">
        <v>-10000</v>
      </c>
      <c r="AL108" s="157">
        <v>-15000</v>
      </c>
      <c r="AM108" s="157">
        <v>-12</v>
      </c>
      <c r="AN108" s="157">
        <v>-18</v>
      </c>
      <c r="AO108" s="157">
        <v>-24</v>
      </c>
      <c r="AP108" s="112" t="str">
        <f>IF(OR(ISBLANK(AI108),AI108=0),"INSERT LIKELIHOOD",IF(ABS(AI108)&lt;='Risk Matrices'!$D$22,'Risk Matrices'!$C$21,IF(ABS(AI108)&lt;='Risk Matrices'!$D$19,'Risk Matrices'!$C$18,IF(ABS(AI108)&lt;='Risk Matrices'!$D$16,'Risk Matrices'!$C$15,IF(ABS(AI108)&lt;='Risk Matrices'!$D$13,'Risk Matrices'!$C$12,'Risk Matrices'!$C$10)))))</f>
        <v>Moderate</v>
      </c>
      <c r="AQ108" s="112" t="str">
        <f>IF(OR(ISBLANK(AK108),AK108=0),"None",IF(ABS(AK108)&lt;='Risk Matrices'!$E$7,'Risk Matrices'!$E$5,IF(ABS(AK108)&lt;='Risk Matrices'!$G$7,'Risk Matrices'!$G$5,IF(ABS(AK108)&lt;='Risk Matrices'!$H$7,'Risk Matrices'!$H$5,'Risk Matrices'!$I$5))))</f>
        <v>Critical</v>
      </c>
      <c r="AR108" s="112" t="str">
        <f>IF(AN108="","",IF(ABS(AN108)&lt;='Risk Matrices'!$E$8,"Negligible",IF(ABS(AN108)&lt;='Risk Matrices'!$F$8,"Marginal",IF(ABS(AN108)&lt;='Risk Matrices'!$G$8,"Significant",IF(ABS(AN108)&lt;='Risk Matrices'!$H$8,"Critical","Crisis")))))</f>
        <v>Critical</v>
      </c>
      <c r="AS108" s="103" t="s">
        <v>307</v>
      </c>
      <c r="AT108" s="298">
        <f>IF(OR(ISBLANK(AI108),AI108=0),0,VLOOKUP(AP108,'Risk Matrices'!$B$30:$C$34,2,0))</f>
        <v>3</v>
      </c>
      <c r="AU108" s="298">
        <f>IF(OR(ISBLANK(AK108),AK108=0),0,HLOOKUP(AQ108,'Risk Matrices'!$D$28:$H$29,2,0))</f>
        <v>4</v>
      </c>
      <c r="AV108" s="298">
        <f>IF(OR(ISBLANK(AR108),AR108=0),0,HLOOKUP(AR108,'Risk Matrices'!$D$28:$H$29,2,0))</f>
        <v>4</v>
      </c>
      <c r="AW108" s="298">
        <f>IF(OR(ISBLANK(AS108),AS108=0),0,HLOOKUP(AS108,'Risk Matrices'!$D$28:$H$29,2,0))</f>
        <v>3</v>
      </c>
      <c r="AX108" s="106">
        <f t="shared" si="82"/>
        <v>4</v>
      </c>
      <c r="AY108" s="106">
        <f t="shared" si="83"/>
        <v>12</v>
      </c>
      <c r="AZ108" s="107" t="str">
        <f>IF(B108="Retired","Retired",IF(OR(ISBLANK(AY108),AY108=0),"TBD",IF(AY108&lt;='Risk Matrices'!$D$40,'Risk Matrices'!$B$40,IF(AY108&lt;='Risk Matrices'!$D$39,'Risk Matrices'!$B$39,'Risk Matrices'!$B$38))))</f>
        <v>Moderate</v>
      </c>
      <c r="BA108" s="167"/>
      <c r="BB108" s="101" t="s">
        <v>366</v>
      </c>
      <c r="BC108" s="109">
        <f t="shared" si="84"/>
        <v>-3000</v>
      </c>
      <c r="BD108" s="185">
        <v>45375</v>
      </c>
      <c r="BE108" s="169"/>
      <c r="BF108" s="168"/>
      <c r="BG108" s="869"/>
      <c r="BH108" s="166"/>
      <c r="BI108" s="166"/>
      <c r="BJ108" s="874">
        <f t="shared" si="91"/>
        <v>-2899.9999999999995</v>
      </c>
      <c r="BK108" s="166"/>
      <c r="BL108" s="166"/>
      <c r="BM108" s="116">
        <v>44407</v>
      </c>
      <c r="BN108" s="330">
        <v>44466</v>
      </c>
      <c r="BO108" s="332"/>
      <c r="BP108" s="94">
        <f t="shared" ref="BP108:BP124" si="102">AI108*((AJ108+4*AK108+AL108)/6)</f>
        <v>-2950</v>
      </c>
      <c r="BQ108" s="97" t="str">
        <f t="shared" si="85"/>
        <v>-4000 - -10000 - -15000</v>
      </c>
      <c r="BR108" s="97" t="str">
        <f t="shared" si="86"/>
        <v>-12 - -18 - -24</v>
      </c>
      <c r="BS108" s="715">
        <f t="shared" si="87"/>
        <v>-2899.9999999999995</v>
      </c>
      <c r="BT108" s="736">
        <f t="shared" si="88"/>
        <v>-5.3999999999999995</v>
      </c>
      <c r="BU108" s="735" t="s">
        <v>839</v>
      </c>
      <c r="BV108" s="873">
        <v>45412</v>
      </c>
      <c r="BW108">
        <f t="shared" ref="BW108:BW115" si="103">BV108-BN108</f>
        <v>946</v>
      </c>
    </row>
    <row r="109" spans="2:75" customFormat="1" ht="48" hidden="1" x14ac:dyDescent="0.2">
      <c r="B109" s="356" t="str">
        <f t="shared" si="92"/>
        <v>Retired</v>
      </c>
      <c r="C109" s="786" t="s">
        <v>840</v>
      </c>
      <c r="D109" s="118" t="s">
        <v>122</v>
      </c>
      <c r="E109" s="942" t="s">
        <v>834</v>
      </c>
      <c r="F109" s="164" t="s">
        <v>124</v>
      </c>
      <c r="G109" s="140" t="s">
        <v>835</v>
      </c>
      <c r="H109" s="101" t="str">
        <f t="shared" si="100"/>
        <v>RO-6-006-002-LLP-CD3A</v>
      </c>
      <c r="I109" s="140" t="s">
        <v>360</v>
      </c>
      <c r="J109" s="101" t="s">
        <v>361</v>
      </c>
      <c r="K109" s="144" t="s">
        <v>841</v>
      </c>
      <c r="L109" s="104" t="s">
        <v>842</v>
      </c>
      <c r="M109" s="103" t="s">
        <v>379</v>
      </c>
      <c r="N109" s="345">
        <v>-640</v>
      </c>
      <c r="O109" s="106" t="str" cm="1">
        <f t="array" ref="O109">_xlfn.IFS(N109="","",ABS(N109)&lt;='Risk Matrices'!$E$7,'Risk Matrices'!$E$5,ABS(N109)&lt;='Risk Matrices'!$F$7,'Risk Matrices'!$F$5,ABS(N109)&lt;='Risk Matrices'!$G$7,'Risk Matrices'!$G$5,ABS(N109)&lt;='Risk Matrices'!$H$7,'Risk Matrices'!$H$5,ABS(N109)&gt;'Risk Matrices'!$H$7,'Risk Matrices'!$I$5)</f>
        <v>Marginal</v>
      </c>
      <c r="P109" s="345">
        <v>-6</v>
      </c>
      <c r="Q109" s="101" t="str" cm="1">
        <f t="array" ref="Q109">_xlfn.IFS(P109="","",ABS(P109)&lt;='Risk Matrices'!$E$8,'Risk Matrices'!$E$5,ABS(P109)&lt;='Risk Matrices'!$F$8,'Risk Matrices'!$F$5,ABS(P109)&lt;='Risk Matrices'!$G$8,'Risk Matrices'!$G$5,ABS(P109)&lt;='Risk Matrices'!$H$8,'Risk Matrices'!$H$5,ABS(P109)&gt;'Risk Matrices'!$H$8,'Risk Matrices'!$I$5)</f>
        <v>Marginal</v>
      </c>
      <c r="R109" s="346" t="s">
        <v>406</v>
      </c>
      <c r="S109" s="106">
        <f t="shared" si="89"/>
        <v>1</v>
      </c>
      <c r="T109" s="106" cm="1">
        <f t="array" ref="T109">_xlfn.IFS(O109='Risk Matrices'!$D$28,'Risk Matrices'!$D$29,O109='Risk Matrices'!$E$28,'Risk Matrices'!$E$29,O109='Risk Matrices'!$F$28,'Risk Matrices'!$F$29,O109='Risk Matrices'!$G$28,'Risk Matrices'!$G$29,O109='Risk Matrices'!$H$28,'Risk Matrices'!$H$29)</f>
        <v>2</v>
      </c>
      <c r="U109" s="106">
        <f t="shared" si="93"/>
        <v>2</v>
      </c>
      <c r="V109" s="106">
        <f t="shared" si="101"/>
        <v>4</v>
      </c>
      <c r="W109" s="106">
        <f t="shared" si="94"/>
        <v>4</v>
      </c>
      <c r="X109" s="106">
        <f t="shared" si="95"/>
        <v>4</v>
      </c>
      <c r="Y109" s="165" t="str">
        <f t="shared" si="90"/>
        <v>Low</v>
      </c>
      <c r="Z109" s="347"/>
      <c r="AA109" s="108">
        <f t="shared" si="96"/>
        <v>0.05</v>
      </c>
      <c r="AB109" s="109">
        <f t="shared" si="97"/>
        <v>-32</v>
      </c>
      <c r="AC109" s="109" t="s">
        <v>143</v>
      </c>
      <c r="AD109" s="145" t="s">
        <v>843</v>
      </c>
      <c r="AE109" s="145"/>
      <c r="AF109" s="144" t="s">
        <v>421</v>
      </c>
      <c r="AG109" s="144"/>
      <c r="AH109" s="347" t="s">
        <v>844</v>
      </c>
      <c r="AI109" s="878">
        <v>0.05</v>
      </c>
      <c r="AJ109" s="101">
        <v>-400</v>
      </c>
      <c r="AK109" s="101">
        <v>-600</v>
      </c>
      <c r="AL109" s="101">
        <v>-800</v>
      </c>
      <c r="AM109" s="101">
        <v>-3</v>
      </c>
      <c r="AN109" s="101">
        <v>-6</v>
      </c>
      <c r="AO109" s="101">
        <v>-9</v>
      </c>
      <c r="AP109" s="112" t="str">
        <f>IF(OR(ISBLANK(AI109),AI109=0),"INSERT LIKELIHOOD",IF(ABS(AI109)&lt;='Risk Matrices'!$D$22,'Risk Matrices'!$C$21,IF(ABS(AI109)&lt;='Risk Matrices'!$D$19,'Risk Matrices'!$C$18,IF(ABS(AI109)&lt;='Risk Matrices'!$D$16,'Risk Matrices'!$C$15,IF(ABS(AI109)&lt;='Risk Matrices'!$D$13,'Risk Matrices'!$C$12,'Risk Matrices'!$C$10)))))</f>
        <v>Very Low</v>
      </c>
      <c r="AQ109" s="112" t="str">
        <f>IF(OR(ISBLANK(AK109),AK109=0),"None",IF(ABS(AK109)&lt;='Risk Matrices'!$E$7,'Risk Matrices'!$E$5,IF(ABS(AK109)&lt;='Risk Matrices'!$G$7,'Risk Matrices'!$G$5,IF(ABS(AK109)&lt;='Risk Matrices'!$H$7,'Risk Matrices'!$H$5,'Risk Matrices'!$I$5))))</f>
        <v>Significant</v>
      </c>
      <c r="AR109" s="112" t="str">
        <f>IF(AN109="","",IF(ABS(AN109)&lt;='Risk Matrices'!$E$8,"Negligible",IF(ABS(AN109)&lt;='Risk Matrices'!$F$8,"Marginal",IF(ABS(AN109)&lt;='Risk Matrices'!$G$8,"Significant",IF(ABS(AN109)&lt;='Risk Matrices'!$H$8,"Critical","Crisis")))))</f>
        <v>Marginal</v>
      </c>
      <c r="AS109" s="161" t="s">
        <v>207</v>
      </c>
      <c r="AT109" s="298">
        <f>IF(OR(ISBLANK(AI109),AI109=0),0,VLOOKUP(AP109,'Risk Matrices'!$B$30:$C$34,2,0))</f>
        <v>1</v>
      </c>
      <c r="AU109" s="298">
        <f>IF(OR(ISBLANK(AK109),AK109=0),0,HLOOKUP(AQ109,'Risk Matrices'!$D$28:$H$29,2,0))</f>
        <v>3</v>
      </c>
      <c r="AV109" s="298">
        <f>IF(OR(ISBLANK(AR109),AR109=0),0,HLOOKUP(AR109,'Risk Matrices'!$D$28:$H$29,2,0))</f>
        <v>2</v>
      </c>
      <c r="AW109" s="298">
        <f>IF(OR(ISBLANK(AS109),AS109=0),0,HLOOKUP(AS109,'Risk Matrices'!$D$28:$H$29,2,0))</f>
        <v>1</v>
      </c>
      <c r="AX109" s="106">
        <f t="shared" si="82"/>
        <v>3</v>
      </c>
      <c r="AY109" s="106">
        <f t="shared" si="83"/>
        <v>3</v>
      </c>
      <c r="AZ109" s="107" t="str">
        <f>IF(B109="Retired","Retired",IF(OR(ISBLANK(AY109),AY109=0),"TBD",IF(AY109&lt;='Risk Matrices'!$D$40,'Risk Matrices'!$B$40,IF(AY109&lt;='Risk Matrices'!$D$39,'Risk Matrices'!$B$39,'Risk Matrices'!$B$38))))</f>
        <v>Retired</v>
      </c>
      <c r="BA109" s="112"/>
      <c r="BB109" s="113" t="s">
        <v>845</v>
      </c>
      <c r="BC109" s="109" t="str">
        <f t="shared" si="84"/>
        <v>Retired</v>
      </c>
      <c r="BD109" s="185">
        <v>45315</v>
      </c>
      <c r="BE109" s="114"/>
      <c r="BF109" s="115"/>
      <c r="BG109" s="115" t="s">
        <v>846</v>
      </c>
      <c r="BH109" s="115" t="s">
        <v>847</v>
      </c>
      <c r="BI109" s="115"/>
      <c r="BJ109" s="874">
        <f t="shared" si="91"/>
        <v>-30</v>
      </c>
      <c r="BK109" s="101" t="s">
        <v>375</v>
      </c>
      <c r="BL109" s="116">
        <v>45451</v>
      </c>
      <c r="BM109" s="116">
        <v>44630</v>
      </c>
      <c r="BN109" s="330">
        <v>44995</v>
      </c>
      <c r="BO109" s="332"/>
      <c r="BP109" s="94">
        <f t="shared" si="102"/>
        <v>-30</v>
      </c>
      <c r="BQ109" s="97" t="str">
        <f t="shared" si="85"/>
        <v>-400 - -600 - -800</v>
      </c>
      <c r="BR109" s="97" t="str">
        <f t="shared" si="86"/>
        <v>-3 - -6 - -9</v>
      </c>
      <c r="BS109" s="715">
        <f t="shared" si="87"/>
        <v>-30</v>
      </c>
      <c r="BT109" s="736">
        <f t="shared" si="88"/>
        <v>-0.3</v>
      </c>
      <c r="BU109" s="735"/>
      <c r="BV109" s="873">
        <v>45382</v>
      </c>
      <c r="BW109">
        <f t="shared" si="103"/>
        <v>387</v>
      </c>
    </row>
    <row r="110" spans="2:75" customFormat="1" ht="45" hidden="1" x14ac:dyDescent="0.2">
      <c r="B110" s="101" t="str">
        <f t="shared" si="92"/>
        <v>Active</v>
      </c>
      <c r="C110" s="786" t="s">
        <v>848</v>
      </c>
      <c r="D110" s="101" t="s">
        <v>151</v>
      </c>
      <c r="E110" s="942" t="s">
        <v>834</v>
      </c>
      <c r="F110" s="164" t="s">
        <v>124</v>
      </c>
      <c r="G110" s="140" t="s">
        <v>835</v>
      </c>
      <c r="H110" s="132" t="str">
        <f t="shared" si="100"/>
        <v>RT-6-006-002</v>
      </c>
      <c r="I110" s="140" t="s">
        <v>849</v>
      </c>
      <c r="J110" s="131" t="s">
        <v>559</v>
      </c>
      <c r="K110" s="101" t="s">
        <v>850</v>
      </c>
      <c r="L110" s="104" t="s">
        <v>851</v>
      </c>
      <c r="M110" s="103" t="s">
        <v>129</v>
      </c>
      <c r="N110" s="105">
        <v>1000</v>
      </c>
      <c r="O110" s="106" t="str" cm="1">
        <f t="array" ref="O110">_xlfn.IFS(N110="","",ABS(N110)&lt;='Risk Matrices'!$E$7,'Risk Matrices'!$E$5,ABS(N110)&lt;='Risk Matrices'!$F$7,'Risk Matrices'!$F$5,ABS(N110)&lt;='Risk Matrices'!$G$7,'Risk Matrices'!$G$5,ABS(N110)&lt;='Risk Matrices'!$H$7,'Risk Matrices'!$H$5,ABS(N110)&gt;'Risk Matrices'!$H$7,'Risk Matrices'!$I$5)</f>
        <v>Marginal</v>
      </c>
      <c r="P110" s="106">
        <v>0</v>
      </c>
      <c r="Q110" s="101" t="str" cm="1">
        <f t="array" ref="Q110">_xlfn.IFS(P110="","",ABS(P110)&lt;='Risk Matrices'!$E$8,'Risk Matrices'!$E$5,ABS(P110)&lt;='Risk Matrices'!$F$8,'Risk Matrices'!$F$5,ABS(P110)&lt;='Risk Matrices'!$G$8,'Risk Matrices'!$G$5,ABS(P110)&lt;='Risk Matrices'!$H$8,'Risk Matrices'!$H$5,ABS(P110)&gt;'Risk Matrices'!$H$8,'Risk Matrices'!$I$5)</f>
        <v>Negligible</v>
      </c>
      <c r="R110" s="101" t="s">
        <v>130</v>
      </c>
      <c r="S110" s="106">
        <f t="shared" si="89"/>
        <v>4</v>
      </c>
      <c r="T110" s="106" cm="1">
        <f t="array" ref="T110">_xlfn.IFS(O110='Risk Matrices'!$D$28,'Risk Matrices'!$D$29,O110='Risk Matrices'!$E$28,'Risk Matrices'!$E$29,O110='Risk Matrices'!$F$28,'Risk Matrices'!$F$29,O110='Risk Matrices'!$G$28,'Risk Matrices'!$G$29,O110='Risk Matrices'!$H$28,'Risk Matrices'!$H$29)</f>
        <v>2</v>
      </c>
      <c r="U110" s="106">
        <f t="shared" si="93"/>
        <v>1</v>
      </c>
      <c r="V110" s="106">
        <f t="shared" si="101"/>
        <v>0</v>
      </c>
      <c r="W110" s="106">
        <f t="shared" si="94"/>
        <v>2</v>
      </c>
      <c r="X110" s="106">
        <f t="shared" si="95"/>
        <v>8</v>
      </c>
      <c r="Y110" s="107" t="str">
        <f t="shared" si="90"/>
        <v>Moderate</v>
      </c>
      <c r="Z110" s="104"/>
      <c r="AA110" s="108">
        <f t="shared" si="96"/>
        <v>0.52</v>
      </c>
      <c r="AB110" s="109">
        <f t="shared" si="97"/>
        <v>520</v>
      </c>
      <c r="AC110" s="109" t="s">
        <v>155</v>
      </c>
      <c r="AD110" s="104" t="s">
        <v>852</v>
      </c>
      <c r="AE110" s="104"/>
      <c r="AF110" s="103" t="s">
        <v>200</v>
      </c>
      <c r="AG110" s="103"/>
      <c r="AH110" s="101" t="s">
        <v>853</v>
      </c>
      <c r="AI110" s="112">
        <v>0.5</v>
      </c>
      <c r="AJ110" s="127">
        <v>1000</v>
      </c>
      <c r="AK110" s="127">
        <v>1000</v>
      </c>
      <c r="AL110" s="127">
        <v>1000</v>
      </c>
      <c r="AM110" s="140">
        <v>0</v>
      </c>
      <c r="AN110" s="140">
        <v>0</v>
      </c>
      <c r="AO110" s="140">
        <v>0</v>
      </c>
      <c r="AP110" s="112" t="str">
        <f>IF(OR(ISBLANK(AI110),AI110=0),"INSERT LIKELIHOOD",IF(ABS(AI110)&lt;='Risk Matrices'!$D$22,'Risk Matrices'!$C$21,IF(ABS(AI110)&lt;='Risk Matrices'!$D$19,'Risk Matrices'!$C$18,IF(ABS(AI110)&lt;='Risk Matrices'!$D$16,'Risk Matrices'!$C$15,IF(ABS(AI110)&lt;='Risk Matrices'!$D$13,'Risk Matrices'!$C$12,'Risk Matrices'!$C$10)))))</f>
        <v>High</v>
      </c>
      <c r="AQ110" s="112" t="str">
        <f>IF(OR(ISBLANK(AK110),AK110=0),"None",IF(ABS(AK110)&lt;='Risk Matrices'!$E$7,'Risk Matrices'!$E$5,IF(ABS(AK110)&lt;='Risk Matrices'!$G$7,'Risk Matrices'!$G$5,IF(ABS(AK110)&lt;='Risk Matrices'!$H$7,'Risk Matrices'!$H$5,'Risk Matrices'!$I$5))))</f>
        <v>Significant</v>
      </c>
      <c r="AR110" s="112" t="str">
        <f>IF(AN110="","",IF(ABS(AN110)&lt;='Risk Matrices'!$E$8,"Negligible",IF(ABS(AN110)&lt;='Risk Matrices'!$F$8,"Marginal",IF(ABS(AN110)&lt;='Risk Matrices'!$G$8,"Significant",IF(ABS(AN110)&lt;='Risk Matrices'!$H$8,"Critical","Crisis")))))</f>
        <v>Negligible</v>
      </c>
      <c r="AS110" s="103" t="s">
        <v>280</v>
      </c>
      <c r="AT110" s="298">
        <f>IF(OR(ISBLANK(AI110),AI110=0),0,VLOOKUP(AP110,'Risk Matrices'!$B$30:$C$34,2,0))</f>
        <v>4</v>
      </c>
      <c r="AU110" s="298">
        <f>IF(OR(ISBLANK(AK110),AK110=0),0,HLOOKUP(AQ110,'Risk Matrices'!$D$28:$H$29,2,0))</f>
        <v>3</v>
      </c>
      <c r="AV110" s="298">
        <f>IF(OR(ISBLANK(AR110),AR110=0),0,HLOOKUP(AR110,'Risk Matrices'!$D$28:$H$29,2,0))</f>
        <v>1</v>
      </c>
      <c r="AW110" s="298">
        <f>IF(AS110="None",0,HLOOKUP(AS110,'Risk Matrices'!$D$28:$H$29,2,0))</f>
        <v>2</v>
      </c>
      <c r="AX110" s="106">
        <f t="shared" si="82"/>
        <v>3</v>
      </c>
      <c r="AY110" s="106">
        <f t="shared" si="83"/>
        <v>12</v>
      </c>
      <c r="AZ110" s="107" t="str">
        <f>IF(B110="Retired","Retired",IF(OR(ISBLANK(AY110),AY110=0),"TBD",IF(AY110&lt;='Risk Matrices'!$D$40,'Risk Matrices'!$B$40,IF(AY110&lt;='Risk Matrices'!$D$39,'Risk Matrices'!$B$39,'Risk Matrices'!$B$38))))</f>
        <v>Moderate</v>
      </c>
      <c r="BA110" s="112"/>
      <c r="BB110" s="101" t="s">
        <v>366</v>
      </c>
      <c r="BC110" s="109">
        <f t="shared" si="84"/>
        <v>500</v>
      </c>
      <c r="BD110" s="929">
        <v>45320</v>
      </c>
      <c r="BE110" s="114"/>
      <c r="BF110" s="115"/>
      <c r="BG110" s="115"/>
      <c r="BH110" s="104"/>
      <c r="BI110" s="168"/>
      <c r="BJ110" s="874">
        <f t="shared" si="91"/>
        <v>500</v>
      </c>
      <c r="BK110" s="166"/>
      <c r="BL110" s="166"/>
      <c r="BM110" s="116">
        <v>44012</v>
      </c>
      <c r="BN110" s="330">
        <v>44134</v>
      </c>
      <c r="BO110" s="332"/>
      <c r="BP110" s="94">
        <f t="shared" si="102"/>
        <v>500</v>
      </c>
      <c r="BQ110" s="97" t="str">
        <f t="shared" si="85"/>
        <v>1000 - 1000 - 1000</v>
      </c>
      <c r="BR110" s="97" t="str">
        <f t="shared" si="86"/>
        <v>0 - 0 - 0</v>
      </c>
      <c r="BS110" s="715">
        <f t="shared" si="87"/>
        <v>500</v>
      </c>
      <c r="BT110" s="736">
        <f t="shared" si="88"/>
        <v>0</v>
      </c>
      <c r="BU110" s="735" t="s">
        <v>854</v>
      </c>
      <c r="BV110" s="873">
        <v>45382</v>
      </c>
      <c r="BW110">
        <f t="shared" si="103"/>
        <v>1248</v>
      </c>
    </row>
    <row r="111" spans="2:75" customFormat="1" ht="45" hidden="1" x14ac:dyDescent="0.2">
      <c r="B111" s="101" t="str">
        <f t="shared" si="92"/>
        <v>Retired</v>
      </c>
      <c r="C111" s="786" t="s">
        <v>855</v>
      </c>
      <c r="D111" s="101" t="s">
        <v>151</v>
      </c>
      <c r="E111" s="942" t="s">
        <v>834</v>
      </c>
      <c r="F111" s="164" t="s">
        <v>124</v>
      </c>
      <c r="G111" s="140" t="s">
        <v>835</v>
      </c>
      <c r="H111" s="132" t="str">
        <f t="shared" si="100"/>
        <v>RT-6-006-003</v>
      </c>
      <c r="I111" s="140" t="s">
        <v>849</v>
      </c>
      <c r="J111" s="131" t="s">
        <v>559</v>
      </c>
      <c r="K111" s="101" t="s">
        <v>856</v>
      </c>
      <c r="L111" s="104" t="s">
        <v>857</v>
      </c>
      <c r="M111" s="103" t="s">
        <v>129</v>
      </c>
      <c r="N111" s="105">
        <v>500</v>
      </c>
      <c r="O111" s="106" t="str" cm="1">
        <f t="array" ref="O111">_xlfn.IFS(N111="","",ABS(N111)&lt;='Risk Matrices'!$E$7,'Risk Matrices'!$E$5,ABS(N111)&lt;='Risk Matrices'!$F$7,'Risk Matrices'!$F$5,ABS(N111)&lt;='Risk Matrices'!$G$7,'Risk Matrices'!$G$5,ABS(N111)&lt;='Risk Matrices'!$H$7,'Risk Matrices'!$H$5,ABS(N111)&gt;'Risk Matrices'!$H$7,'Risk Matrices'!$I$5)</f>
        <v>Marginal</v>
      </c>
      <c r="P111" s="106">
        <v>0</v>
      </c>
      <c r="Q111" s="101" t="str" cm="1">
        <f t="array" ref="Q111">_xlfn.IFS(P111="","",ABS(P111)&lt;='Risk Matrices'!$E$8,'Risk Matrices'!$E$5,ABS(P111)&lt;='Risk Matrices'!$F$8,'Risk Matrices'!$F$5,ABS(P111)&lt;='Risk Matrices'!$G$8,'Risk Matrices'!$G$5,ABS(P111)&lt;='Risk Matrices'!$H$8,'Risk Matrices'!$H$5,ABS(P111)&gt;'Risk Matrices'!$H$8,'Risk Matrices'!$I$5)</f>
        <v>Negligible</v>
      </c>
      <c r="R111" s="101" t="s">
        <v>130</v>
      </c>
      <c r="S111" s="106">
        <f t="shared" si="89"/>
        <v>4</v>
      </c>
      <c r="T111" s="106" cm="1">
        <f t="array" ref="T111">_xlfn.IFS(O111='Risk Matrices'!$D$28,'Risk Matrices'!$D$29,O111='Risk Matrices'!$E$28,'Risk Matrices'!$E$29,O111='Risk Matrices'!$F$28,'Risk Matrices'!$F$29,O111='Risk Matrices'!$G$28,'Risk Matrices'!$G$29,O111='Risk Matrices'!$H$28,'Risk Matrices'!$H$29)</f>
        <v>2</v>
      </c>
      <c r="U111" s="106">
        <f t="shared" si="93"/>
        <v>1</v>
      </c>
      <c r="V111" s="106">
        <f t="shared" si="101"/>
        <v>0</v>
      </c>
      <c r="W111" s="106">
        <f t="shared" si="94"/>
        <v>2</v>
      </c>
      <c r="X111" s="106">
        <f t="shared" si="95"/>
        <v>8</v>
      </c>
      <c r="Y111" s="107" t="str">
        <f t="shared" si="90"/>
        <v>Moderate</v>
      </c>
      <c r="Z111" s="104"/>
      <c r="AA111" s="108">
        <f t="shared" si="96"/>
        <v>0.52</v>
      </c>
      <c r="AB111" s="109">
        <f t="shared" si="97"/>
        <v>260</v>
      </c>
      <c r="AC111" s="109" t="s">
        <v>155</v>
      </c>
      <c r="AD111" s="104" t="s">
        <v>858</v>
      </c>
      <c r="AE111" s="104"/>
      <c r="AF111" s="103" t="s">
        <v>145</v>
      </c>
      <c r="AG111" s="103"/>
      <c r="AH111" s="101" t="s">
        <v>859</v>
      </c>
      <c r="AI111" s="112">
        <v>0.5</v>
      </c>
      <c r="AJ111" s="127">
        <v>500</v>
      </c>
      <c r="AK111" s="127">
        <v>500</v>
      </c>
      <c r="AL111" s="127">
        <v>500</v>
      </c>
      <c r="AM111" s="140">
        <v>0</v>
      </c>
      <c r="AN111" s="140">
        <v>0</v>
      </c>
      <c r="AO111" s="140">
        <v>0</v>
      </c>
      <c r="AP111" s="112" t="str">
        <f>IF(OR(ISBLANK(AI111),AI111=0),"INSERT LIKELIHOOD",IF(ABS(AI111)&lt;='Risk Matrices'!$D$22,'Risk Matrices'!$C$21,IF(ABS(AI111)&lt;='Risk Matrices'!$D$19,'Risk Matrices'!$C$18,IF(ABS(AI111)&lt;='Risk Matrices'!$D$16,'Risk Matrices'!$C$15,IF(ABS(AI111)&lt;='Risk Matrices'!$D$13,'Risk Matrices'!$C$12,'Risk Matrices'!$C$10)))))</f>
        <v>High</v>
      </c>
      <c r="AQ111" s="112" t="str">
        <f>IF(OR(ISBLANK(AK111),AK111=0),"None",IF(ABS(AK111)&lt;='Risk Matrices'!$E$7,'Risk Matrices'!$E$5,IF(ABS(AK111)&lt;='Risk Matrices'!$G$7,'Risk Matrices'!$G$5,IF(ABS(AK111)&lt;='Risk Matrices'!$H$7,'Risk Matrices'!$H$5,'Risk Matrices'!$I$5))))</f>
        <v>Significant</v>
      </c>
      <c r="AR111" s="112" t="str">
        <f>IF(AN111="","",IF(ABS(AN111)&lt;='Risk Matrices'!$E$8,"Negligible",IF(ABS(AN111)&lt;='Risk Matrices'!$F$8,"Marginal",IF(ABS(AN111)&lt;='Risk Matrices'!$G$8,"Significant",IF(ABS(AN111)&lt;='Risk Matrices'!$H$8,"Critical","Crisis")))))</f>
        <v>Negligible</v>
      </c>
      <c r="AS111" s="103" t="s">
        <v>130</v>
      </c>
      <c r="AT111" s="298">
        <f>IF(OR(ISBLANK(AI111),AI111=0),0,VLOOKUP(AP111,'Risk Matrices'!$B$30:$C$34,2,0))</f>
        <v>4</v>
      </c>
      <c r="AU111" s="298">
        <f>IF(OR(ISBLANK(AK111),AK111=0),0,HLOOKUP(AQ111,'Risk Matrices'!$D$28:$H$29,2,0))</f>
        <v>3</v>
      </c>
      <c r="AV111" s="298">
        <f>IF(OR(ISBLANK(AR111),AR111=0),0,HLOOKUP(AR111,'Risk Matrices'!$D$28:$H$29,2,0))</f>
        <v>1</v>
      </c>
      <c r="AW111" s="298">
        <f>IF(AS111="None",0,HLOOKUP(AS111,'Risk Matrices'!$D$28:$H$29,2,0))</f>
        <v>0</v>
      </c>
      <c r="AX111" s="106">
        <f t="shared" si="82"/>
        <v>3</v>
      </c>
      <c r="AY111" s="106">
        <f t="shared" si="83"/>
        <v>12</v>
      </c>
      <c r="AZ111" s="107" t="str">
        <f>IF(B111="Retired","Retired",IF(OR(ISBLANK(AY111),AY111=0),"TBD",IF(AY111&lt;='Risk Matrices'!$D$40,'Risk Matrices'!$B$40,IF(AY111&lt;='Risk Matrices'!$D$39,'Risk Matrices'!$B$39,'Risk Matrices'!$B$38))))</f>
        <v>Retired</v>
      </c>
      <c r="BA111" s="112"/>
      <c r="BB111" s="101" t="s">
        <v>366</v>
      </c>
      <c r="BC111" s="109" t="str">
        <f t="shared" si="84"/>
        <v>Retired</v>
      </c>
      <c r="BD111" s="929">
        <v>45320</v>
      </c>
      <c r="BE111" s="114"/>
      <c r="BF111" s="115"/>
      <c r="BG111" s="115" t="s">
        <v>860</v>
      </c>
      <c r="BH111" s="104"/>
      <c r="BI111" s="166"/>
      <c r="BJ111" s="874">
        <f t="shared" si="91"/>
        <v>250</v>
      </c>
      <c r="BK111" s="166" t="s">
        <v>375</v>
      </c>
      <c r="BL111" s="181">
        <v>45421</v>
      </c>
      <c r="BM111" s="116">
        <v>44012</v>
      </c>
      <c r="BN111" s="330">
        <v>44134</v>
      </c>
      <c r="BO111" s="332"/>
      <c r="BP111" s="94">
        <f t="shared" si="102"/>
        <v>250</v>
      </c>
      <c r="BQ111" s="97" t="str">
        <f t="shared" si="85"/>
        <v>500 - 500 - 500</v>
      </c>
      <c r="BR111" s="97" t="str">
        <f t="shared" si="86"/>
        <v>0 - 0 - 0</v>
      </c>
      <c r="BS111" s="715">
        <f t="shared" si="87"/>
        <v>250</v>
      </c>
      <c r="BT111" s="736">
        <f t="shared" si="88"/>
        <v>0</v>
      </c>
      <c r="BU111" s="735" t="s">
        <v>861</v>
      </c>
      <c r="BV111" s="873">
        <v>45412</v>
      </c>
      <c r="BW111">
        <f t="shared" si="103"/>
        <v>1278</v>
      </c>
    </row>
    <row r="112" spans="2:75" customFormat="1" ht="55.25" hidden="1" customHeight="1" x14ac:dyDescent="0.2">
      <c r="B112" s="101" t="str">
        <f t="shared" si="92"/>
        <v>Active</v>
      </c>
      <c r="C112" s="784" t="s">
        <v>862</v>
      </c>
      <c r="D112" s="101" t="s">
        <v>151</v>
      </c>
      <c r="E112" s="942" t="s">
        <v>834</v>
      </c>
      <c r="F112" s="164" t="s">
        <v>124</v>
      </c>
      <c r="G112" s="140" t="s">
        <v>835</v>
      </c>
      <c r="H112" s="101" t="str">
        <f t="shared" si="100"/>
        <v>RT-6-006-004</v>
      </c>
      <c r="I112" s="140" t="s">
        <v>360</v>
      </c>
      <c r="J112" s="101" t="s">
        <v>361</v>
      </c>
      <c r="K112" s="101" t="s">
        <v>863</v>
      </c>
      <c r="L112" s="121" t="s">
        <v>864</v>
      </c>
      <c r="M112" s="103" t="s">
        <v>129</v>
      </c>
      <c r="N112" s="105">
        <v>0</v>
      </c>
      <c r="O112" s="106" t="str" cm="1">
        <f t="array" ref="O112">_xlfn.IFS(N112="","",ABS(N112)&lt;='Risk Matrices'!$E$7,'Risk Matrices'!$E$5,ABS(N112)&lt;='Risk Matrices'!$F$7,'Risk Matrices'!$F$5,ABS(N112)&lt;='Risk Matrices'!$G$7,'Risk Matrices'!$G$5,ABS(N112)&lt;='Risk Matrices'!$H$7,'Risk Matrices'!$H$5,ABS(N112)&gt;'Risk Matrices'!$H$7,'Risk Matrices'!$I$5)</f>
        <v>Negligible</v>
      </c>
      <c r="P112" s="106">
        <v>12</v>
      </c>
      <c r="Q112" s="101" t="str" cm="1">
        <f t="array" ref="Q112">_xlfn.IFS(P112="","",ABS(P112)&lt;='Risk Matrices'!$E$8,'Risk Matrices'!$E$5,ABS(P112)&lt;='Risk Matrices'!$F$8,'Risk Matrices'!$F$5,ABS(P112)&lt;='Risk Matrices'!$G$8,'Risk Matrices'!$G$5,ABS(P112)&lt;='Risk Matrices'!$H$8,'Risk Matrices'!$H$5,ABS(P112)&gt;'Risk Matrices'!$H$8,'Risk Matrices'!$I$5)</f>
        <v>Significant</v>
      </c>
      <c r="R112" s="101" t="s">
        <v>130</v>
      </c>
      <c r="S112" s="106">
        <f t="shared" si="89"/>
        <v>4</v>
      </c>
      <c r="T112" s="106" cm="1">
        <f t="array" ref="T112">_xlfn.IFS(O112='Risk Matrices'!$D$28,'Risk Matrices'!$D$29,O112='Risk Matrices'!$E$28,'Risk Matrices'!$E$29,O112='Risk Matrices'!$F$28,'Risk Matrices'!$F$29,O112='Risk Matrices'!$G$28,'Risk Matrices'!$G$29,O112='Risk Matrices'!$H$28,'Risk Matrices'!$H$29)</f>
        <v>1</v>
      </c>
      <c r="U112" s="106">
        <f t="shared" si="93"/>
        <v>3</v>
      </c>
      <c r="V112" s="106">
        <f t="shared" si="101"/>
        <v>0</v>
      </c>
      <c r="W112" s="106">
        <f t="shared" si="94"/>
        <v>3</v>
      </c>
      <c r="X112" s="106">
        <f t="shared" si="95"/>
        <v>12</v>
      </c>
      <c r="Y112" s="107" t="str">
        <f t="shared" si="90"/>
        <v>Moderate</v>
      </c>
      <c r="Z112" s="104"/>
      <c r="AA112" s="108"/>
      <c r="AB112" s="109"/>
      <c r="AC112" s="109" t="s">
        <v>155</v>
      </c>
      <c r="AD112" s="104" t="s">
        <v>865</v>
      </c>
      <c r="AE112" s="104"/>
      <c r="AF112" s="103" t="s">
        <v>145</v>
      </c>
      <c r="AG112" s="101"/>
      <c r="AH112" s="157" t="s">
        <v>866</v>
      </c>
      <c r="AI112" s="112">
        <v>0.5</v>
      </c>
      <c r="AJ112" s="127">
        <v>0</v>
      </c>
      <c r="AK112" s="127">
        <v>0</v>
      </c>
      <c r="AL112" s="127">
        <v>0</v>
      </c>
      <c r="AM112" s="140">
        <v>3</v>
      </c>
      <c r="AN112" s="140">
        <v>9</v>
      </c>
      <c r="AO112" s="140">
        <v>12</v>
      </c>
      <c r="AP112" s="112" t="str">
        <f>IF(OR(ISBLANK(AI112),AI112=0),"INSERT LIKELIHOOD",IF(ABS(AI112)&lt;='Risk Matrices'!$D$22,'Risk Matrices'!$C$21,IF(ABS(AI112)&lt;='Risk Matrices'!$D$19,'Risk Matrices'!$C$18,IF(ABS(AI112)&lt;='Risk Matrices'!$D$16,'Risk Matrices'!$C$15,IF(ABS(AI112)&lt;='Risk Matrices'!$D$13,'Risk Matrices'!$C$12,'Risk Matrices'!$C$10)))))</f>
        <v>High</v>
      </c>
      <c r="AQ112" s="112" t="str">
        <f>IF(OR(ISBLANK(AK112),AK112=0),"None",IF(ABS(AK112)&lt;='Risk Matrices'!$E$7,'Risk Matrices'!$E$5,IF(ABS(AK112)&lt;='Risk Matrices'!$G$7,'Risk Matrices'!$G$5,IF(ABS(AK112)&lt;='Risk Matrices'!$H$7,'Risk Matrices'!$H$5,'Risk Matrices'!$I$5))))</f>
        <v>None</v>
      </c>
      <c r="AR112" s="112" t="str">
        <f>IF(AN112="","",IF(ABS(AN112)&lt;='Risk Matrices'!$E$8,"Negligible",IF(ABS(AN112)&lt;='Risk Matrices'!$F$8,"Marginal",IF(ABS(AN112)&lt;='Risk Matrices'!$G$8,"Significant",IF(ABS(AN112)&lt;='Risk Matrices'!$H$8,"Critical","Crisis")))))</f>
        <v>Significant</v>
      </c>
      <c r="AS112" s="103" t="s">
        <v>130</v>
      </c>
      <c r="AT112" s="298">
        <f>IF(OR(ISBLANK(AI112),AI112=0),0,VLOOKUP(AP112,'Risk Matrices'!$B$30:$C$34,2,0))</f>
        <v>4</v>
      </c>
      <c r="AU112" s="298">
        <f>IF(OR(ISBLANK(AK112),AK112=0),0,HLOOKUP(AQ112,'Risk Matrices'!$D$28:$H$29,2,0))</f>
        <v>0</v>
      </c>
      <c r="AV112" s="298">
        <f>IF(OR(ISBLANK(AR112),AR112=0),0,HLOOKUP(AR112,'Risk Matrices'!$D$28:$H$29,2,0))</f>
        <v>3</v>
      </c>
      <c r="AW112" s="298">
        <f>IF(AS112="None",0,HLOOKUP(AS112,'Risk Matrices'!$D$28:$H$29,2,0))</f>
        <v>0</v>
      </c>
      <c r="AX112" s="106">
        <f t="shared" si="82"/>
        <v>3</v>
      </c>
      <c r="AY112" s="106">
        <f t="shared" si="83"/>
        <v>12</v>
      </c>
      <c r="AZ112" s="107" t="str">
        <f>IF(B112="Retired","Retired",IF(OR(ISBLANK(AY112),AY112=0),"TBD",IF(AY112&lt;='Risk Matrices'!$D$40,'Risk Matrices'!$B$40,IF(AY112&lt;='Risk Matrices'!$D$39,'Risk Matrices'!$B$39,'Risk Matrices'!$B$38))))</f>
        <v>Moderate</v>
      </c>
      <c r="BA112" s="112"/>
      <c r="BB112" s="101" t="s">
        <v>366</v>
      </c>
      <c r="BC112" s="109">
        <f t="shared" si="84"/>
        <v>0</v>
      </c>
      <c r="BD112" s="185">
        <v>45315</v>
      </c>
      <c r="BE112" s="114"/>
      <c r="BF112" s="115"/>
      <c r="BG112" s="115"/>
      <c r="BH112" s="104"/>
      <c r="BI112" s="166"/>
      <c r="BJ112" s="874">
        <f t="shared" si="91"/>
        <v>0</v>
      </c>
      <c r="BK112" s="166"/>
      <c r="BL112" s="166"/>
      <c r="BM112" s="116">
        <v>44932</v>
      </c>
      <c r="BN112" s="330">
        <v>44932</v>
      </c>
      <c r="BO112" s="332"/>
      <c r="BP112" s="94">
        <f t="shared" si="102"/>
        <v>0</v>
      </c>
      <c r="BQ112" s="97" t="str">
        <f t="shared" si="85"/>
        <v>0 - 0 - 0</v>
      </c>
      <c r="BR112" s="97" t="str">
        <f t="shared" si="86"/>
        <v>3 - 9 - 12</v>
      </c>
      <c r="BS112" s="715"/>
      <c r="BT112" s="736">
        <f t="shared" si="88"/>
        <v>4</v>
      </c>
      <c r="BU112" s="735" t="s">
        <v>867</v>
      </c>
      <c r="BV112" s="873">
        <v>45382</v>
      </c>
      <c r="BW112">
        <f t="shared" si="103"/>
        <v>450</v>
      </c>
    </row>
    <row r="113" spans="2:75" customFormat="1" ht="55.25" hidden="1" customHeight="1" x14ac:dyDescent="0.2">
      <c r="B113" s="101" t="str">
        <f t="shared" si="92"/>
        <v>Active</v>
      </c>
      <c r="C113" s="786" t="s">
        <v>868</v>
      </c>
      <c r="D113" s="101" t="s">
        <v>151</v>
      </c>
      <c r="E113" s="942" t="s">
        <v>834</v>
      </c>
      <c r="F113" s="164" t="s">
        <v>124</v>
      </c>
      <c r="G113" s="140" t="s">
        <v>835</v>
      </c>
      <c r="H113" s="101" t="str">
        <f t="shared" si="100"/>
        <v>RT-6-006-005</v>
      </c>
      <c r="I113" s="140" t="s">
        <v>360</v>
      </c>
      <c r="J113" s="101" t="s">
        <v>361</v>
      </c>
      <c r="K113" s="101" t="s">
        <v>869</v>
      </c>
      <c r="L113" s="121" t="s">
        <v>870</v>
      </c>
      <c r="M113" s="103" t="s">
        <v>129</v>
      </c>
      <c r="N113" s="105">
        <v>0</v>
      </c>
      <c r="O113" s="106" t="str" cm="1">
        <f t="array" ref="O113">_xlfn.IFS(N113="","",ABS(N113)&lt;='Risk Matrices'!$E$7,'Risk Matrices'!$E$5,ABS(N113)&lt;='Risk Matrices'!$F$7,'Risk Matrices'!$F$5,ABS(N113)&lt;='Risk Matrices'!$G$7,'Risk Matrices'!$G$5,ABS(N113)&lt;='Risk Matrices'!$H$7,'Risk Matrices'!$H$5,ABS(N113)&gt;'Risk Matrices'!$H$7,'Risk Matrices'!$I$5)</f>
        <v>Negligible</v>
      </c>
      <c r="P113" s="106">
        <v>18</v>
      </c>
      <c r="Q113" s="101" t="str" cm="1">
        <f t="array" ref="Q113">_xlfn.IFS(P113="","",ABS(P113)&lt;='Risk Matrices'!$E$8,'Risk Matrices'!$E$5,ABS(P113)&lt;='Risk Matrices'!$F$8,'Risk Matrices'!$F$5,ABS(P113)&lt;='Risk Matrices'!$G$8,'Risk Matrices'!$G$5,ABS(P113)&lt;='Risk Matrices'!$H$8,'Risk Matrices'!$H$5,ABS(P113)&gt;'Risk Matrices'!$H$8,'Risk Matrices'!$I$5)</f>
        <v>Critical</v>
      </c>
      <c r="R113" s="102" t="s">
        <v>130</v>
      </c>
      <c r="S113" s="106">
        <f t="shared" si="89"/>
        <v>4</v>
      </c>
      <c r="T113" s="106" cm="1">
        <f t="array" ref="T113">_xlfn.IFS(O113='Risk Matrices'!$D$28,'Risk Matrices'!$D$29,O113='Risk Matrices'!$E$28,'Risk Matrices'!$E$29,O113='Risk Matrices'!$F$28,'Risk Matrices'!$F$29,O113='Risk Matrices'!$G$28,'Risk Matrices'!$G$29,O113='Risk Matrices'!$H$28,'Risk Matrices'!$H$29)</f>
        <v>1</v>
      </c>
      <c r="U113" s="106">
        <f t="shared" si="93"/>
        <v>4</v>
      </c>
      <c r="V113" s="106">
        <f t="shared" si="101"/>
        <v>0</v>
      </c>
      <c r="W113" s="106">
        <f t="shared" si="94"/>
        <v>4</v>
      </c>
      <c r="X113" s="106">
        <f t="shared" si="95"/>
        <v>16</v>
      </c>
      <c r="Y113" s="107" t="str">
        <f t="shared" si="90"/>
        <v>High</v>
      </c>
      <c r="Z113" s="104"/>
      <c r="AA113" s="108"/>
      <c r="AB113" s="109"/>
      <c r="AC113" s="109" t="s">
        <v>155</v>
      </c>
      <c r="AD113" s="104" t="s">
        <v>871</v>
      </c>
      <c r="AE113" s="104"/>
      <c r="AF113" s="101" t="s">
        <v>619</v>
      </c>
      <c r="AG113" s="101"/>
      <c r="AH113" s="157" t="s">
        <v>872</v>
      </c>
      <c r="AI113" s="112">
        <v>0.5</v>
      </c>
      <c r="AJ113" s="127">
        <v>0</v>
      </c>
      <c r="AK113" s="127">
        <v>0</v>
      </c>
      <c r="AL113" s="127">
        <v>0</v>
      </c>
      <c r="AM113" s="140">
        <v>6</v>
      </c>
      <c r="AN113" s="140">
        <v>12</v>
      </c>
      <c r="AO113" s="140">
        <v>18</v>
      </c>
      <c r="AP113" s="112" t="str">
        <f>IF(OR(ISBLANK(AI113),AI113=0),"INSERT LIKELIHOOD",IF(ABS(AI113)&lt;='Risk Matrices'!$D$22,'Risk Matrices'!$C$21,IF(ABS(AI113)&lt;='Risk Matrices'!$D$19,'Risk Matrices'!$C$18,IF(ABS(AI113)&lt;='Risk Matrices'!$D$16,'Risk Matrices'!$C$15,IF(ABS(AI113)&lt;='Risk Matrices'!$D$13,'Risk Matrices'!$C$12,'Risk Matrices'!$C$10)))))</f>
        <v>High</v>
      </c>
      <c r="AQ113" s="112" t="str">
        <f>IF(OR(ISBLANK(AK113),AK113=0),"None",IF(ABS(AK113)&lt;='Risk Matrices'!$E$7,'Risk Matrices'!$E$5,IF(ABS(AK113)&lt;='Risk Matrices'!$G$7,'Risk Matrices'!$G$5,IF(ABS(AK113)&lt;='Risk Matrices'!$H$7,'Risk Matrices'!$H$5,'Risk Matrices'!$I$5))))</f>
        <v>None</v>
      </c>
      <c r="AR113" s="112" t="str">
        <f>IF(AN113="","",IF(ABS(AN113)&lt;='Risk Matrices'!$E$8,"Negligible",IF(ABS(AN113)&lt;='Risk Matrices'!$F$8,"Marginal",IF(ABS(AN113)&lt;='Risk Matrices'!$G$8,"Significant",IF(ABS(AN113)&lt;='Risk Matrices'!$H$8,"Critical","Crisis")))))</f>
        <v>Significant</v>
      </c>
      <c r="AS113" s="103" t="s">
        <v>130</v>
      </c>
      <c r="AT113" s="298">
        <f>IF(OR(ISBLANK(AI113),AI113=0),0,VLOOKUP(AP113,'Risk Matrices'!$B$30:$C$34,2,0))</f>
        <v>4</v>
      </c>
      <c r="AU113" s="298">
        <f>IF(OR(ISBLANK(AK113),AK113=0),0,HLOOKUP(AQ113,'Risk Matrices'!$D$28:$H$29,2,0))</f>
        <v>0</v>
      </c>
      <c r="AV113" s="298">
        <f>IF(OR(ISBLANK(AR113),AR113=0),0,HLOOKUP(AR113,'Risk Matrices'!$D$28:$H$29,2,0))</f>
        <v>3</v>
      </c>
      <c r="AW113" s="298">
        <f>IF(AS113="None",0,HLOOKUP(AS113,'Risk Matrices'!$D$28:$H$29,2,0))</f>
        <v>0</v>
      </c>
      <c r="AX113" s="106">
        <f t="shared" si="82"/>
        <v>3</v>
      </c>
      <c r="AY113" s="106">
        <f t="shared" si="83"/>
        <v>12</v>
      </c>
      <c r="AZ113" s="107" t="str">
        <f>IF(B113="Retired","Retired",IF(OR(ISBLANK(AY113),AY113=0),"TBD",IF(AY113&lt;='Risk Matrices'!$D$40,'Risk Matrices'!$B$40,IF(AY113&lt;='Risk Matrices'!$D$39,'Risk Matrices'!$B$39,'Risk Matrices'!$B$38))))</f>
        <v>Moderate</v>
      </c>
      <c r="BA113" s="112"/>
      <c r="BB113" s="101" t="s">
        <v>366</v>
      </c>
      <c r="BC113" s="109">
        <f t="shared" si="84"/>
        <v>0</v>
      </c>
      <c r="BD113" s="185">
        <v>45315</v>
      </c>
      <c r="BE113" s="114"/>
      <c r="BF113" s="115"/>
      <c r="BG113" s="115"/>
      <c r="BH113" s="104"/>
      <c r="BI113" s="166"/>
      <c r="BJ113" s="874">
        <f t="shared" si="91"/>
        <v>0</v>
      </c>
      <c r="BK113" s="166"/>
      <c r="BL113" s="166"/>
      <c r="BM113" s="116">
        <v>44932</v>
      </c>
      <c r="BN113" s="330">
        <v>44932</v>
      </c>
      <c r="BO113" s="332"/>
      <c r="BP113" s="94">
        <f t="shared" si="102"/>
        <v>0</v>
      </c>
      <c r="BQ113" s="97" t="str">
        <f t="shared" si="85"/>
        <v>0 - 0 - 0</v>
      </c>
      <c r="BR113" s="97" t="str">
        <f t="shared" si="86"/>
        <v>6 - 12 - 18</v>
      </c>
      <c r="BS113" s="715"/>
      <c r="BT113" s="736">
        <f t="shared" si="88"/>
        <v>6</v>
      </c>
      <c r="BU113" s="735" t="s">
        <v>873</v>
      </c>
      <c r="BV113" s="873">
        <v>45382</v>
      </c>
      <c r="BW113">
        <f t="shared" si="103"/>
        <v>450</v>
      </c>
    </row>
    <row r="114" spans="2:75" customFormat="1" ht="68" hidden="1" customHeight="1" x14ac:dyDescent="0.2">
      <c r="B114" s="101" t="str">
        <f t="shared" si="92"/>
        <v>Active</v>
      </c>
      <c r="C114" s="813" t="s">
        <v>874</v>
      </c>
      <c r="D114" s="126" t="s">
        <v>151</v>
      </c>
      <c r="E114" s="942" t="s">
        <v>834</v>
      </c>
      <c r="F114" s="164" t="s">
        <v>124</v>
      </c>
      <c r="G114" s="140" t="s">
        <v>835</v>
      </c>
      <c r="H114" s="101" t="str">
        <f t="shared" si="100"/>
        <v>RT-6-006-006-LLP-CD3A</v>
      </c>
      <c r="I114" s="133" t="s">
        <v>360</v>
      </c>
      <c r="J114" s="101" t="s">
        <v>361</v>
      </c>
      <c r="K114" s="157" t="s">
        <v>875</v>
      </c>
      <c r="L114" s="172" t="s">
        <v>876</v>
      </c>
      <c r="M114" s="103" t="s">
        <v>129</v>
      </c>
      <c r="N114" s="105">
        <v>0</v>
      </c>
      <c r="O114" s="106" t="str" cm="1">
        <f t="array" ref="O114">_xlfn.IFS(N114="","",ABS(N114)&lt;='Risk Matrices'!$E$7,'Risk Matrices'!$E$5,ABS(N114)&lt;='Risk Matrices'!$F$7,'Risk Matrices'!$F$5,ABS(N114)&lt;='Risk Matrices'!$G$7,'Risk Matrices'!$G$5,ABS(N114)&lt;='Risk Matrices'!$H$7,'Risk Matrices'!$H$5,ABS(N114)&gt;'Risk Matrices'!$H$7,'Risk Matrices'!$I$5)</f>
        <v>Negligible</v>
      </c>
      <c r="P114" s="106">
        <v>13</v>
      </c>
      <c r="Q114" s="101" t="str" cm="1">
        <f t="array" ref="Q114">_xlfn.IFS(P114="","",ABS(P114)&lt;='Risk Matrices'!$E$8,'Risk Matrices'!$E$5,ABS(P114)&lt;='Risk Matrices'!$F$8,'Risk Matrices'!$F$5,ABS(P114)&lt;='Risk Matrices'!$G$8,'Risk Matrices'!$G$5,ABS(P114)&lt;='Risk Matrices'!$H$8,'Risk Matrices'!$H$5,ABS(P114)&gt;'Risk Matrices'!$H$8,'Risk Matrices'!$I$5)</f>
        <v>Critical</v>
      </c>
      <c r="R114" s="102" t="s">
        <v>130</v>
      </c>
      <c r="S114" s="106">
        <f t="shared" si="89"/>
        <v>4</v>
      </c>
      <c r="T114" s="106" cm="1">
        <f t="array" ref="T114">_xlfn.IFS(O114='Risk Matrices'!$D$28,'Risk Matrices'!$D$29,O114='Risk Matrices'!$E$28,'Risk Matrices'!$E$29,O114='Risk Matrices'!$F$28,'Risk Matrices'!$F$29,O114='Risk Matrices'!$G$28,'Risk Matrices'!$G$29,O114='Risk Matrices'!$H$28,'Risk Matrices'!$H$29)</f>
        <v>1</v>
      </c>
      <c r="U114" s="106">
        <f t="shared" si="93"/>
        <v>4</v>
      </c>
      <c r="V114" s="106">
        <f t="shared" si="101"/>
        <v>0</v>
      </c>
      <c r="W114" s="106">
        <f t="shared" si="94"/>
        <v>4</v>
      </c>
      <c r="X114" s="106">
        <f t="shared" si="95"/>
        <v>16</v>
      </c>
      <c r="Y114" s="107" t="str">
        <f t="shared" si="90"/>
        <v>High</v>
      </c>
      <c r="Z114" s="104"/>
      <c r="AA114" s="108">
        <f t="shared" ref="AA114:AA126" si="104">IF(M114="",0,IF(M114="Very Low (There is a &lt;10% chance that this event will occur)",0.05,IF(M114="Low (Risk is likely to occur with a probability of &gt; 10% to &lt; 25%)",0.17,IF(M114="Moderate (Risk is likely to occur with a probability of &gt; 25% to &lt; 40%)",0.32,IF(M114="High (Risk is likely to occur with a probability of &gt;40 to &lt;65%)",0.52,IF(M114="Very High (Risk is likely to occur with a probability of &gt;65%)",0.82))))))</f>
        <v>0.52</v>
      </c>
      <c r="AB114" s="109">
        <f t="shared" ref="AB114:AB126" si="105">+AA114*N114</f>
        <v>0</v>
      </c>
      <c r="AC114" s="109" t="s">
        <v>155</v>
      </c>
      <c r="AD114" s="352" t="s">
        <v>761</v>
      </c>
      <c r="AE114" s="352"/>
      <c r="AF114" s="116" t="s">
        <v>145</v>
      </c>
      <c r="AG114" s="116"/>
      <c r="AH114" s="157" t="s">
        <v>844</v>
      </c>
      <c r="AI114" s="160">
        <v>0.3</v>
      </c>
      <c r="AJ114" s="140">
        <v>0</v>
      </c>
      <c r="AK114" s="140">
        <v>0</v>
      </c>
      <c r="AL114" s="157">
        <v>0</v>
      </c>
      <c r="AM114" s="140">
        <v>1</v>
      </c>
      <c r="AN114" s="140">
        <v>3</v>
      </c>
      <c r="AO114" s="140">
        <v>6</v>
      </c>
      <c r="AP114" s="112" t="str">
        <f>IF(OR(ISBLANK(AI114),AI114=0),"INSERT LIKELIHOOD",IF(ABS(AI114)&lt;='Risk Matrices'!$D$22,'Risk Matrices'!$C$21,IF(ABS(AI114)&lt;='Risk Matrices'!$D$19,'Risk Matrices'!$C$18,IF(ABS(AI114)&lt;='Risk Matrices'!$D$16,'Risk Matrices'!$C$15,IF(ABS(AI114)&lt;='Risk Matrices'!$D$13,'Risk Matrices'!$C$12,'Risk Matrices'!$C$10)))))</f>
        <v>Moderate</v>
      </c>
      <c r="AQ114" s="112" t="str">
        <f>IF(OR(ISBLANK(AK114),AK114=0),"None",IF(ABS(AK114)&lt;='Risk Matrices'!$E$7,'Risk Matrices'!$E$5,IF(ABS(AK114)&lt;='Risk Matrices'!$G$7,'Risk Matrices'!$G$5,IF(ABS(AK114)&lt;='Risk Matrices'!$H$7,'Risk Matrices'!$H$5,'Risk Matrices'!$I$5))))</f>
        <v>None</v>
      </c>
      <c r="AR114" s="112" t="str">
        <f>IF(AN114="","",IF(ABS(AN114)&lt;='Risk Matrices'!$E$8,"Negligible",IF(ABS(AN114)&lt;='Risk Matrices'!$F$8,"Marginal",IF(ABS(AN114)&lt;='Risk Matrices'!$G$8,"Significant",IF(ABS(AN114)&lt;='Risk Matrices'!$H$8,"Critical","Crisis")))))</f>
        <v>Negligible</v>
      </c>
      <c r="AS114" s="103" t="s">
        <v>130</v>
      </c>
      <c r="AT114" s="298">
        <f>IF(OR(ISBLANK(AI114),AI114=0),0,VLOOKUP(AP114,'Risk Matrices'!$B$30:$C$34,2,0))</f>
        <v>3</v>
      </c>
      <c r="AU114" s="298">
        <f>IF(OR(ISBLANK(AK114),AK114=0),0,HLOOKUP(AQ114,'Risk Matrices'!$D$28:$H$29,2,0))</f>
        <v>0</v>
      </c>
      <c r="AV114" s="298">
        <f>IF(OR(ISBLANK(AR114),AR114=0),0,HLOOKUP(AR114,'Risk Matrices'!$D$28:$H$29,2,0))</f>
        <v>1</v>
      </c>
      <c r="AW114" s="298">
        <f>IF(AS114="None",0,HLOOKUP(AS114,'Risk Matrices'!$D$28:$H$29,2,0))</f>
        <v>0</v>
      </c>
      <c r="AX114" s="106">
        <f t="shared" si="82"/>
        <v>1</v>
      </c>
      <c r="AY114" s="106">
        <f t="shared" si="83"/>
        <v>3</v>
      </c>
      <c r="AZ114" s="107" t="str">
        <f>IF(B114="Retired","Retired",IF(OR(ISBLANK(AY114),AY114=0),"TBD",IF(AY114&lt;='Risk Matrices'!$D$40,'Risk Matrices'!$B$40,IF(AY114&lt;='Risk Matrices'!$D$39,'Risk Matrices'!$B$39,'Risk Matrices'!$B$38))))</f>
        <v>Low</v>
      </c>
      <c r="BA114" s="112"/>
      <c r="BB114" s="113" t="s">
        <v>877</v>
      </c>
      <c r="BC114" s="109">
        <f t="shared" si="84"/>
        <v>0</v>
      </c>
      <c r="BD114" s="185">
        <v>45517</v>
      </c>
      <c r="BE114" s="114"/>
      <c r="BF114" s="115"/>
      <c r="BG114" s="115"/>
      <c r="BH114" s="115"/>
      <c r="BI114" s="115"/>
      <c r="BJ114" s="874">
        <f t="shared" si="91"/>
        <v>0</v>
      </c>
      <c r="BK114" s="101"/>
      <c r="BL114" s="101"/>
      <c r="BM114" s="116">
        <v>44012</v>
      </c>
      <c r="BN114" s="330">
        <v>44134</v>
      </c>
      <c r="BO114" s="332"/>
      <c r="BP114" s="94">
        <f t="shared" si="102"/>
        <v>0</v>
      </c>
      <c r="BQ114" s="97" t="str">
        <f t="shared" si="85"/>
        <v>0 - 0 - 0</v>
      </c>
      <c r="BR114" s="97" t="str">
        <f t="shared" si="86"/>
        <v>1 - 3 - 6</v>
      </c>
      <c r="BS114" s="715">
        <f t="shared" ref="BS114:BS145" si="106">BJ114</f>
        <v>0</v>
      </c>
      <c r="BT114" s="736">
        <f t="shared" si="88"/>
        <v>1</v>
      </c>
      <c r="BU114" s="735" t="s">
        <v>878</v>
      </c>
      <c r="BV114" s="873">
        <v>45382</v>
      </c>
      <c r="BW114">
        <f t="shared" si="103"/>
        <v>1248</v>
      </c>
    </row>
    <row r="115" spans="2:75" customFormat="1" ht="55.25" hidden="1" customHeight="1" x14ac:dyDescent="0.2">
      <c r="B115" s="101" t="str">
        <f t="shared" si="92"/>
        <v>Active</v>
      </c>
      <c r="C115" s="786" t="s">
        <v>879</v>
      </c>
      <c r="D115" s="101" t="s">
        <v>151</v>
      </c>
      <c r="E115" s="942" t="s">
        <v>834</v>
      </c>
      <c r="F115" s="164" t="s">
        <v>124</v>
      </c>
      <c r="G115" s="140" t="s">
        <v>835</v>
      </c>
      <c r="H115" s="101" t="str">
        <f t="shared" si="100"/>
        <v>RT-6-006-007</v>
      </c>
      <c r="I115" s="140" t="s">
        <v>360</v>
      </c>
      <c r="J115" s="101" t="s">
        <v>361</v>
      </c>
      <c r="K115" s="157" t="s">
        <v>880</v>
      </c>
      <c r="L115" s="149" t="s">
        <v>881</v>
      </c>
      <c r="M115" s="103" t="s">
        <v>141</v>
      </c>
      <c r="N115" s="105">
        <v>15000</v>
      </c>
      <c r="O115" s="106" t="str" cm="1">
        <f t="array" ref="O115">_xlfn.IFS(N115="","",ABS(N115)&lt;='Risk Matrices'!$E$7,'Risk Matrices'!$E$5,ABS(N115)&lt;='Risk Matrices'!$F$7,'Risk Matrices'!$F$5,ABS(N115)&lt;='Risk Matrices'!$G$7,'Risk Matrices'!$G$5,ABS(N115)&lt;='Risk Matrices'!$H$7,'Risk Matrices'!$H$5,ABS(N115)&gt;'Risk Matrices'!$H$7,'Risk Matrices'!$I$5)</f>
        <v>Critical</v>
      </c>
      <c r="P115" s="106">
        <v>48</v>
      </c>
      <c r="Q115" s="101" t="str" cm="1">
        <f t="array" ref="Q115">_xlfn.IFS(P115="","",ABS(P115)&lt;='Risk Matrices'!$E$8,'Risk Matrices'!$E$5,ABS(P115)&lt;='Risk Matrices'!$F$8,'Risk Matrices'!$F$5,ABS(P115)&lt;='Risk Matrices'!$G$8,'Risk Matrices'!$G$5,ABS(P115)&lt;='Risk Matrices'!$H$8,'Risk Matrices'!$H$5,ABS(P115)&gt;'Risk Matrices'!$H$8,'Risk Matrices'!$I$5)</f>
        <v>Crisis</v>
      </c>
      <c r="R115" s="102" t="s">
        <v>307</v>
      </c>
      <c r="S115" s="106">
        <f t="shared" si="89"/>
        <v>3</v>
      </c>
      <c r="T115" s="106" cm="1">
        <f t="array" ref="T115">_xlfn.IFS(O115='Risk Matrices'!$D$28,'Risk Matrices'!$D$29,O115='Risk Matrices'!$E$28,'Risk Matrices'!$E$29,O115='Risk Matrices'!$F$28,'Risk Matrices'!$F$29,O115='Risk Matrices'!$G$28,'Risk Matrices'!$G$29,O115='Risk Matrices'!$H$28,'Risk Matrices'!$H$29)</f>
        <v>4</v>
      </c>
      <c r="U115" s="106">
        <f t="shared" si="93"/>
        <v>5</v>
      </c>
      <c r="V115" s="106">
        <f t="shared" si="101"/>
        <v>3</v>
      </c>
      <c r="W115" s="106">
        <f t="shared" si="94"/>
        <v>5</v>
      </c>
      <c r="X115" s="106">
        <f t="shared" si="95"/>
        <v>15</v>
      </c>
      <c r="Y115" s="107" t="str">
        <f t="shared" si="90"/>
        <v>High</v>
      </c>
      <c r="Z115" s="104"/>
      <c r="AA115" s="108">
        <f t="shared" si="104"/>
        <v>0.32</v>
      </c>
      <c r="AB115" s="109">
        <f t="shared" si="105"/>
        <v>4800</v>
      </c>
      <c r="AC115" s="109" t="s">
        <v>155</v>
      </c>
      <c r="AD115" s="104" t="s">
        <v>882</v>
      </c>
      <c r="AE115" s="104"/>
      <c r="AF115" s="103" t="s">
        <v>628</v>
      </c>
      <c r="AG115" s="103"/>
      <c r="AH115" s="157" t="s">
        <v>883</v>
      </c>
      <c r="AI115" s="112">
        <v>0.3</v>
      </c>
      <c r="AJ115" s="106">
        <v>5000</v>
      </c>
      <c r="AK115" s="106">
        <v>15000</v>
      </c>
      <c r="AL115" s="106">
        <v>20000</v>
      </c>
      <c r="AM115" s="106">
        <v>9</v>
      </c>
      <c r="AN115" s="106">
        <v>18</v>
      </c>
      <c r="AO115" s="106">
        <v>24</v>
      </c>
      <c r="AP115" s="112" t="str">
        <f>IF(OR(ISBLANK(AI115),AI115=0),"INSERT LIKELIHOOD",IF(ABS(AI115)&lt;='Risk Matrices'!$D$22,'Risk Matrices'!$C$21,IF(ABS(AI115)&lt;='Risk Matrices'!$D$19,'Risk Matrices'!$C$18,IF(ABS(AI115)&lt;='Risk Matrices'!$D$16,'Risk Matrices'!$C$15,IF(ABS(AI115)&lt;='Risk Matrices'!$D$13,'Risk Matrices'!$C$12,'Risk Matrices'!$C$10)))))</f>
        <v>Moderate</v>
      </c>
      <c r="AQ115" s="112" t="str">
        <f>IF(OR(ISBLANK(AK115),AK115=0),"None",IF(ABS(AK115)&lt;='Risk Matrices'!$E$7,'Risk Matrices'!$E$5,IF(ABS(AK115)&lt;='Risk Matrices'!$G$7,'Risk Matrices'!$G$5,IF(ABS(AK115)&lt;='Risk Matrices'!$H$7,'Risk Matrices'!$H$5,'Risk Matrices'!$I$5))))</f>
        <v>Critical</v>
      </c>
      <c r="AR115" s="112" t="str">
        <f>IF(AN115="","",IF(ABS(AN115)&lt;='Risk Matrices'!$E$8,"Negligible",IF(ABS(AN115)&lt;='Risk Matrices'!$F$8,"Marginal",IF(ABS(AN115)&lt;='Risk Matrices'!$G$8,"Significant",IF(ABS(AN115)&lt;='Risk Matrices'!$H$8,"Critical","Crisis")))))</f>
        <v>Critical</v>
      </c>
      <c r="AS115" s="102" t="s">
        <v>207</v>
      </c>
      <c r="AT115" s="298">
        <f>IF(OR(ISBLANK(AI115),AI115=0),0,VLOOKUP(AP115,'Risk Matrices'!$B$30:$C$34,2,0))</f>
        <v>3</v>
      </c>
      <c r="AU115" s="298">
        <f>IF(OR(ISBLANK(AK115),AK115=0),0,HLOOKUP(AQ115,'Risk Matrices'!$D$28:$H$29,2,0))</f>
        <v>4</v>
      </c>
      <c r="AV115" s="298">
        <f>IF(OR(ISBLANK(AR115),AR115=0),0,HLOOKUP(AR115,'Risk Matrices'!$D$28:$H$29,2,0))</f>
        <v>4</v>
      </c>
      <c r="AW115" s="298">
        <f>IF(OR(ISBLANK(AS115),AS115=0),0,HLOOKUP(AS115,'Risk Matrices'!$D$28:$H$29,2,0))</f>
        <v>1</v>
      </c>
      <c r="AX115" s="106">
        <f t="shared" si="82"/>
        <v>4</v>
      </c>
      <c r="AY115" s="106">
        <f t="shared" si="83"/>
        <v>12</v>
      </c>
      <c r="AZ115" s="107" t="str">
        <f>IF(B115="Retired","Retired",IF(OR(ISBLANK(AY115),AY115=0),"TBD",IF(AY115&lt;='Risk Matrices'!$D$40,'Risk Matrices'!$B$40,IF(AY115&lt;='Risk Matrices'!$D$39,'Risk Matrices'!$B$39,'Risk Matrices'!$B$38))))</f>
        <v>Moderate</v>
      </c>
      <c r="BA115" s="112"/>
      <c r="BB115" s="101" t="s">
        <v>366</v>
      </c>
      <c r="BC115" s="109">
        <f t="shared" si="84"/>
        <v>4500</v>
      </c>
      <c r="BD115" s="185">
        <v>45315</v>
      </c>
      <c r="BE115" s="114"/>
      <c r="BF115" s="115"/>
      <c r="BG115" s="115"/>
      <c r="BH115" s="115"/>
      <c r="BI115" s="115"/>
      <c r="BJ115" s="874">
        <f t="shared" si="91"/>
        <v>4000</v>
      </c>
      <c r="BK115" s="101"/>
      <c r="BL115" s="101"/>
      <c r="BM115" s="116">
        <v>44012</v>
      </c>
      <c r="BN115" s="330">
        <v>44134</v>
      </c>
      <c r="BO115" s="332"/>
      <c r="BP115" s="94">
        <f t="shared" si="102"/>
        <v>4250</v>
      </c>
      <c r="BQ115" s="97" t="str">
        <f t="shared" si="85"/>
        <v>5000 - 15000 - 20000</v>
      </c>
      <c r="BR115" s="97" t="str">
        <f t="shared" si="86"/>
        <v>9 - 18 - 24</v>
      </c>
      <c r="BS115" s="715">
        <f t="shared" si="106"/>
        <v>4000</v>
      </c>
      <c r="BT115" s="736">
        <f t="shared" si="88"/>
        <v>5.0999999999999996</v>
      </c>
      <c r="BU115" s="735" t="s">
        <v>884</v>
      </c>
      <c r="BV115" s="873">
        <v>45382</v>
      </c>
      <c r="BW115">
        <f t="shared" si="103"/>
        <v>1248</v>
      </c>
    </row>
    <row r="116" spans="2:75" customFormat="1" ht="90" hidden="1" x14ac:dyDescent="0.2">
      <c r="B116" s="101" t="str">
        <f t="shared" si="92"/>
        <v>Retired</v>
      </c>
      <c r="C116" s="786" t="s">
        <v>885</v>
      </c>
      <c r="D116" s="101" t="s">
        <v>151</v>
      </c>
      <c r="E116" s="171" t="s">
        <v>834</v>
      </c>
      <c r="F116" s="171" t="s">
        <v>124</v>
      </c>
      <c r="G116" s="140" t="s">
        <v>835</v>
      </c>
      <c r="H116" s="140"/>
      <c r="I116" s="140" t="s">
        <v>360</v>
      </c>
      <c r="J116" s="101" t="s">
        <v>361</v>
      </c>
      <c r="K116" s="101" t="s">
        <v>886</v>
      </c>
      <c r="L116" s="172" t="s">
        <v>887</v>
      </c>
      <c r="M116" s="103" t="s">
        <v>141</v>
      </c>
      <c r="N116" s="105">
        <v>1000</v>
      </c>
      <c r="O116" s="106" t="str" cm="1">
        <f t="array" ref="O116">_xlfn.IFS(N116="","",ABS(N116)&lt;='Risk Matrices'!$E$7,'Risk Matrices'!$E$5,ABS(N116)&lt;='Risk Matrices'!$F$7,'Risk Matrices'!$F$5,ABS(N116)&lt;='Risk Matrices'!$G$7,'Risk Matrices'!$G$5,ABS(N116)&lt;='Risk Matrices'!$H$7,'Risk Matrices'!$H$5,ABS(N116)&gt;'Risk Matrices'!$H$7,'Risk Matrices'!$I$5)</f>
        <v>Marginal</v>
      </c>
      <c r="P116" s="106">
        <v>12</v>
      </c>
      <c r="Q116" s="102" t="s">
        <v>280</v>
      </c>
      <c r="R116" s="102" t="s">
        <v>280</v>
      </c>
      <c r="S116" s="106">
        <f t="shared" si="89"/>
        <v>3</v>
      </c>
      <c r="T116" s="106" cm="1">
        <f t="array" ref="T116">_xlfn.IFS(O116='Risk Matrices'!$D$28,'Risk Matrices'!$D$29,O116='Risk Matrices'!$E$28,'Risk Matrices'!$E$29,O116='Risk Matrices'!$F$28,'Risk Matrices'!$F$29,O116='Risk Matrices'!$G$28,'Risk Matrices'!$G$29,O116='Risk Matrices'!$H$28,'Risk Matrices'!$H$29)</f>
        <v>2</v>
      </c>
      <c r="U116" s="106">
        <f t="shared" si="93"/>
        <v>2</v>
      </c>
      <c r="V116" s="106">
        <f>IF(R116="",0,IF(R116="Negligible",1,IF(R116="Marginal",2,IF(R116="Significant",3,IF(R116="Critical",4,IF(R116="Crisis",5))))))</f>
        <v>2</v>
      </c>
      <c r="W116" s="106">
        <f t="shared" si="94"/>
        <v>2</v>
      </c>
      <c r="X116" s="106">
        <f t="shared" si="95"/>
        <v>6</v>
      </c>
      <c r="Y116" s="107" t="str">
        <f t="shared" si="90"/>
        <v>Low</v>
      </c>
      <c r="Z116" s="104"/>
      <c r="AA116" s="108">
        <f t="shared" si="104"/>
        <v>0.32</v>
      </c>
      <c r="AB116" s="109">
        <f t="shared" si="105"/>
        <v>320</v>
      </c>
      <c r="AC116" s="109" t="s">
        <v>155</v>
      </c>
      <c r="AD116" s="172" t="s">
        <v>888</v>
      </c>
      <c r="AE116" s="172"/>
      <c r="AF116" s="104" t="s">
        <v>889</v>
      </c>
      <c r="AG116" s="104"/>
      <c r="AH116" s="101" t="s">
        <v>890</v>
      </c>
      <c r="AI116" s="112">
        <v>0.3</v>
      </c>
      <c r="AJ116" s="106">
        <v>0</v>
      </c>
      <c r="AK116" s="106">
        <v>3000</v>
      </c>
      <c r="AL116" s="106">
        <v>5000</v>
      </c>
      <c r="AM116" s="106">
        <v>0</v>
      </c>
      <c r="AN116" s="106">
        <v>12</v>
      </c>
      <c r="AO116" s="106">
        <v>18</v>
      </c>
      <c r="AP116" s="112" t="str">
        <f>IF(OR(ISBLANK(AI116),AI116=0),"INSERT LIKELIHOOD",IF(ABS(AI116)&lt;='Risk Matrices'!$D$22,'Risk Matrices'!$C$21,IF(ABS(AI116)&lt;='Risk Matrices'!$D$19,'Risk Matrices'!$C$18,IF(ABS(AI116)&lt;='Risk Matrices'!$D$16,'Risk Matrices'!$C$15,IF(ABS(AI116)&lt;='Risk Matrices'!$D$13,'Risk Matrices'!$C$12,'Risk Matrices'!$C$10)))))</f>
        <v>Moderate</v>
      </c>
      <c r="AQ116" s="112" t="str">
        <f>IF(OR(ISBLANK(AK116),AK116=0),"None",IF(ABS(AK116)&lt;='Risk Matrices'!$E$7,'Risk Matrices'!$E$5,IF(ABS(AK116)&lt;='Risk Matrices'!$G$7,'Risk Matrices'!$G$5,IF(ABS(AK116)&lt;='Risk Matrices'!$H$7,'Risk Matrices'!$H$5,'Risk Matrices'!$I$5))))</f>
        <v>Significant</v>
      </c>
      <c r="AR116" s="112" t="str">
        <f>IF(AN116="","",IF(ABS(AN116)&lt;='Risk Matrices'!$E$8,"Negligible",IF(ABS(AN116)&lt;='Risk Matrices'!$F$8,"Marginal",IF(ABS(AN116)&lt;='Risk Matrices'!$G$8,"Significant",IF(ABS(AN116)&lt;='Risk Matrices'!$H$8,"Critical","Crisis")))))</f>
        <v>Significant</v>
      </c>
      <c r="AS116" s="102" t="s">
        <v>280</v>
      </c>
      <c r="AT116" s="298">
        <f>IF(OR(ISBLANK(AI116),AI116=0),0,VLOOKUP(AP116,'Risk Matrices'!$B$30:$C$34,2,0))</f>
        <v>3</v>
      </c>
      <c r="AU116" s="298">
        <f>IF(OR(ISBLANK(AK116),AK116=0),0,HLOOKUP(AQ116,'Risk Matrices'!$D$28:$H$29,2,0))</f>
        <v>3</v>
      </c>
      <c r="AV116" s="298">
        <f>IF(OR(ISBLANK(AR116),AR116=0),0,HLOOKUP(AR116,'Risk Matrices'!$D$28:$H$29,2,0))</f>
        <v>3</v>
      </c>
      <c r="AW116" s="298">
        <f>IF(OR(ISBLANK(AS116),AS116=0),0,HLOOKUP(AS116,'Risk Matrices'!$D$28:$H$29,2,0))</f>
        <v>2</v>
      </c>
      <c r="AX116" s="106">
        <f t="shared" si="82"/>
        <v>3</v>
      </c>
      <c r="AY116" s="106">
        <f t="shared" si="83"/>
        <v>9</v>
      </c>
      <c r="AZ116" s="107" t="str">
        <f>IF(B116="Retired","Retired",IF(OR(ISBLANK(AY116),AY116=0),"TBD",IF(AY116&lt;='Risk Matrices'!$D$40,'Risk Matrices'!$B$40,IF(AY116&lt;='Risk Matrices'!$D$39,'Risk Matrices'!$B$39,'Risk Matrices'!$B$38))))</f>
        <v>Retired</v>
      </c>
      <c r="BA116" s="112"/>
      <c r="BB116" s="113"/>
      <c r="BC116" s="109" t="str">
        <f t="shared" si="84"/>
        <v>Retired</v>
      </c>
      <c r="BD116" s="113"/>
      <c r="BE116" s="174"/>
      <c r="BF116" s="159"/>
      <c r="BG116" s="115" t="s">
        <v>891</v>
      </c>
      <c r="BH116" s="115"/>
      <c r="BI116" s="115"/>
      <c r="BJ116" s="874">
        <f t="shared" si="91"/>
        <v>799.99999999999989</v>
      </c>
      <c r="BK116" s="101"/>
      <c r="BL116" s="101"/>
      <c r="BM116" s="116">
        <v>44012</v>
      </c>
      <c r="BN116" s="330">
        <v>44134</v>
      </c>
      <c r="BO116" s="332"/>
      <c r="BP116" s="94">
        <f t="shared" si="102"/>
        <v>850</v>
      </c>
      <c r="BQ116" s="97" t="str">
        <f t="shared" si="85"/>
        <v>0 - 3000 - 5000</v>
      </c>
      <c r="BR116" s="97" t="str">
        <f t="shared" si="86"/>
        <v>0 - 12 - 18</v>
      </c>
      <c r="BS116" s="715">
        <f t="shared" si="106"/>
        <v>799.99999999999989</v>
      </c>
      <c r="BT116" s="736">
        <f t="shared" si="88"/>
        <v>3</v>
      </c>
      <c r="BU116" s="735" t="s">
        <v>892</v>
      </c>
    </row>
    <row r="117" spans="2:75" customFormat="1" ht="55.25" hidden="1" customHeight="1" x14ac:dyDescent="0.2">
      <c r="B117" s="101" t="str">
        <f t="shared" si="92"/>
        <v>Active</v>
      </c>
      <c r="C117" s="786" t="s">
        <v>893</v>
      </c>
      <c r="D117" s="101" t="s">
        <v>151</v>
      </c>
      <c r="E117" s="164" t="s">
        <v>834</v>
      </c>
      <c r="F117" s="171" t="s">
        <v>124</v>
      </c>
      <c r="G117" s="133" t="s">
        <v>835</v>
      </c>
      <c r="H117" s="101" t="str">
        <f t="shared" ref="H117:H124" si="107">C117</f>
        <v>RT-6-006-009</v>
      </c>
      <c r="I117" s="133" t="s">
        <v>360</v>
      </c>
      <c r="J117" s="101" t="s">
        <v>361</v>
      </c>
      <c r="K117" s="182" t="s">
        <v>894</v>
      </c>
      <c r="L117" s="149" t="s">
        <v>895</v>
      </c>
      <c r="M117" s="103" t="s">
        <v>129</v>
      </c>
      <c r="N117" s="176">
        <v>1500</v>
      </c>
      <c r="O117" s="106" t="str" cm="1">
        <f t="array" ref="O117">_xlfn.IFS(N117="","",ABS(N117)&lt;='Risk Matrices'!$E$7,'Risk Matrices'!$E$5,ABS(N117)&lt;='Risk Matrices'!$F$7,'Risk Matrices'!$F$5,ABS(N117)&lt;='Risk Matrices'!$G$7,'Risk Matrices'!$G$5,ABS(N117)&lt;='Risk Matrices'!$H$7,'Risk Matrices'!$H$5,ABS(N117)&gt;'Risk Matrices'!$H$7,'Risk Matrices'!$I$5)</f>
        <v>Significant</v>
      </c>
      <c r="P117" s="133">
        <v>12</v>
      </c>
      <c r="Q117" s="101" t="str" cm="1">
        <f t="array" ref="Q117">_xlfn.IFS(P117="","",ABS(P117)&lt;='Risk Matrices'!$E$8,'Risk Matrices'!$E$5,ABS(P117)&lt;='Risk Matrices'!$F$8,'Risk Matrices'!$F$5,ABS(P117)&lt;='Risk Matrices'!$G$8,'Risk Matrices'!$G$5,ABS(P117)&lt;='Risk Matrices'!$H$8,'Risk Matrices'!$H$5,ABS(P117)&gt;'Risk Matrices'!$H$8,'Risk Matrices'!$I$5)</f>
        <v>Significant</v>
      </c>
      <c r="R117" s="175" t="s">
        <v>406</v>
      </c>
      <c r="S117" s="133">
        <f t="shared" si="89"/>
        <v>4</v>
      </c>
      <c r="T117" s="106" cm="1">
        <f t="array" ref="T117">_xlfn.IFS(O117='Risk Matrices'!$D$28,'Risk Matrices'!$D$29,O117='Risk Matrices'!$E$28,'Risk Matrices'!$E$29,O117='Risk Matrices'!$F$28,'Risk Matrices'!$F$29,O117='Risk Matrices'!$G$28,'Risk Matrices'!$G$29,O117='Risk Matrices'!$H$28,'Risk Matrices'!$H$29)</f>
        <v>3</v>
      </c>
      <c r="U117" s="106">
        <f t="shared" si="93"/>
        <v>3</v>
      </c>
      <c r="V117" s="106">
        <f t="shared" ref="V117:V124" si="108">IF(R117="None",0,IF(R117="Negligible",1,IF(R117="Marginal",2,IF(R117="Significant",3,IF(R117="Critical",4,IF(R117="Crisis",5))))))</f>
        <v>4</v>
      </c>
      <c r="W117" s="106">
        <f t="shared" si="94"/>
        <v>4</v>
      </c>
      <c r="X117" s="133">
        <f t="shared" si="95"/>
        <v>16</v>
      </c>
      <c r="Y117" s="107" t="str">
        <f t="shared" si="90"/>
        <v>High</v>
      </c>
      <c r="Z117" s="149" t="s">
        <v>896</v>
      </c>
      <c r="AA117" s="177">
        <f t="shared" si="104"/>
        <v>0.52</v>
      </c>
      <c r="AB117" s="178">
        <f t="shared" si="105"/>
        <v>780</v>
      </c>
      <c r="AC117" s="137" t="s">
        <v>155</v>
      </c>
      <c r="AD117" s="179" t="s">
        <v>897</v>
      </c>
      <c r="AE117" s="179"/>
      <c r="AF117" s="103" t="s">
        <v>898</v>
      </c>
      <c r="AG117" s="103"/>
      <c r="AH117" s="935" t="s">
        <v>899</v>
      </c>
      <c r="AI117" s="160">
        <v>0.5</v>
      </c>
      <c r="AJ117" s="140">
        <v>100</v>
      </c>
      <c r="AK117" s="140">
        <v>500</v>
      </c>
      <c r="AL117" s="140">
        <v>1500</v>
      </c>
      <c r="AM117" s="140">
        <v>0</v>
      </c>
      <c r="AN117" s="140">
        <v>9</v>
      </c>
      <c r="AO117" s="140">
        <v>12</v>
      </c>
      <c r="AP117" s="112" t="str">
        <f>IF(OR(ISBLANK(AI117),AI117=0),"INSERT LIKELIHOOD",IF(ABS(AI117)&lt;='Risk Matrices'!$D$22,'Risk Matrices'!$C$21,IF(ABS(AI117)&lt;='Risk Matrices'!$D$19,'Risk Matrices'!$C$18,IF(ABS(AI117)&lt;='Risk Matrices'!$D$16,'Risk Matrices'!$C$15,IF(ABS(AI117)&lt;='Risk Matrices'!$D$13,'Risk Matrices'!$C$12,'Risk Matrices'!$C$10)))))</f>
        <v>High</v>
      </c>
      <c r="AQ117" s="112" t="str">
        <f>IF(OR(ISBLANK(AK117),AK117=0),"None",IF(ABS(AK117)&lt;='Risk Matrices'!$E$7,'Risk Matrices'!$E$5,IF(ABS(AK117)&lt;='Risk Matrices'!$G$7,'Risk Matrices'!$G$5,IF(ABS(AK117)&lt;='Risk Matrices'!$H$7,'Risk Matrices'!$H$5,'Risk Matrices'!$I$5))))</f>
        <v>Significant</v>
      </c>
      <c r="AR117" s="112" t="str">
        <f>IF(AN117="","",IF(ABS(AN117)&lt;='Risk Matrices'!$E$8,"Negligible",IF(ABS(AN117)&lt;='Risk Matrices'!$F$8,"Marginal",IF(ABS(AN117)&lt;='Risk Matrices'!$G$8,"Significant",IF(ABS(AN117)&lt;='Risk Matrices'!$H$8,"Critical","Crisis")))))</f>
        <v>Significant</v>
      </c>
      <c r="AS117" s="161" t="s">
        <v>406</v>
      </c>
      <c r="AT117" s="298">
        <f>IF(OR(ISBLANK(AI117),AI117=0),0,VLOOKUP(AP117,'Risk Matrices'!$B$30:$C$34,2,0))</f>
        <v>4</v>
      </c>
      <c r="AU117" s="298">
        <f>IF(OR(ISBLANK(AK117),AK117=0),0,HLOOKUP(AQ117,'Risk Matrices'!$D$28:$H$29,2,0))</f>
        <v>3</v>
      </c>
      <c r="AV117" s="298">
        <f>IF(OR(ISBLANK(AR117),AR117=0),0,HLOOKUP(AR117,'Risk Matrices'!$D$28:$H$29,2,0))</f>
        <v>3</v>
      </c>
      <c r="AW117" s="298">
        <f>IF(OR(ISBLANK(AS117),AS117=0),0,HLOOKUP(AS117,'Risk Matrices'!$D$28:$H$29,2,0))</f>
        <v>4</v>
      </c>
      <c r="AX117" s="106">
        <f t="shared" si="82"/>
        <v>4</v>
      </c>
      <c r="AY117" s="106">
        <f t="shared" si="83"/>
        <v>16</v>
      </c>
      <c r="AZ117" s="165" t="str">
        <f>IF(B117="Retired","Retired",IF(OR(ISBLANK(AY117),AY117=0),"TBD",IF(AY117&lt;='Risk Matrices'!$D$40,'Risk Matrices'!$B$40,IF(AY117&lt;='Risk Matrices'!$D$39,'Risk Matrices'!$B$39,'Risk Matrices'!$B$38))))</f>
        <v>High</v>
      </c>
      <c r="BA117" s="160"/>
      <c r="BB117" s="101" t="s">
        <v>366</v>
      </c>
      <c r="BC117" s="109">
        <f t="shared" si="84"/>
        <v>250</v>
      </c>
      <c r="BD117" s="185">
        <v>45375</v>
      </c>
      <c r="BE117" s="174"/>
      <c r="BF117" s="115"/>
      <c r="BG117" s="115"/>
      <c r="BH117" s="115"/>
      <c r="BI117" s="115"/>
      <c r="BJ117" s="874">
        <f t="shared" si="91"/>
        <v>350</v>
      </c>
      <c r="BK117" s="157"/>
      <c r="BL117" s="157"/>
      <c r="BM117" s="181">
        <v>44438</v>
      </c>
      <c r="BN117" s="330">
        <v>44466</v>
      </c>
      <c r="BO117" s="332"/>
      <c r="BP117" s="94">
        <f t="shared" si="102"/>
        <v>300</v>
      </c>
      <c r="BQ117" s="97" t="str">
        <f t="shared" si="85"/>
        <v>100 - 500 - 1500</v>
      </c>
      <c r="BR117" s="97" t="str">
        <f t="shared" si="86"/>
        <v>0 - 9 - 12</v>
      </c>
      <c r="BS117" s="715">
        <f t="shared" si="106"/>
        <v>350</v>
      </c>
      <c r="BT117" s="736">
        <f t="shared" si="88"/>
        <v>3.5</v>
      </c>
      <c r="BU117" s="735" t="s">
        <v>900</v>
      </c>
      <c r="BV117" s="873">
        <v>45382</v>
      </c>
      <c r="BW117">
        <f t="shared" ref="BW117:BW124" si="109">BV117-BN117</f>
        <v>916</v>
      </c>
    </row>
    <row r="118" spans="2:75" customFormat="1" ht="119" hidden="1" x14ac:dyDescent="0.2">
      <c r="B118" s="101" t="str">
        <f t="shared" si="92"/>
        <v>Active</v>
      </c>
      <c r="C118" s="786" t="s">
        <v>901</v>
      </c>
      <c r="D118" s="101" t="s">
        <v>151</v>
      </c>
      <c r="E118" s="942" t="s">
        <v>834</v>
      </c>
      <c r="F118" s="171" t="s">
        <v>124</v>
      </c>
      <c r="G118" s="133" t="s">
        <v>835</v>
      </c>
      <c r="H118" s="101" t="str">
        <f t="shared" si="107"/>
        <v>RT-6-006-010</v>
      </c>
      <c r="I118" s="133" t="s">
        <v>360</v>
      </c>
      <c r="J118" s="101" t="s">
        <v>361</v>
      </c>
      <c r="K118" s="182" t="s">
        <v>902</v>
      </c>
      <c r="L118" s="113" t="s">
        <v>903</v>
      </c>
      <c r="M118" s="162" t="s">
        <v>141</v>
      </c>
      <c r="N118" s="176">
        <v>1000</v>
      </c>
      <c r="O118" s="106" t="str" cm="1">
        <f t="array" ref="O118">_xlfn.IFS(N118="","",ABS(N118)&lt;='Risk Matrices'!$E$7,'Risk Matrices'!$E$5,ABS(N118)&lt;='Risk Matrices'!$F$7,'Risk Matrices'!$F$5,ABS(N118)&lt;='Risk Matrices'!$G$7,'Risk Matrices'!$G$5,ABS(N118)&lt;='Risk Matrices'!$H$7,'Risk Matrices'!$H$5,ABS(N118)&gt;'Risk Matrices'!$H$7,'Risk Matrices'!$I$5)</f>
        <v>Marginal</v>
      </c>
      <c r="P118" s="133">
        <v>3</v>
      </c>
      <c r="Q118" s="101" t="str" cm="1">
        <f t="array" ref="Q118">_xlfn.IFS(P118="","",ABS(P118)&lt;='Risk Matrices'!$E$8,'Risk Matrices'!$E$5,ABS(P118)&lt;='Risk Matrices'!$F$8,'Risk Matrices'!$F$5,ABS(P118)&lt;='Risk Matrices'!$G$8,'Risk Matrices'!$G$5,ABS(P118)&lt;='Risk Matrices'!$H$8,'Risk Matrices'!$H$5,ABS(P118)&gt;'Risk Matrices'!$H$8,'Risk Matrices'!$I$5)</f>
        <v>Negligible</v>
      </c>
      <c r="R118" s="175" t="s">
        <v>307</v>
      </c>
      <c r="S118" s="133">
        <f t="shared" si="89"/>
        <v>3</v>
      </c>
      <c r="T118" s="106" cm="1">
        <f t="array" ref="T118">_xlfn.IFS(O118='Risk Matrices'!$D$28,'Risk Matrices'!$D$29,O118='Risk Matrices'!$E$28,'Risk Matrices'!$E$29,O118='Risk Matrices'!$F$28,'Risk Matrices'!$F$29,O118='Risk Matrices'!$G$28,'Risk Matrices'!$G$29,O118='Risk Matrices'!$H$28,'Risk Matrices'!$H$29)</f>
        <v>2</v>
      </c>
      <c r="U118" s="106">
        <f t="shared" si="93"/>
        <v>1</v>
      </c>
      <c r="V118" s="106">
        <f t="shared" si="108"/>
        <v>3</v>
      </c>
      <c r="W118" s="106">
        <f t="shared" si="94"/>
        <v>3</v>
      </c>
      <c r="X118" s="133">
        <f t="shared" si="95"/>
        <v>9</v>
      </c>
      <c r="Y118" s="107" t="str">
        <f t="shared" si="90"/>
        <v>Moderate</v>
      </c>
      <c r="Z118" s="149" t="s">
        <v>904</v>
      </c>
      <c r="AA118" s="177">
        <f t="shared" si="104"/>
        <v>0.32</v>
      </c>
      <c r="AB118" s="178">
        <f t="shared" si="105"/>
        <v>320</v>
      </c>
      <c r="AC118" s="137" t="s">
        <v>143</v>
      </c>
      <c r="AD118" s="179" t="s">
        <v>400</v>
      </c>
      <c r="AE118" s="179"/>
      <c r="AF118" s="101" t="s">
        <v>507</v>
      </c>
      <c r="AG118" s="101"/>
      <c r="AH118" s="157" t="s">
        <v>905</v>
      </c>
      <c r="AI118" s="160">
        <v>0.1</v>
      </c>
      <c r="AJ118" s="140">
        <v>0</v>
      </c>
      <c r="AK118" s="140">
        <v>250</v>
      </c>
      <c r="AL118" s="140">
        <v>1000</v>
      </c>
      <c r="AM118" s="140">
        <v>0</v>
      </c>
      <c r="AN118" s="140">
        <v>0</v>
      </c>
      <c r="AO118" s="140">
        <v>12</v>
      </c>
      <c r="AP118" s="112" t="str">
        <f>IF(OR(ISBLANK(AI118),AI118=0),"INSERT LIKELIHOOD",IF(ABS(AI118)&lt;='Risk Matrices'!$D$22,'Risk Matrices'!$C$21,IF(ABS(AI118)&lt;='Risk Matrices'!$D$19,'Risk Matrices'!$C$18,IF(ABS(AI118)&lt;='Risk Matrices'!$D$16,'Risk Matrices'!$C$15,IF(ABS(AI118)&lt;='Risk Matrices'!$D$13,'Risk Matrices'!$C$12,'Risk Matrices'!$C$10)))))</f>
        <v>Very Low</v>
      </c>
      <c r="AQ118" s="112" t="str">
        <f>IF(OR(ISBLANK(AK118),AK118=0),"None",IF(ABS(AK118)&lt;='Risk Matrices'!$E$7,'Risk Matrices'!$E$5,IF(ABS(AK118)&lt;='Risk Matrices'!$G$7,'Risk Matrices'!$G$5,IF(ABS(AK118)&lt;='Risk Matrices'!$H$7,'Risk Matrices'!$H$5,'Risk Matrices'!$I$5))))</f>
        <v>Negligible</v>
      </c>
      <c r="AR118" s="112" t="str">
        <f>IF(AN118="","",IF(ABS(AN118)&lt;='Risk Matrices'!$E$8,"Negligible",IF(ABS(AN118)&lt;='Risk Matrices'!$F$8,"Marginal",IF(ABS(AN118)&lt;='Risk Matrices'!$G$8,"Significant",IF(ABS(AN118)&lt;='Risk Matrices'!$H$8,"Critical","Crisis")))))</f>
        <v>Negligible</v>
      </c>
      <c r="AS118" s="161" t="s">
        <v>207</v>
      </c>
      <c r="AT118" s="298">
        <f>IF(OR(ISBLANK(AI118),AI118=0),0,VLOOKUP(AP118,'Risk Matrices'!$B$30:$C$34,2,0))</f>
        <v>1</v>
      </c>
      <c r="AU118" s="298">
        <f>IF(OR(ISBLANK(AK118),AK118=0),0,HLOOKUP(AQ118,'Risk Matrices'!$D$28:$H$29,2,0))</f>
        <v>1</v>
      </c>
      <c r="AV118" s="298">
        <f>IF(OR(ISBLANK(AR118),AR118=0),0,HLOOKUP(AR118,'Risk Matrices'!$D$28:$H$29,2,0))</f>
        <v>1</v>
      </c>
      <c r="AW118" s="298">
        <f>IF(OR(ISBLANK(AS118),AS118=0),0,HLOOKUP(AS118,'Risk Matrices'!$D$28:$H$29,2,0))</f>
        <v>1</v>
      </c>
      <c r="AX118" s="106">
        <f t="shared" si="82"/>
        <v>1</v>
      </c>
      <c r="AY118" s="106">
        <f t="shared" si="83"/>
        <v>1</v>
      </c>
      <c r="AZ118" s="107" t="str">
        <f>IF(B118="Retired","Retired",IF(OR(ISBLANK(AY118),AY118=0),"TBD",IF(AY118&lt;='Risk Matrices'!$D$40,'Risk Matrices'!$B$40,IF(AY118&lt;='Risk Matrices'!$D$39,'Risk Matrices'!$B$39,'Risk Matrices'!$B$38))))</f>
        <v>Low</v>
      </c>
      <c r="BA118" s="160"/>
      <c r="BB118" s="101" t="s">
        <v>366</v>
      </c>
      <c r="BC118" s="109">
        <f t="shared" si="84"/>
        <v>25</v>
      </c>
      <c r="BD118" s="185">
        <v>45315</v>
      </c>
      <c r="BE118" s="174"/>
      <c r="BF118" s="115"/>
      <c r="BG118" s="115"/>
      <c r="BH118" s="115"/>
      <c r="BI118" s="115"/>
      <c r="BJ118" s="874">
        <f t="shared" si="91"/>
        <v>41.666666666666671</v>
      </c>
      <c r="BK118" s="157"/>
      <c r="BL118" s="157"/>
      <c r="BM118" s="181">
        <v>44438</v>
      </c>
      <c r="BN118" s="330">
        <v>44466</v>
      </c>
      <c r="BO118" s="332"/>
      <c r="BP118" s="94">
        <f t="shared" si="102"/>
        <v>33.333333333333336</v>
      </c>
      <c r="BQ118" s="97" t="str">
        <f t="shared" si="85"/>
        <v>0 - 250 - 1000</v>
      </c>
      <c r="BR118" s="97" t="str">
        <f t="shared" si="86"/>
        <v>0 - 0 - 12</v>
      </c>
      <c r="BS118" s="715">
        <f t="shared" si="106"/>
        <v>41.666666666666671</v>
      </c>
      <c r="BT118" s="736">
        <f t="shared" si="88"/>
        <v>0.40000000000000008</v>
      </c>
      <c r="BU118" s="735" t="s">
        <v>906</v>
      </c>
      <c r="BV118" s="873">
        <v>45382</v>
      </c>
      <c r="BW118">
        <f t="shared" si="109"/>
        <v>916</v>
      </c>
    </row>
    <row r="119" spans="2:75" customFormat="1" ht="55.25" hidden="1" customHeight="1" x14ac:dyDescent="0.2">
      <c r="B119" s="101" t="str">
        <f t="shared" si="92"/>
        <v>Active</v>
      </c>
      <c r="C119" s="786" t="s">
        <v>907</v>
      </c>
      <c r="D119" s="101" t="s">
        <v>151</v>
      </c>
      <c r="E119" s="164" t="s">
        <v>834</v>
      </c>
      <c r="F119" s="171" t="s">
        <v>124</v>
      </c>
      <c r="G119" s="140" t="s">
        <v>835</v>
      </c>
      <c r="H119" s="101" t="str">
        <f t="shared" si="107"/>
        <v>RT-6-006-011</v>
      </c>
      <c r="I119" s="140" t="s">
        <v>360</v>
      </c>
      <c r="J119" s="101" t="s">
        <v>361</v>
      </c>
      <c r="K119" s="182" t="s">
        <v>908</v>
      </c>
      <c r="L119" s="149" t="s">
        <v>909</v>
      </c>
      <c r="M119" s="103" t="s">
        <v>129</v>
      </c>
      <c r="N119" s="176">
        <v>2000</v>
      </c>
      <c r="O119" s="106" t="str" cm="1">
        <f t="array" ref="O119">_xlfn.IFS(N119="","",ABS(N119)&lt;='Risk Matrices'!$E$7,'Risk Matrices'!$E$5,ABS(N119)&lt;='Risk Matrices'!$F$7,'Risk Matrices'!$F$5,ABS(N119)&lt;='Risk Matrices'!$G$7,'Risk Matrices'!$G$5,ABS(N119)&lt;='Risk Matrices'!$H$7,'Risk Matrices'!$H$5,ABS(N119)&gt;'Risk Matrices'!$H$7,'Risk Matrices'!$I$5)</f>
        <v>Significant</v>
      </c>
      <c r="P119" s="133">
        <v>18</v>
      </c>
      <c r="Q119" s="101" t="str" cm="1">
        <f t="array" ref="Q119">_xlfn.IFS(P119="","",ABS(P119)&lt;='Risk Matrices'!$E$8,'Risk Matrices'!$E$5,ABS(P119)&lt;='Risk Matrices'!$F$8,'Risk Matrices'!$F$5,ABS(P119)&lt;='Risk Matrices'!$G$8,'Risk Matrices'!$G$5,ABS(P119)&lt;='Risk Matrices'!$H$8,'Risk Matrices'!$H$5,ABS(P119)&gt;'Risk Matrices'!$H$8,'Risk Matrices'!$I$5)</f>
        <v>Critical</v>
      </c>
      <c r="R119" s="175" t="s">
        <v>307</v>
      </c>
      <c r="S119" s="133">
        <f t="shared" si="89"/>
        <v>4</v>
      </c>
      <c r="T119" s="106" cm="1">
        <f t="array" ref="T119">_xlfn.IFS(O119='Risk Matrices'!$D$28,'Risk Matrices'!$D$29,O119='Risk Matrices'!$E$28,'Risk Matrices'!$E$29,O119='Risk Matrices'!$F$28,'Risk Matrices'!$F$29,O119='Risk Matrices'!$G$28,'Risk Matrices'!$G$29,O119='Risk Matrices'!$H$28,'Risk Matrices'!$H$29)</f>
        <v>3</v>
      </c>
      <c r="U119" s="106">
        <f t="shared" si="93"/>
        <v>4</v>
      </c>
      <c r="V119" s="106">
        <f t="shared" si="108"/>
        <v>3</v>
      </c>
      <c r="W119" s="106">
        <f t="shared" si="94"/>
        <v>4</v>
      </c>
      <c r="X119" s="133">
        <f t="shared" si="95"/>
        <v>16</v>
      </c>
      <c r="Y119" s="107" t="str">
        <f t="shared" si="90"/>
        <v>High</v>
      </c>
      <c r="Z119" s="149" t="s">
        <v>910</v>
      </c>
      <c r="AA119" s="177">
        <f t="shared" si="104"/>
        <v>0.52</v>
      </c>
      <c r="AB119" s="178">
        <f t="shared" si="105"/>
        <v>1040</v>
      </c>
      <c r="AC119" s="137" t="s">
        <v>143</v>
      </c>
      <c r="AD119" s="179" t="s">
        <v>911</v>
      </c>
      <c r="AE119" s="179"/>
      <c r="AF119" s="103" t="s">
        <v>912</v>
      </c>
      <c r="AG119" s="103"/>
      <c r="AH119" s="933" t="s">
        <v>913</v>
      </c>
      <c r="AI119" s="160">
        <v>0.5</v>
      </c>
      <c r="AJ119" s="140">
        <v>75</v>
      </c>
      <c r="AK119" s="140">
        <v>300</v>
      </c>
      <c r="AL119" s="140">
        <v>2000</v>
      </c>
      <c r="AM119" s="140">
        <v>0</v>
      </c>
      <c r="AN119" s="140">
        <v>18</v>
      </c>
      <c r="AO119" s="140">
        <v>24</v>
      </c>
      <c r="AP119" s="112" t="str">
        <f>IF(OR(ISBLANK(AI119),AI119=0),"INSERT LIKELIHOOD",IF(ABS(AI119)&lt;='Risk Matrices'!$D$22,'Risk Matrices'!$C$21,IF(ABS(AI119)&lt;='Risk Matrices'!$D$19,'Risk Matrices'!$C$18,IF(ABS(AI119)&lt;='Risk Matrices'!$D$16,'Risk Matrices'!$C$15,IF(ABS(AI119)&lt;='Risk Matrices'!$D$13,'Risk Matrices'!$C$12,'Risk Matrices'!$C$10)))))</f>
        <v>High</v>
      </c>
      <c r="AQ119" s="112" t="str">
        <f>IF(OR(ISBLANK(AK119),AK119=0),"None",IF(ABS(AK119)&lt;='Risk Matrices'!$E$7,'Risk Matrices'!$E$5,IF(ABS(AK119)&lt;='Risk Matrices'!$G$7,'Risk Matrices'!$G$5,IF(ABS(AK119)&lt;='Risk Matrices'!$H$7,'Risk Matrices'!$H$5,'Risk Matrices'!$I$5))))</f>
        <v>Significant</v>
      </c>
      <c r="AR119" s="112" t="str">
        <f>IF(AN119="","",IF(ABS(AN119)&lt;='Risk Matrices'!$E$8,"Negligible",IF(ABS(AN119)&lt;='Risk Matrices'!$F$8,"Marginal",IF(ABS(AN119)&lt;='Risk Matrices'!$G$8,"Significant",IF(ABS(AN119)&lt;='Risk Matrices'!$H$8,"Critical","Crisis")))))</f>
        <v>Critical</v>
      </c>
      <c r="AS119" s="161" t="s">
        <v>406</v>
      </c>
      <c r="AT119" s="298">
        <f>IF(OR(ISBLANK(AI119),AI119=0),0,VLOOKUP(AP119,'Risk Matrices'!$B$30:$C$34,2,0))</f>
        <v>4</v>
      </c>
      <c r="AU119" s="298">
        <f>IF(OR(ISBLANK(AK119),AK119=0),0,HLOOKUP(AQ119,'Risk Matrices'!$D$28:$H$29,2,0))</f>
        <v>3</v>
      </c>
      <c r="AV119" s="298">
        <f>IF(OR(ISBLANK(AR119),AR119=0),0,HLOOKUP(AR119,'Risk Matrices'!$D$28:$H$29,2,0))</f>
        <v>4</v>
      </c>
      <c r="AW119" s="298">
        <f>IF(OR(ISBLANK(AS119),AS119=0),0,HLOOKUP(AS119,'Risk Matrices'!$D$28:$H$29,2,0))</f>
        <v>4</v>
      </c>
      <c r="AX119" s="106">
        <f t="shared" si="82"/>
        <v>4</v>
      </c>
      <c r="AY119" s="106">
        <f t="shared" si="83"/>
        <v>16</v>
      </c>
      <c r="AZ119" s="107" t="str">
        <f>IF(B119="Retired","Retired",IF(OR(ISBLANK(AY119),AY119=0),"TBD",IF(AY119&lt;='Risk Matrices'!$D$40,'Risk Matrices'!$B$40,IF(AY119&lt;='Risk Matrices'!$D$39,'Risk Matrices'!$B$39,'Risk Matrices'!$B$38))))</f>
        <v>High</v>
      </c>
      <c r="BA119" s="160"/>
      <c r="BB119" s="101" t="s">
        <v>366</v>
      </c>
      <c r="BC119" s="109">
        <f t="shared" si="84"/>
        <v>150</v>
      </c>
      <c r="BD119" s="185">
        <v>45375</v>
      </c>
      <c r="BE119" s="174"/>
      <c r="BF119" s="115"/>
      <c r="BG119" s="115"/>
      <c r="BH119" s="115"/>
      <c r="BI119" s="115"/>
      <c r="BJ119" s="874">
        <f t="shared" si="91"/>
        <v>395.83333333333331</v>
      </c>
      <c r="BK119" s="157"/>
      <c r="BL119" s="157"/>
      <c r="BM119" s="181">
        <v>44438</v>
      </c>
      <c r="BN119" s="330">
        <v>44466</v>
      </c>
      <c r="BO119" s="332"/>
      <c r="BP119" s="94">
        <f t="shared" si="102"/>
        <v>272.91666666666669</v>
      </c>
      <c r="BQ119" s="97" t="str">
        <f t="shared" si="85"/>
        <v>75 - 300 - 2000</v>
      </c>
      <c r="BR119" s="97" t="str">
        <f t="shared" si="86"/>
        <v>0 - 18 - 24</v>
      </c>
      <c r="BS119" s="715">
        <f t="shared" si="106"/>
        <v>395.83333333333331</v>
      </c>
      <c r="BT119" s="736">
        <f t="shared" si="88"/>
        <v>7</v>
      </c>
      <c r="BU119" s="735" t="s">
        <v>914</v>
      </c>
      <c r="BV119" s="873">
        <v>45382</v>
      </c>
      <c r="BW119">
        <f t="shared" si="109"/>
        <v>916</v>
      </c>
    </row>
    <row r="120" spans="2:75" customFormat="1" ht="153" hidden="1" x14ac:dyDescent="0.2">
      <c r="B120" s="101" t="str">
        <f t="shared" si="92"/>
        <v>Active</v>
      </c>
      <c r="C120" s="786" t="s">
        <v>915</v>
      </c>
      <c r="D120" s="101" t="s">
        <v>151</v>
      </c>
      <c r="E120" s="164" t="s">
        <v>834</v>
      </c>
      <c r="F120" s="171" t="s">
        <v>124</v>
      </c>
      <c r="G120" s="140" t="s">
        <v>835</v>
      </c>
      <c r="H120" s="101" t="str">
        <f t="shared" si="107"/>
        <v>RT-6-006-012</v>
      </c>
      <c r="I120" s="140" t="s">
        <v>360</v>
      </c>
      <c r="J120" s="101" t="s">
        <v>361</v>
      </c>
      <c r="K120" s="182" t="s">
        <v>916</v>
      </c>
      <c r="L120" s="113" t="s">
        <v>917</v>
      </c>
      <c r="M120" s="162" t="s">
        <v>164</v>
      </c>
      <c r="N120" s="176">
        <v>2000</v>
      </c>
      <c r="O120" s="106" t="str" cm="1">
        <f t="array" ref="O120">_xlfn.IFS(N120="","",ABS(N120)&lt;='Risk Matrices'!$E$7,'Risk Matrices'!$E$5,ABS(N120)&lt;='Risk Matrices'!$F$7,'Risk Matrices'!$F$5,ABS(N120)&lt;='Risk Matrices'!$G$7,'Risk Matrices'!$G$5,ABS(N120)&lt;='Risk Matrices'!$H$7,'Risk Matrices'!$H$5,ABS(N120)&gt;'Risk Matrices'!$H$7,'Risk Matrices'!$I$5)</f>
        <v>Significant</v>
      </c>
      <c r="P120" s="133">
        <v>18</v>
      </c>
      <c r="Q120" s="101" t="str" cm="1">
        <f t="array" ref="Q120">_xlfn.IFS(P120="","",ABS(P120)&lt;='Risk Matrices'!$E$8,'Risk Matrices'!$E$5,ABS(P120)&lt;='Risk Matrices'!$F$8,'Risk Matrices'!$F$5,ABS(P120)&lt;='Risk Matrices'!$G$8,'Risk Matrices'!$G$5,ABS(P120)&lt;='Risk Matrices'!$H$8,'Risk Matrices'!$H$5,ABS(P120)&gt;'Risk Matrices'!$H$8,'Risk Matrices'!$I$5)</f>
        <v>Critical</v>
      </c>
      <c r="R120" s="175" t="s">
        <v>307</v>
      </c>
      <c r="S120" s="133">
        <f t="shared" si="89"/>
        <v>2</v>
      </c>
      <c r="T120" s="106" cm="1">
        <f t="array" ref="T120">_xlfn.IFS(O120='Risk Matrices'!$D$28,'Risk Matrices'!$D$29,O120='Risk Matrices'!$E$28,'Risk Matrices'!$E$29,O120='Risk Matrices'!$F$28,'Risk Matrices'!$F$29,O120='Risk Matrices'!$G$28,'Risk Matrices'!$G$29,O120='Risk Matrices'!$H$28,'Risk Matrices'!$H$29)</f>
        <v>3</v>
      </c>
      <c r="U120" s="106">
        <f t="shared" si="93"/>
        <v>4</v>
      </c>
      <c r="V120" s="106">
        <f t="shared" si="108"/>
        <v>3</v>
      </c>
      <c r="W120" s="106">
        <f t="shared" si="94"/>
        <v>4</v>
      </c>
      <c r="X120" s="133">
        <f t="shared" si="95"/>
        <v>8</v>
      </c>
      <c r="Y120" s="107" t="str">
        <f t="shared" si="90"/>
        <v>Moderate</v>
      </c>
      <c r="Z120" s="794" t="s">
        <v>918</v>
      </c>
      <c r="AA120" s="795">
        <f t="shared" si="104"/>
        <v>0.17</v>
      </c>
      <c r="AB120" s="796">
        <f t="shared" si="105"/>
        <v>340</v>
      </c>
      <c r="AC120" s="137" t="s">
        <v>143</v>
      </c>
      <c r="AD120" s="179" t="s">
        <v>400</v>
      </c>
      <c r="AE120" s="179"/>
      <c r="AF120" s="103" t="s">
        <v>628</v>
      </c>
      <c r="AG120" s="103"/>
      <c r="AH120" s="853" t="s">
        <v>919</v>
      </c>
      <c r="AI120" s="160">
        <v>0.05</v>
      </c>
      <c r="AJ120" s="140">
        <v>4000</v>
      </c>
      <c r="AK120" s="140">
        <v>12500</v>
      </c>
      <c r="AL120" s="176">
        <v>25000</v>
      </c>
      <c r="AM120" s="140">
        <v>12</v>
      </c>
      <c r="AN120" s="140">
        <v>18</v>
      </c>
      <c r="AO120" s="140">
        <v>24</v>
      </c>
      <c r="AP120" s="112" t="str">
        <f>IF(OR(ISBLANK(AI120),AI120=0),"INSERT LIKELIHOOD",IF(ABS(AI120)&lt;='Risk Matrices'!$D$22,'Risk Matrices'!$C$21,IF(ABS(AI120)&lt;='Risk Matrices'!$D$19,'Risk Matrices'!$C$18,IF(ABS(AI120)&lt;='Risk Matrices'!$D$16,'Risk Matrices'!$C$15,IF(ABS(AI120)&lt;='Risk Matrices'!$D$13,'Risk Matrices'!$C$12,'Risk Matrices'!$C$10)))))</f>
        <v>Very Low</v>
      </c>
      <c r="AQ120" s="112" t="str">
        <f>IF(OR(ISBLANK(AK120),AK120=0),"None",IF(ABS(AK120)&lt;='Risk Matrices'!$E$7,'Risk Matrices'!$E$5,IF(ABS(AK120)&lt;='Risk Matrices'!$G$7,'Risk Matrices'!$G$5,IF(ABS(AK120)&lt;='Risk Matrices'!$H$7,'Risk Matrices'!$H$5,'Risk Matrices'!$I$5))))</f>
        <v>Critical</v>
      </c>
      <c r="AR120" s="112" t="str">
        <f>IF(AN120="","",IF(ABS(AN120)&lt;='Risk Matrices'!$E$8,"Negligible",IF(ABS(AN120)&lt;='Risk Matrices'!$F$8,"Marginal",IF(ABS(AN120)&lt;='Risk Matrices'!$G$8,"Significant",IF(ABS(AN120)&lt;='Risk Matrices'!$H$8,"Critical","Crisis")))))</f>
        <v>Critical</v>
      </c>
      <c r="AS120" s="161" t="s">
        <v>307</v>
      </c>
      <c r="AT120" s="298">
        <f>IF(OR(ISBLANK(AI120),AI120=0),0,VLOOKUP(AP120,'Risk Matrices'!$B$30:$C$34,2,0))</f>
        <v>1</v>
      </c>
      <c r="AU120" s="298">
        <f>IF(OR(ISBLANK(AK120),AK120=0),0,HLOOKUP(AQ120,'Risk Matrices'!$D$28:$H$29,2,0))</f>
        <v>4</v>
      </c>
      <c r="AV120" s="298">
        <f>IF(OR(ISBLANK(AR120),AR120=0),0,HLOOKUP(AR120,'Risk Matrices'!$D$28:$H$29,2,0))</f>
        <v>4</v>
      </c>
      <c r="AW120" s="298">
        <f>IF(OR(ISBLANK(AS120),AS120=0),0,HLOOKUP(AS120,'Risk Matrices'!$D$28:$H$29,2,0))</f>
        <v>3</v>
      </c>
      <c r="AX120" s="106">
        <f t="shared" si="82"/>
        <v>4</v>
      </c>
      <c r="AY120" s="106">
        <f t="shared" si="83"/>
        <v>4</v>
      </c>
      <c r="AZ120" s="165" t="str">
        <f>IF(B120="Retired","Retired",IF(OR(ISBLANK(AY120),AY120=0),"TBD",IF(AY120&lt;='Risk Matrices'!$D$40,'Risk Matrices'!$B$40,IF(AY120&lt;='Risk Matrices'!$D$39,'Risk Matrices'!$B$39,'Risk Matrices'!$B$38))))</f>
        <v>Low</v>
      </c>
      <c r="BA120" s="160"/>
      <c r="BB120" s="101" t="s">
        <v>366</v>
      </c>
      <c r="BC120" s="109">
        <f t="shared" si="84"/>
        <v>625</v>
      </c>
      <c r="BD120" s="185">
        <v>45315</v>
      </c>
      <c r="BE120" s="174"/>
      <c r="BF120" s="798" t="s">
        <v>919</v>
      </c>
      <c r="BG120" s="115"/>
      <c r="BH120" s="115"/>
      <c r="BI120" s="115"/>
      <c r="BJ120" s="874">
        <f t="shared" si="91"/>
        <v>691.66666666666674</v>
      </c>
      <c r="BK120" s="157"/>
      <c r="BL120" s="157"/>
      <c r="BM120" s="181">
        <v>44438</v>
      </c>
      <c r="BN120" s="330">
        <v>44466</v>
      </c>
      <c r="BO120" s="332"/>
      <c r="BP120" s="94">
        <f t="shared" si="102"/>
        <v>658.33333333333337</v>
      </c>
      <c r="BQ120" s="97" t="str">
        <f t="shared" si="85"/>
        <v>4000 - 12500 - 25000</v>
      </c>
      <c r="BR120" s="97" t="str">
        <f t="shared" si="86"/>
        <v>12 - 18 - 24</v>
      </c>
      <c r="BS120" s="715">
        <f t="shared" si="106"/>
        <v>691.66666666666674</v>
      </c>
      <c r="BT120" s="736">
        <f t="shared" si="88"/>
        <v>0.9</v>
      </c>
      <c r="BU120" s="735" t="s">
        <v>920</v>
      </c>
      <c r="BV120" s="873">
        <v>45382</v>
      </c>
      <c r="BW120">
        <f t="shared" si="109"/>
        <v>916</v>
      </c>
    </row>
    <row r="121" spans="2:75" customFormat="1" ht="136" hidden="1" x14ac:dyDescent="0.2">
      <c r="B121" s="101" t="str">
        <f t="shared" si="92"/>
        <v>Active</v>
      </c>
      <c r="C121" s="786" t="s">
        <v>921</v>
      </c>
      <c r="D121" s="101" t="s">
        <v>151</v>
      </c>
      <c r="E121" s="164" t="s">
        <v>834</v>
      </c>
      <c r="F121" s="171" t="s">
        <v>124</v>
      </c>
      <c r="G121" s="140" t="s">
        <v>835</v>
      </c>
      <c r="H121" s="101" t="str">
        <f t="shared" si="107"/>
        <v>RT-6-006-013</v>
      </c>
      <c r="I121" s="140" t="s">
        <v>360</v>
      </c>
      <c r="J121" s="101" t="s">
        <v>361</v>
      </c>
      <c r="K121" s="182" t="s">
        <v>922</v>
      </c>
      <c r="L121" s="113" t="s">
        <v>923</v>
      </c>
      <c r="M121" s="162" t="s">
        <v>164</v>
      </c>
      <c r="N121" s="176">
        <v>6000</v>
      </c>
      <c r="O121" s="106" t="str" cm="1">
        <f t="array" ref="O121">_xlfn.IFS(N121="","",ABS(N121)&lt;='Risk Matrices'!$E$7,'Risk Matrices'!$E$5,ABS(N121)&lt;='Risk Matrices'!$F$7,'Risk Matrices'!$F$5,ABS(N121)&lt;='Risk Matrices'!$G$7,'Risk Matrices'!$G$5,ABS(N121)&lt;='Risk Matrices'!$H$7,'Risk Matrices'!$H$5,ABS(N121)&gt;'Risk Matrices'!$H$7,'Risk Matrices'!$I$5)</f>
        <v>Critical</v>
      </c>
      <c r="P121" s="133">
        <v>24</v>
      </c>
      <c r="Q121" s="101" t="str" cm="1">
        <f t="array" ref="Q121">_xlfn.IFS(P121="","",ABS(P121)&lt;='Risk Matrices'!$E$8,'Risk Matrices'!$E$5,ABS(P121)&lt;='Risk Matrices'!$F$8,'Risk Matrices'!$F$5,ABS(P121)&lt;='Risk Matrices'!$G$8,'Risk Matrices'!$G$5,ABS(P121)&lt;='Risk Matrices'!$H$8,'Risk Matrices'!$H$5,ABS(P121)&gt;'Risk Matrices'!$H$8,'Risk Matrices'!$I$5)</f>
        <v>Critical</v>
      </c>
      <c r="R121" s="175" t="s">
        <v>307</v>
      </c>
      <c r="S121" s="133">
        <f t="shared" si="89"/>
        <v>2</v>
      </c>
      <c r="T121" s="106" cm="1">
        <f t="array" ref="T121">_xlfn.IFS(O121='Risk Matrices'!$D$28,'Risk Matrices'!$D$29,O121='Risk Matrices'!$E$28,'Risk Matrices'!$E$29,O121='Risk Matrices'!$F$28,'Risk Matrices'!$F$29,O121='Risk Matrices'!$G$28,'Risk Matrices'!$G$29,O121='Risk Matrices'!$H$28,'Risk Matrices'!$H$29)</f>
        <v>4</v>
      </c>
      <c r="U121" s="106">
        <f t="shared" si="93"/>
        <v>4</v>
      </c>
      <c r="V121" s="106">
        <f t="shared" si="108"/>
        <v>3</v>
      </c>
      <c r="W121" s="106">
        <f t="shared" si="94"/>
        <v>4</v>
      </c>
      <c r="X121" s="133">
        <f t="shared" si="95"/>
        <v>8</v>
      </c>
      <c r="Y121" s="107" t="str">
        <f t="shared" si="90"/>
        <v>Moderate</v>
      </c>
      <c r="Z121" s="794" t="s">
        <v>924</v>
      </c>
      <c r="AA121" s="795">
        <f t="shared" si="104"/>
        <v>0.17</v>
      </c>
      <c r="AB121" s="796">
        <f t="shared" si="105"/>
        <v>1020.0000000000001</v>
      </c>
      <c r="AC121" s="137" t="s">
        <v>143</v>
      </c>
      <c r="AD121" s="179" t="s">
        <v>400</v>
      </c>
      <c r="AE121" s="179"/>
      <c r="AF121" s="103" t="s">
        <v>628</v>
      </c>
      <c r="AG121" s="103"/>
      <c r="AH121" s="853" t="s">
        <v>925</v>
      </c>
      <c r="AI121" s="160">
        <v>0.05</v>
      </c>
      <c r="AJ121" s="140">
        <v>4000</v>
      </c>
      <c r="AK121" s="140">
        <v>5000</v>
      </c>
      <c r="AL121" s="176">
        <v>10000</v>
      </c>
      <c r="AM121" s="140">
        <v>12</v>
      </c>
      <c r="AN121" s="140">
        <v>18</v>
      </c>
      <c r="AO121" s="140">
        <v>24</v>
      </c>
      <c r="AP121" s="112" t="str">
        <f>IF(OR(ISBLANK(AI121),AI121=0),"INSERT LIKELIHOOD",IF(ABS(AI121)&lt;='Risk Matrices'!$D$22,'Risk Matrices'!$C$21,IF(ABS(AI121)&lt;='Risk Matrices'!$D$19,'Risk Matrices'!$C$18,IF(ABS(AI121)&lt;='Risk Matrices'!$D$16,'Risk Matrices'!$C$15,IF(ABS(AI121)&lt;='Risk Matrices'!$D$13,'Risk Matrices'!$C$12,'Risk Matrices'!$C$10)))))</f>
        <v>Very Low</v>
      </c>
      <c r="AQ121" s="112" t="str">
        <f>IF(OR(ISBLANK(AK121),AK121=0),"None",IF(ABS(AK121)&lt;='Risk Matrices'!$E$7,'Risk Matrices'!$E$5,IF(ABS(AK121)&lt;='Risk Matrices'!$G$7,'Risk Matrices'!$G$5,IF(ABS(AK121)&lt;='Risk Matrices'!$H$7,'Risk Matrices'!$H$5,'Risk Matrices'!$I$5))))</f>
        <v>Significant</v>
      </c>
      <c r="AR121" s="112" t="str">
        <f>IF(AN121="","",IF(ABS(AN121)&lt;='Risk Matrices'!$E$8,"Negligible",IF(ABS(AN121)&lt;='Risk Matrices'!$F$8,"Marginal",IF(ABS(AN121)&lt;='Risk Matrices'!$G$8,"Significant",IF(ABS(AN121)&lt;='Risk Matrices'!$H$8,"Critical","Crisis")))))</f>
        <v>Critical</v>
      </c>
      <c r="AS121" s="161" t="s">
        <v>307</v>
      </c>
      <c r="AT121" s="298">
        <f>IF(OR(ISBLANK(AI121),AI121=0),0,VLOOKUP(AP121,'Risk Matrices'!$B$30:$C$34,2,0))</f>
        <v>1</v>
      </c>
      <c r="AU121" s="298">
        <f>IF(OR(ISBLANK(AK121),AK121=0),0,HLOOKUP(AQ121,'Risk Matrices'!$D$28:$H$29,2,0))</f>
        <v>3</v>
      </c>
      <c r="AV121" s="298">
        <f>IF(OR(ISBLANK(AR121),AR121=0),0,HLOOKUP(AR121,'Risk Matrices'!$D$28:$H$29,2,0))</f>
        <v>4</v>
      </c>
      <c r="AW121" s="298">
        <f>IF(OR(ISBLANK(AS121),AS121=0),0,HLOOKUP(AS121,'Risk Matrices'!$D$28:$H$29,2,0))</f>
        <v>3</v>
      </c>
      <c r="AX121" s="106">
        <f t="shared" si="82"/>
        <v>4</v>
      </c>
      <c r="AY121" s="106">
        <f t="shared" si="83"/>
        <v>4</v>
      </c>
      <c r="AZ121" s="165" t="str">
        <f>IF(B121="Retired","Retired",IF(OR(ISBLANK(AY121),AY121=0),"TBD",IF(AY121&lt;='Risk Matrices'!$D$40,'Risk Matrices'!$B$40,IF(AY121&lt;='Risk Matrices'!$D$39,'Risk Matrices'!$B$39,'Risk Matrices'!$B$38))))</f>
        <v>Low</v>
      </c>
      <c r="BA121" s="160"/>
      <c r="BB121" s="101" t="s">
        <v>366</v>
      </c>
      <c r="BC121" s="109">
        <f t="shared" si="84"/>
        <v>250</v>
      </c>
      <c r="BD121" s="185">
        <v>45315</v>
      </c>
      <c r="BE121" s="174"/>
      <c r="BF121" s="773" t="s">
        <v>925</v>
      </c>
      <c r="BG121" s="115"/>
      <c r="BH121" s="115"/>
      <c r="BI121" s="115"/>
      <c r="BJ121" s="874">
        <f t="shared" si="91"/>
        <v>316.66666666666669</v>
      </c>
      <c r="BK121" s="157"/>
      <c r="BL121" s="157"/>
      <c r="BM121" s="181">
        <v>44438</v>
      </c>
      <c r="BN121" s="330">
        <v>44466</v>
      </c>
      <c r="BO121" s="332"/>
      <c r="BP121" s="94">
        <f t="shared" si="102"/>
        <v>283.33333333333337</v>
      </c>
      <c r="BQ121" s="97" t="str">
        <f t="shared" si="85"/>
        <v>4000 - 5000 - 10000</v>
      </c>
      <c r="BR121" s="97" t="str">
        <f t="shared" si="86"/>
        <v>12 - 18 - 24</v>
      </c>
      <c r="BS121" s="715">
        <f t="shared" si="106"/>
        <v>316.66666666666669</v>
      </c>
      <c r="BT121" s="736">
        <f t="shared" si="88"/>
        <v>0.9</v>
      </c>
      <c r="BU121" s="735" t="s">
        <v>926</v>
      </c>
      <c r="BV121" s="873">
        <v>45382</v>
      </c>
      <c r="BW121">
        <f t="shared" si="109"/>
        <v>916</v>
      </c>
    </row>
    <row r="122" spans="2:75" customFormat="1" ht="55.25" hidden="1" customHeight="1" x14ac:dyDescent="0.2">
      <c r="B122" s="101" t="str">
        <f t="shared" si="92"/>
        <v>Active</v>
      </c>
      <c r="C122" s="786" t="s">
        <v>927</v>
      </c>
      <c r="D122" s="101" t="s">
        <v>151</v>
      </c>
      <c r="E122" s="164" t="s">
        <v>834</v>
      </c>
      <c r="F122" s="171" t="s">
        <v>124</v>
      </c>
      <c r="G122" s="140" t="s">
        <v>835</v>
      </c>
      <c r="H122" s="101" t="str">
        <f t="shared" si="107"/>
        <v>RT-6-006-014</v>
      </c>
      <c r="I122" s="140" t="s">
        <v>360</v>
      </c>
      <c r="J122" s="101" t="s">
        <v>361</v>
      </c>
      <c r="K122" s="182" t="s">
        <v>928</v>
      </c>
      <c r="L122" s="149" t="s">
        <v>929</v>
      </c>
      <c r="M122" s="162" t="s">
        <v>164</v>
      </c>
      <c r="N122" s="176">
        <v>2000</v>
      </c>
      <c r="O122" s="106" t="str" cm="1">
        <f t="array" ref="O122">_xlfn.IFS(N122="","",ABS(N122)&lt;='Risk Matrices'!$E$7,'Risk Matrices'!$E$5,ABS(N122)&lt;='Risk Matrices'!$F$7,'Risk Matrices'!$F$5,ABS(N122)&lt;='Risk Matrices'!$G$7,'Risk Matrices'!$G$5,ABS(N122)&lt;='Risk Matrices'!$H$7,'Risk Matrices'!$H$5,ABS(N122)&gt;'Risk Matrices'!$H$7,'Risk Matrices'!$I$5)</f>
        <v>Significant</v>
      </c>
      <c r="P122" s="133">
        <v>3</v>
      </c>
      <c r="Q122" s="101" t="str" cm="1">
        <f t="array" ref="Q122">_xlfn.IFS(P122="","",ABS(P122)&lt;='Risk Matrices'!$E$8,'Risk Matrices'!$E$5,ABS(P122)&lt;='Risk Matrices'!$F$8,'Risk Matrices'!$F$5,ABS(P122)&lt;='Risk Matrices'!$G$8,'Risk Matrices'!$G$5,ABS(P122)&lt;='Risk Matrices'!$H$8,'Risk Matrices'!$H$5,ABS(P122)&gt;'Risk Matrices'!$H$8,'Risk Matrices'!$I$5)</f>
        <v>Negligible</v>
      </c>
      <c r="R122" s="175" t="s">
        <v>307</v>
      </c>
      <c r="S122" s="133">
        <f t="shared" si="89"/>
        <v>2</v>
      </c>
      <c r="T122" s="106" cm="1">
        <f t="array" ref="T122">_xlfn.IFS(O122='Risk Matrices'!$D$28,'Risk Matrices'!$D$29,O122='Risk Matrices'!$E$28,'Risk Matrices'!$E$29,O122='Risk Matrices'!$F$28,'Risk Matrices'!$F$29,O122='Risk Matrices'!$G$28,'Risk Matrices'!$G$29,O122='Risk Matrices'!$H$28,'Risk Matrices'!$H$29)</f>
        <v>3</v>
      </c>
      <c r="U122" s="106">
        <f t="shared" si="93"/>
        <v>1</v>
      </c>
      <c r="V122" s="106">
        <f t="shared" si="108"/>
        <v>3</v>
      </c>
      <c r="W122" s="106">
        <f t="shared" si="94"/>
        <v>3</v>
      </c>
      <c r="X122" s="133">
        <f t="shared" si="95"/>
        <v>6</v>
      </c>
      <c r="Y122" s="107" t="str">
        <f t="shared" si="90"/>
        <v>Low</v>
      </c>
      <c r="Z122" s="794" t="s">
        <v>918</v>
      </c>
      <c r="AA122" s="795">
        <f t="shared" si="104"/>
        <v>0.17</v>
      </c>
      <c r="AB122" s="796">
        <f t="shared" si="105"/>
        <v>340</v>
      </c>
      <c r="AC122" s="137" t="s">
        <v>143</v>
      </c>
      <c r="AD122" s="179" t="s">
        <v>209</v>
      </c>
      <c r="AE122" s="179"/>
      <c r="AF122" s="103" t="s">
        <v>628</v>
      </c>
      <c r="AG122" s="103"/>
      <c r="AH122" s="103" t="s">
        <v>175</v>
      </c>
      <c r="AI122" s="160">
        <v>0.15</v>
      </c>
      <c r="AJ122" s="140">
        <v>4000</v>
      </c>
      <c r="AK122" s="140">
        <v>12500</v>
      </c>
      <c r="AL122" s="176">
        <v>25000</v>
      </c>
      <c r="AM122" s="140">
        <v>12</v>
      </c>
      <c r="AN122" s="140">
        <v>18</v>
      </c>
      <c r="AO122" s="140">
        <v>24</v>
      </c>
      <c r="AP122" s="112" t="str">
        <f>IF(OR(ISBLANK(AI122),AI122=0),"INSERT LIKELIHOOD",IF(ABS(AI122)&lt;='Risk Matrices'!$D$22,'Risk Matrices'!$C$21,IF(ABS(AI122)&lt;='Risk Matrices'!$D$19,'Risk Matrices'!$C$18,IF(ABS(AI122)&lt;='Risk Matrices'!$D$16,'Risk Matrices'!$C$15,IF(ABS(AI122)&lt;='Risk Matrices'!$D$13,'Risk Matrices'!$C$12,'Risk Matrices'!$C$10)))))</f>
        <v>Low</v>
      </c>
      <c r="AQ122" s="112" t="str">
        <f>IF(OR(ISBLANK(AK122),AK122=0),"None",IF(ABS(AK122)&lt;='Risk Matrices'!$E$7,'Risk Matrices'!$E$5,IF(ABS(AK122)&lt;='Risk Matrices'!$G$7,'Risk Matrices'!$G$5,IF(ABS(AK122)&lt;='Risk Matrices'!$H$7,'Risk Matrices'!$H$5,'Risk Matrices'!$I$5))))</f>
        <v>Critical</v>
      </c>
      <c r="AR122" s="112" t="str">
        <f>IF(AN122="","",IF(ABS(AN122)&lt;='Risk Matrices'!$E$8,"Negligible",IF(ABS(AN122)&lt;='Risk Matrices'!$F$8,"Marginal",IF(ABS(AN122)&lt;='Risk Matrices'!$G$8,"Significant",IF(ABS(AN122)&lt;='Risk Matrices'!$H$8,"Critical","Crisis")))))</f>
        <v>Critical</v>
      </c>
      <c r="AS122" s="161" t="s">
        <v>307</v>
      </c>
      <c r="AT122" s="298">
        <f>IF(OR(ISBLANK(AI122),AI122=0),0,VLOOKUP(AP122,'Risk Matrices'!$B$30:$C$34,2,0))</f>
        <v>2</v>
      </c>
      <c r="AU122" s="298">
        <f>IF(OR(ISBLANK(AK122),AK122=0),0,HLOOKUP(AQ122,'Risk Matrices'!$D$28:$H$29,2,0))</f>
        <v>4</v>
      </c>
      <c r="AV122" s="298">
        <f>IF(OR(ISBLANK(AR122),AR122=0),0,HLOOKUP(AR122,'Risk Matrices'!$D$28:$H$29,2,0))</f>
        <v>4</v>
      </c>
      <c r="AW122" s="298">
        <f>IF(OR(ISBLANK(AS122),AS122=0),0,HLOOKUP(AS122,'Risk Matrices'!$D$28:$H$29,2,0))</f>
        <v>3</v>
      </c>
      <c r="AX122" s="106">
        <f t="shared" si="82"/>
        <v>4</v>
      </c>
      <c r="AY122" s="106">
        <f t="shared" si="83"/>
        <v>8</v>
      </c>
      <c r="AZ122" s="107" t="str">
        <f>IF(B122="Retired","Retired",IF(OR(ISBLANK(AY122),AY122=0),"TBD",IF(AY122&lt;='Risk Matrices'!$D$40,'Risk Matrices'!$B$40,IF(AY122&lt;='Risk Matrices'!$D$39,'Risk Matrices'!$B$39,'Risk Matrices'!$B$38))))</f>
        <v>Moderate</v>
      </c>
      <c r="BA122" s="160"/>
      <c r="BB122" s="101" t="s">
        <v>366</v>
      </c>
      <c r="BC122" s="109">
        <f t="shared" si="84"/>
        <v>1875</v>
      </c>
      <c r="BD122" s="185">
        <v>45315</v>
      </c>
      <c r="BE122" s="174"/>
      <c r="BF122" s="113" t="s">
        <v>930</v>
      </c>
      <c r="BG122" s="115"/>
      <c r="BH122" s="115"/>
      <c r="BI122" s="115"/>
      <c r="BJ122" s="874">
        <f t="shared" si="91"/>
        <v>2075</v>
      </c>
      <c r="BK122" s="157"/>
      <c r="BL122" s="157"/>
      <c r="BM122" s="181">
        <v>44438</v>
      </c>
      <c r="BN122" s="330">
        <v>44466</v>
      </c>
      <c r="BO122" s="332"/>
      <c r="BP122" s="94">
        <f t="shared" si="102"/>
        <v>1974.9999999999998</v>
      </c>
      <c r="BQ122" s="97" t="str">
        <f t="shared" si="85"/>
        <v>4000 - 12500 - 25000</v>
      </c>
      <c r="BR122" s="97" t="str">
        <f t="shared" si="86"/>
        <v>12 - 18 - 24</v>
      </c>
      <c r="BS122" s="715">
        <f t="shared" si="106"/>
        <v>2075</v>
      </c>
      <c r="BT122" s="736">
        <f t="shared" si="88"/>
        <v>2.6999999999999997</v>
      </c>
      <c r="BU122" s="735" t="s">
        <v>931</v>
      </c>
      <c r="BV122" s="873">
        <v>45382</v>
      </c>
      <c r="BW122">
        <f t="shared" si="109"/>
        <v>916</v>
      </c>
    </row>
    <row r="123" spans="2:75" customFormat="1" ht="55.25" hidden="1" customHeight="1" x14ac:dyDescent="0.2">
      <c r="B123" s="101" t="str">
        <f t="shared" si="92"/>
        <v>Active</v>
      </c>
      <c r="C123" s="786" t="s">
        <v>932</v>
      </c>
      <c r="D123" s="101" t="s">
        <v>151</v>
      </c>
      <c r="E123" s="164" t="s">
        <v>834</v>
      </c>
      <c r="F123" s="171" t="s">
        <v>124</v>
      </c>
      <c r="G123" s="140" t="s">
        <v>835</v>
      </c>
      <c r="H123" s="101" t="str">
        <f t="shared" si="107"/>
        <v>RT-6-006-015</v>
      </c>
      <c r="I123" s="140" t="s">
        <v>360</v>
      </c>
      <c r="J123" s="101" t="s">
        <v>361</v>
      </c>
      <c r="K123" s="182" t="s">
        <v>933</v>
      </c>
      <c r="L123" s="113" t="s">
        <v>934</v>
      </c>
      <c r="M123" s="162" t="s">
        <v>141</v>
      </c>
      <c r="N123" s="176">
        <v>4000</v>
      </c>
      <c r="O123" s="106" t="str" cm="1">
        <f t="array" ref="O123">_xlfn.IFS(N123="","",ABS(N123)&lt;='Risk Matrices'!$E$7,'Risk Matrices'!$E$5,ABS(N123)&lt;='Risk Matrices'!$F$7,'Risk Matrices'!$F$5,ABS(N123)&lt;='Risk Matrices'!$G$7,'Risk Matrices'!$G$5,ABS(N123)&lt;='Risk Matrices'!$H$7,'Risk Matrices'!$H$5,ABS(N123)&gt;'Risk Matrices'!$H$7,'Risk Matrices'!$I$5)</f>
        <v>Significant</v>
      </c>
      <c r="P123" s="133">
        <v>3</v>
      </c>
      <c r="Q123" s="101" t="str" cm="1">
        <f t="array" ref="Q123">_xlfn.IFS(P123="","",ABS(P123)&lt;='Risk Matrices'!$E$8,'Risk Matrices'!$E$5,ABS(P123)&lt;='Risk Matrices'!$F$8,'Risk Matrices'!$F$5,ABS(P123)&lt;='Risk Matrices'!$G$8,'Risk Matrices'!$G$5,ABS(P123)&lt;='Risk Matrices'!$H$8,'Risk Matrices'!$H$5,ABS(P123)&gt;'Risk Matrices'!$H$8,'Risk Matrices'!$I$5)</f>
        <v>Negligible</v>
      </c>
      <c r="R123" s="175" t="s">
        <v>307</v>
      </c>
      <c r="S123" s="106">
        <f t="shared" si="89"/>
        <v>3</v>
      </c>
      <c r="T123" s="106" cm="1">
        <f t="array" ref="T123">_xlfn.IFS(O123='Risk Matrices'!$D$28,'Risk Matrices'!$D$29,O123='Risk Matrices'!$E$28,'Risk Matrices'!$E$29,O123='Risk Matrices'!$F$28,'Risk Matrices'!$F$29,O123='Risk Matrices'!$G$28,'Risk Matrices'!$G$29,O123='Risk Matrices'!$H$28,'Risk Matrices'!$H$29)</f>
        <v>3</v>
      </c>
      <c r="U123" s="106">
        <f t="shared" si="93"/>
        <v>1</v>
      </c>
      <c r="V123" s="106">
        <f t="shared" si="108"/>
        <v>3</v>
      </c>
      <c r="W123" s="106">
        <f t="shared" si="94"/>
        <v>3</v>
      </c>
      <c r="X123" s="133">
        <f t="shared" si="95"/>
        <v>9</v>
      </c>
      <c r="Y123" s="107" t="str">
        <f t="shared" si="90"/>
        <v>Moderate</v>
      </c>
      <c r="Z123" s="794" t="s">
        <v>924</v>
      </c>
      <c r="AA123" s="795">
        <f t="shared" si="104"/>
        <v>0.32</v>
      </c>
      <c r="AB123" s="796">
        <f t="shared" si="105"/>
        <v>1280</v>
      </c>
      <c r="AC123" s="137" t="s">
        <v>143</v>
      </c>
      <c r="AD123" s="179" t="s">
        <v>209</v>
      </c>
      <c r="AE123" s="179"/>
      <c r="AF123" s="103" t="s">
        <v>628</v>
      </c>
      <c r="AG123" s="103"/>
      <c r="AH123" s="103" t="s">
        <v>175</v>
      </c>
      <c r="AI123" s="160">
        <v>0.15</v>
      </c>
      <c r="AJ123" s="140">
        <v>4000</v>
      </c>
      <c r="AK123" s="140">
        <v>5000</v>
      </c>
      <c r="AL123" s="176">
        <v>10000</v>
      </c>
      <c r="AM123" s="140">
        <v>12</v>
      </c>
      <c r="AN123" s="140">
        <v>18</v>
      </c>
      <c r="AO123" s="140">
        <v>24</v>
      </c>
      <c r="AP123" s="112" t="str">
        <f>IF(OR(ISBLANK(AI123),AI123=0),"INSERT LIKELIHOOD",IF(ABS(AI123)&lt;='Risk Matrices'!$D$22,'Risk Matrices'!$C$21,IF(ABS(AI123)&lt;='Risk Matrices'!$D$19,'Risk Matrices'!$C$18,IF(ABS(AI123)&lt;='Risk Matrices'!$D$16,'Risk Matrices'!$C$15,IF(ABS(AI123)&lt;='Risk Matrices'!$D$13,'Risk Matrices'!$C$12,'Risk Matrices'!$C$10)))))</f>
        <v>Low</v>
      </c>
      <c r="AQ123" s="112" t="str">
        <f>IF(OR(ISBLANK(AK123),AK123=0),"None",IF(ABS(AK123)&lt;='Risk Matrices'!$E$7,'Risk Matrices'!$E$5,IF(ABS(AK123)&lt;='Risk Matrices'!$G$7,'Risk Matrices'!$G$5,IF(ABS(AK123)&lt;='Risk Matrices'!$H$7,'Risk Matrices'!$H$5,'Risk Matrices'!$I$5))))</f>
        <v>Significant</v>
      </c>
      <c r="AR123" s="112" t="str">
        <f>IF(AN123="","",IF(ABS(AN123)&lt;='Risk Matrices'!$E$8,"Negligible",IF(ABS(AN123)&lt;='Risk Matrices'!$F$8,"Marginal",IF(ABS(AN123)&lt;='Risk Matrices'!$G$8,"Significant",IF(ABS(AN123)&lt;='Risk Matrices'!$H$8,"Critical","Crisis")))))</f>
        <v>Critical</v>
      </c>
      <c r="AS123" s="161" t="s">
        <v>307</v>
      </c>
      <c r="AT123" s="298">
        <f>IF(OR(ISBLANK(AI123),AI123=0),0,VLOOKUP(AP123,'Risk Matrices'!$B$30:$C$34,2,0))</f>
        <v>2</v>
      </c>
      <c r="AU123" s="298">
        <f>IF(OR(ISBLANK(AK123),AK123=0),0,HLOOKUP(AQ123,'Risk Matrices'!$D$28:$H$29,2,0))</f>
        <v>3</v>
      </c>
      <c r="AV123" s="298">
        <f>IF(OR(ISBLANK(AR123),AR123=0),0,HLOOKUP(AR123,'Risk Matrices'!$D$28:$H$29,2,0))</f>
        <v>4</v>
      </c>
      <c r="AW123" s="298">
        <f>IF(OR(ISBLANK(AS123),AS123=0),0,HLOOKUP(AS123,'Risk Matrices'!$D$28:$H$29,2,0))</f>
        <v>3</v>
      </c>
      <c r="AX123" s="106">
        <f t="shared" ref="AX123:AX154" si="110">MAX(AU123,AV123,AW123)</f>
        <v>4</v>
      </c>
      <c r="AY123" s="106">
        <f t="shared" ref="AY123:AY127" si="111">AT123*AX123</f>
        <v>8</v>
      </c>
      <c r="AZ123" s="107" t="str">
        <f>IF(B123="Retired","Retired",IF(OR(ISBLANK(AY123),AY123=0),"TBD",IF(AY123&lt;='Risk Matrices'!$D$40,'Risk Matrices'!$B$40,IF(AY123&lt;='Risk Matrices'!$D$39,'Risk Matrices'!$B$39,'Risk Matrices'!$B$38))))</f>
        <v>Moderate</v>
      </c>
      <c r="BA123" s="160"/>
      <c r="BB123" s="101" t="s">
        <v>366</v>
      </c>
      <c r="BC123" s="109">
        <f t="shared" ref="BC123:BC154" si="112">IF(B123="Active",AI123*AK123,B123)</f>
        <v>750</v>
      </c>
      <c r="BD123" s="185">
        <v>45315</v>
      </c>
      <c r="BE123" s="174"/>
      <c r="BF123" s="113" t="s">
        <v>930</v>
      </c>
      <c r="BG123" s="115"/>
      <c r="BH123" s="115"/>
      <c r="BI123" s="115"/>
      <c r="BJ123" s="874">
        <f t="shared" si="91"/>
        <v>949.99999999999989</v>
      </c>
      <c r="BK123" s="157"/>
      <c r="BL123" s="157"/>
      <c r="BM123" s="181">
        <v>44438</v>
      </c>
      <c r="BN123" s="330">
        <v>44466</v>
      </c>
      <c r="BO123" s="332"/>
      <c r="BP123" s="94">
        <f t="shared" si="102"/>
        <v>850</v>
      </c>
      <c r="BQ123" s="97" t="str">
        <f t="shared" si="85"/>
        <v>4000 - 5000 - 10000</v>
      </c>
      <c r="BR123" s="97" t="str">
        <f t="shared" si="86"/>
        <v>12 - 18 - 24</v>
      </c>
      <c r="BS123" s="715">
        <f t="shared" si="106"/>
        <v>949.99999999999989</v>
      </c>
      <c r="BT123" s="736">
        <f t="shared" si="88"/>
        <v>2.6999999999999997</v>
      </c>
      <c r="BU123" s="735" t="s">
        <v>935</v>
      </c>
      <c r="BV123" s="873">
        <v>45382</v>
      </c>
      <c r="BW123">
        <f t="shared" si="109"/>
        <v>916</v>
      </c>
    </row>
    <row r="124" spans="2:75" customFormat="1" ht="60" hidden="1" x14ac:dyDescent="0.2">
      <c r="B124" s="101" t="str">
        <f t="shared" si="92"/>
        <v>Active</v>
      </c>
      <c r="C124" s="786" t="s">
        <v>936</v>
      </c>
      <c r="D124" s="101" t="s">
        <v>151</v>
      </c>
      <c r="E124" s="164" t="s">
        <v>834</v>
      </c>
      <c r="F124" s="164" t="s">
        <v>124</v>
      </c>
      <c r="G124" s="140" t="s">
        <v>835</v>
      </c>
      <c r="H124" s="132" t="str">
        <f t="shared" si="107"/>
        <v>RT-6-006-016</v>
      </c>
      <c r="I124" s="140" t="s">
        <v>849</v>
      </c>
      <c r="J124" s="131" t="s">
        <v>559</v>
      </c>
      <c r="K124" s="101" t="s">
        <v>937</v>
      </c>
      <c r="L124" s="104" t="s">
        <v>938</v>
      </c>
      <c r="M124" s="103" t="s">
        <v>141</v>
      </c>
      <c r="N124" s="105">
        <v>1000</v>
      </c>
      <c r="O124" s="106" t="str" cm="1">
        <f t="array" ref="O124">_xlfn.IFS(N124="","",ABS(N124)&lt;='Risk Matrices'!$E$7,'Risk Matrices'!$E$5,ABS(N124)&lt;='Risk Matrices'!$F$7,'Risk Matrices'!$F$5,ABS(N124)&lt;='Risk Matrices'!$G$7,'Risk Matrices'!$G$5,ABS(N124)&lt;='Risk Matrices'!$H$7,'Risk Matrices'!$H$5,ABS(N124)&gt;'Risk Matrices'!$H$7,'Risk Matrices'!$I$5)</f>
        <v>Marginal</v>
      </c>
      <c r="P124" s="106">
        <v>0</v>
      </c>
      <c r="Q124" s="101" t="str" cm="1">
        <f t="array" ref="Q124">_xlfn.IFS(P124="","",ABS(P124)&lt;='Risk Matrices'!$E$8,'Risk Matrices'!$E$5,ABS(P124)&lt;='Risk Matrices'!$F$8,'Risk Matrices'!$F$5,ABS(P124)&lt;='Risk Matrices'!$G$8,'Risk Matrices'!$G$5,ABS(P124)&lt;='Risk Matrices'!$H$8,'Risk Matrices'!$H$5,ABS(P124)&gt;'Risk Matrices'!$H$8,'Risk Matrices'!$I$5)</f>
        <v>Negligible</v>
      </c>
      <c r="R124" s="101" t="s">
        <v>130</v>
      </c>
      <c r="S124" s="106">
        <f t="shared" si="89"/>
        <v>3</v>
      </c>
      <c r="T124" s="106" cm="1">
        <f t="array" ref="T124">_xlfn.IFS(O124='Risk Matrices'!$D$28,'Risk Matrices'!$D$29,O124='Risk Matrices'!$E$28,'Risk Matrices'!$E$29,O124='Risk Matrices'!$F$28,'Risk Matrices'!$F$29,O124='Risk Matrices'!$G$28,'Risk Matrices'!$G$29,O124='Risk Matrices'!$H$28,'Risk Matrices'!$H$29)</f>
        <v>2</v>
      </c>
      <c r="U124" s="106">
        <f t="shared" si="93"/>
        <v>1</v>
      </c>
      <c r="V124" s="106">
        <f t="shared" si="108"/>
        <v>0</v>
      </c>
      <c r="W124" s="106">
        <f t="shared" si="94"/>
        <v>2</v>
      </c>
      <c r="X124" s="106">
        <f t="shared" si="95"/>
        <v>6</v>
      </c>
      <c r="Y124" s="107" t="str">
        <f t="shared" si="90"/>
        <v>Low</v>
      </c>
      <c r="Z124" s="104"/>
      <c r="AA124" s="177">
        <f t="shared" si="104"/>
        <v>0.32</v>
      </c>
      <c r="AB124" s="109">
        <f t="shared" si="105"/>
        <v>320</v>
      </c>
      <c r="AC124" s="109" t="s">
        <v>155</v>
      </c>
      <c r="AD124" s="104" t="s">
        <v>939</v>
      </c>
      <c r="AE124" s="104"/>
      <c r="AF124" s="103" t="s">
        <v>145</v>
      </c>
      <c r="AG124" s="103"/>
      <c r="AH124" s="157" t="s">
        <v>859</v>
      </c>
      <c r="AI124" s="112">
        <v>0.3</v>
      </c>
      <c r="AJ124" s="106">
        <v>1000</v>
      </c>
      <c r="AK124" s="106">
        <v>1000</v>
      </c>
      <c r="AL124" s="106">
        <v>1000</v>
      </c>
      <c r="AM124" s="140">
        <v>0</v>
      </c>
      <c r="AN124" s="140">
        <v>0</v>
      </c>
      <c r="AO124" s="140">
        <v>0</v>
      </c>
      <c r="AP124" s="112" t="str">
        <f>IF(OR(ISBLANK(AI124),AI124=0),"INSERT LIKELIHOOD",IF(ABS(AI124)&lt;='Risk Matrices'!$D$22,'Risk Matrices'!$C$21,IF(ABS(AI124)&lt;='Risk Matrices'!$D$19,'Risk Matrices'!$C$18,IF(ABS(AI124)&lt;='Risk Matrices'!$D$16,'Risk Matrices'!$C$15,IF(ABS(AI124)&lt;='Risk Matrices'!$D$13,'Risk Matrices'!$C$12,'Risk Matrices'!$C$10)))))</f>
        <v>Moderate</v>
      </c>
      <c r="AQ124" s="112" t="str">
        <f>IF(OR(ISBLANK(AK124),AK124=0),"None",IF(ABS(AK124)&lt;='Risk Matrices'!$E$7,'Risk Matrices'!$E$5,IF(ABS(AK124)&lt;='Risk Matrices'!$G$7,'Risk Matrices'!$G$5,IF(ABS(AK124)&lt;='Risk Matrices'!$H$7,'Risk Matrices'!$H$5,'Risk Matrices'!$I$5))))</f>
        <v>Significant</v>
      </c>
      <c r="AR124" s="112" t="str">
        <f>IF(AN124="","",IF(ABS(AN124)&lt;='Risk Matrices'!$E$8,"Negligible",IF(ABS(AN124)&lt;='Risk Matrices'!$F$8,"Marginal",IF(ABS(AN124)&lt;='Risk Matrices'!$G$8,"Significant",IF(ABS(AN124)&lt;='Risk Matrices'!$H$8,"Critical","Crisis")))))</f>
        <v>Negligible</v>
      </c>
      <c r="AS124" s="103" t="s">
        <v>130</v>
      </c>
      <c r="AT124" s="298">
        <f>IF(OR(ISBLANK(AI124),AI124=0),0,VLOOKUP(AP124,'Risk Matrices'!$B$30:$C$34,2,0))</f>
        <v>3</v>
      </c>
      <c r="AU124" s="298">
        <f>IF(OR(ISBLANK(AK124),AK124=0),0,HLOOKUP(AQ124,'Risk Matrices'!$D$28:$H$29,2,0))</f>
        <v>3</v>
      </c>
      <c r="AV124" s="298">
        <f>IF(OR(ISBLANK(AR124),AR124=0),0,HLOOKUP(AR124,'Risk Matrices'!$D$28:$H$29,2,0))</f>
        <v>1</v>
      </c>
      <c r="AW124" s="298">
        <f>IF(AS124="None",0,HLOOKUP(AS124,'Risk Matrices'!$D$28:$H$29,2,0))</f>
        <v>0</v>
      </c>
      <c r="AX124" s="106">
        <f t="shared" si="110"/>
        <v>3</v>
      </c>
      <c r="AY124" s="106">
        <f t="shared" si="111"/>
        <v>9</v>
      </c>
      <c r="AZ124" s="107" t="str">
        <f>IF(B124="Retired","Retired",IF(OR(ISBLANK(AY124),AY124=0),"TBD",IF(AY124&lt;='Risk Matrices'!$D$40,'Risk Matrices'!$B$40,IF(AY124&lt;='Risk Matrices'!$D$39,'Risk Matrices'!$B$39,'Risk Matrices'!$B$38))))</f>
        <v>Moderate</v>
      </c>
      <c r="BA124" s="112"/>
      <c r="BB124" s="101" t="s">
        <v>366</v>
      </c>
      <c r="BC124" s="109">
        <f t="shared" si="112"/>
        <v>300</v>
      </c>
      <c r="BD124" s="929">
        <v>45320</v>
      </c>
      <c r="BE124" s="114"/>
      <c r="BF124" s="115"/>
      <c r="BG124" s="115"/>
      <c r="BH124" s="104"/>
      <c r="BI124" s="166"/>
      <c r="BJ124" s="874">
        <f t="shared" si="91"/>
        <v>300</v>
      </c>
      <c r="BK124" s="166"/>
      <c r="BL124" s="166"/>
      <c r="BM124" s="116">
        <v>44012</v>
      </c>
      <c r="BN124" s="330">
        <v>44134</v>
      </c>
      <c r="BO124" s="332"/>
      <c r="BP124" s="94">
        <f t="shared" si="102"/>
        <v>300</v>
      </c>
      <c r="BQ124" s="97" t="str">
        <f t="shared" si="85"/>
        <v>1000 - 1000 - 1000</v>
      </c>
      <c r="BR124" s="97" t="str">
        <f t="shared" si="86"/>
        <v>0 - 0 - 0</v>
      </c>
      <c r="BS124" s="715">
        <f t="shared" si="106"/>
        <v>300</v>
      </c>
      <c r="BT124" s="736">
        <f t="shared" si="88"/>
        <v>0</v>
      </c>
      <c r="BU124" s="735" t="s">
        <v>940</v>
      </c>
      <c r="BV124" s="873">
        <v>45504</v>
      </c>
      <c r="BW124">
        <f t="shared" si="109"/>
        <v>1370</v>
      </c>
    </row>
    <row r="125" spans="2:75" customFormat="1" ht="45" hidden="1" x14ac:dyDescent="0.2">
      <c r="B125" s="101" t="str">
        <f t="shared" si="92"/>
        <v>Retired</v>
      </c>
      <c r="C125" s="788" t="s">
        <v>941</v>
      </c>
      <c r="D125" s="101" t="s">
        <v>151</v>
      </c>
      <c r="E125" s="164" t="s">
        <v>834</v>
      </c>
      <c r="F125" s="164" t="s">
        <v>124</v>
      </c>
      <c r="G125" s="140" t="s">
        <v>942</v>
      </c>
      <c r="H125" s="140"/>
      <c r="I125" s="140" t="s">
        <v>360</v>
      </c>
      <c r="J125" s="103" t="s">
        <v>351</v>
      </c>
      <c r="K125" s="157" t="s">
        <v>943</v>
      </c>
      <c r="L125" s="113" t="s">
        <v>944</v>
      </c>
      <c r="M125" s="103" t="s">
        <v>164</v>
      </c>
      <c r="N125" s="105">
        <v>5000</v>
      </c>
      <c r="O125" s="106" t="str" cm="1">
        <f t="array" ref="O125">_xlfn.IFS(N125="","",ABS(N125)&lt;='Risk Matrices'!$E$7,'Risk Matrices'!$E$5,ABS(N125)&lt;='Risk Matrices'!$F$7,'Risk Matrices'!$F$5,ABS(N125)&lt;='Risk Matrices'!$G$7,'Risk Matrices'!$G$5,ABS(N125)&lt;='Risk Matrices'!$H$7,'Risk Matrices'!$H$5,ABS(N125)&gt;'Risk Matrices'!$H$7,'Risk Matrices'!$I$5)</f>
        <v>Significant</v>
      </c>
      <c r="P125" s="106">
        <v>9</v>
      </c>
      <c r="Q125" s="102" t="s">
        <v>307</v>
      </c>
      <c r="R125" s="102"/>
      <c r="S125" s="106">
        <f t="shared" si="89"/>
        <v>2</v>
      </c>
      <c r="T125" s="106" cm="1">
        <f t="array" ref="T125">_xlfn.IFS(O125='Risk Matrices'!$D$28,'Risk Matrices'!$D$29,O125='Risk Matrices'!$E$28,'Risk Matrices'!$E$29,O125='Risk Matrices'!$F$28,'Risk Matrices'!$F$29,O125='Risk Matrices'!$G$28,'Risk Matrices'!$G$29,O125='Risk Matrices'!$H$28,'Risk Matrices'!$H$29)</f>
        <v>3</v>
      </c>
      <c r="U125" s="106">
        <f t="shared" si="93"/>
        <v>3</v>
      </c>
      <c r="V125" s="106">
        <f>IF(R125="",0,IF(R125="Negligible",1,IF(R125="Marginal",2,IF(R125="Significant",3,IF(R125="Critical",4,IF(R125="Crisis",5))))))</f>
        <v>0</v>
      </c>
      <c r="W125" s="106">
        <f t="shared" si="94"/>
        <v>3</v>
      </c>
      <c r="X125" s="106">
        <f t="shared" si="95"/>
        <v>6</v>
      </c>
      <c r="Y125" s="107" t="str">
        <f t="shared" si="90"/>
        <v>Low</v>
      </c>
      <c r="Z125" s="104"/>
      <c r="AA125" s="108">
        <f t="shared" si="104"/>
        <v>0.17</v>
      </c>
      <c r="AB125" s="109">
        <f t="shared" si="105"/>
        <v>850.00000000000011</v>
      </c>
      <c r="AC125" s="109" t="s">
        <v>155</v>
      </c>
      <c r="AD125" s="104"/>
      <c r="AE125" s="104"/>
      <c r="AF125" s="110"/>
      <c r="AG125" s="110"/>
      <c r="AH125" s="104"/>
      <c r="AI125" s="112">
        <v>0.25</v>
      </c>
      <c r="AJ125" s="106">
        <v>0</v>
      </c>
      <c r="AK125" s="106">
        <v>5000</v>
      </c>
      <c r="AL125" s="106">
        <v>10000</v>
      </c>
      <c r="AM125" s="106">
        <v>0</v>
      </c>
      <c r="AN125" s="106">
        <v>9</v>
      </c>
      <c r="AO125" s="106">
        <v>12</v>
      </c>
      <c r="AP125" s="112" t="str">
        <f>IF(OR(ISBLANK(AI125),AI125=0),"INSERT LIKELIHOOD",IF(ABS(AI125)&lt;='Risk Matrices'!$D$22,'Risk Matrices'!$C$21,IF(ABS(AI125)&lt;='Risk Matrices'!$D$19,'Risk Matrices'!$C$18,IF(ABS(AI125)&lt;='Risk Matrices'!$D$16,'Risk Matrices'!$C$15,IF(ABS(AI125)&lt;='Risk Matrices'!$D$13,'Risk Matrices'!$C$12,'Risk Matrices'!$C$10)))))</f>
        <v>Low</v>
      </c>
      <c r="AQ125" s="112" t="str">
        <f>IF(OR(ISBLANK(AK125),AK125=0),"None",IF(ABS(AK125)&lt;='Risk Matrices'!$E$7,'Risk Matrices'!$E$5,IF(ABS(AK125)&lt;='Risk Matrices'!$G$7,'Risk Matrices'!$G$5,IF(ABS(AK125)&lt;='Risk Matrices'!$H$7,'Risk Matrices'!$H$5,'Risk Matrices'!$I$5))))</f>
        <v>Significant</v>
      </c>
      <c r="AR125" s="112" t="str">
        <f>IF(AN125="","",IF(ABS(AN125)&lt;='Risk Matrices'!$E$8,"Negligible",IF(ABS(AN125)&lt;='Risk Matrices'!$F$8,"Marginal",IF(ABS(AN125)&lt;='Risk Matrices'!$G$8,"Significant",IF(ABS(AN125)&lt;='Risk Matrices'!$H$8,"Critical","Crisis")))))</f>
        <v>Significant</v>
      </c>
      <c r="AS125" s="103" t="s">
        <v>307</v>
      </c>
      <c r="AT125" s="298">
        <f>IF(OR(ISBLANK(AI125),AI125=0),0,VLOOKUP(AP125,'Risk Matrices'!$B$30:$C$34,2,0))</f>
        <v>2</v>
      </c>
      <c r="AU125" s="298">
        <f>IF(OR(ISBLANK(AK125),AK125=0),0,HLOOKUP(AQ125,'Risk Matrices'!$D$28:$H$29,2,0))</f>
        <v>3</v>
      </c>
      <c r="AV125" s="298">
        <f>IF(OR(ISBLANK(AR125),AR125=0),0,HLOOKUP(AR125,'Risk Matrices'!$D$28:$H$29,2,0))</f>
        <v>3</v>
      </c>
      <c r="AW125" s="298">
        <f>IF(OR(ISBLANK(AS125),AS125=0),0,HLOOKUP(AS125,'Risk Matrices'!$D$28:$H$29,2,0))</f>
        <v>3</v>
      </c>
      <c r="AX125" s="106">
        <f t="shared" si="110"/>
        <v>3</v>
      </c>
      <c r="AY125" s="106">
        <f t="shared" si="111"/>
        <v>6</v>
      </c>
      <c r="AZ125" s="107" t="str">
        <f>IF(B125="Retired","Retired",IF(OR(ISBLANK(AY125),AY125=0),"TBD",IF(AY125&lt;='Risk Matrices'!$D$40,'Risk Matrices'!$B$40,IF(AY125&lt;='Risk Matrices'!$D$39,'Risk Matrices'!$B$39,'Risk Matrices'!$B$38))))</f>
        <v>Retired</v>
      </c>
      <c r="BA125" s="112"/>
      <c r="BB125" s="113"/>
      <c r="BC125" s="109" t="str">
        <f t="shared" si="112"/>
        <v>Retired</v>
      </c>
      <c r="BD125" s="113"/>
      <c r="BE125" s="114"/>
      <c r="BF125" s="115"/>
      <c r="BG125" s="115" t="s">
        <v>860</v>
      </c>
      <c r="BH125" s="115"/>
      <c r="BI125" s="115"/>
      <c r="BJ125" s="874">
        <f t="shared" si="91"/>
        <v>1250</v>
      </c>
      <c r="BK125" s="101" t="s">
        <v>375</v>
      </c>
      <c r="BL125" s="116">
        <v>44389</v>
      </c>
      <c r="BM125" s="116">
        <v>44012</v>
      </c>
      <c r="BN125" s="330">
        <v>44134</v>
      </c>
      <c r="BO125" s="332"/>
      <c r="BP125" s="94">
        <f>AI125*((2*AJ125+4*AK125+2*AL125)/6)</f>
        <v>1666.6666666666667</v>
      </c>
      <c r="BQ125" s="97" t="str">
        <f t="shared" si="85"/>
        <v>0 - 5000 - 10000</v>
      </c>
      <c r="BR125" s="97" t="str">
        <f t="shared" si="86"/>
        <v>0 - 9 - 12</v>
      </c>
      <c r="BS125" s="715">
        <f t="shared" si="106"/>
        <v>1250</v>
      </c>
      <c r="BT125" s="736">
        <f t="shared" si="88"/>
        <v>1.75</v>
      </c>
      <c r="BU125" s="735" t="s">
        <v>945</v>
      </c>
    </row>
    <row r="126" spans="2:75" customFormat="1" ht="45" hidden="1" x14ac:dyDescent="0.2">
      <c r="B126" s="101" t="str">
        <f t="shared" si="92"/>
        <v>Active</v>
      </c>
      <c r="C126" s="786" t="s">
        <v>946</v>
      </c>
      <c r="D126" s="101" t="s">
        <v>151</v>
      </c>
      <c r="E126" s="164" t="s">
        <v>834</v>
      </c>
      <c r="F126" s="171" t="s">
        <v>124</v>
      </c>
      <c r="G126" s="140" t="s">
        <v>835</v>
      </c>
      <c r="H126" s="101" t="str">
        <f>C126</f>
        <v>RT-6-006-018</v>
      </c>
      <c r="I126" s="140" t="s">
        <v>360</v>
      </c>
      <c r="J126" s="101" t="s">
        <v>361</v>
      </c>
      <c r="K126" s="182" t="s">
        <v>947</v>
      </c>
      <c r="L126" s="113" t="s">
        <v>948</v>
      </c>
      <c r="M126" s="120" t="s">
        <v>141</v>
      </c>
      <c r="N126" s="183">
        <v>3000</v>
      </c>
      <c r="O126" s="106" t="str" cm="1">
        <f t="array" ref="O126">_xlfn.IFS(N126="","",ABS(N126)&lt;='Risk Matrices'!$E$7,'Risk Matrices'!$E$5,ABS(N126)&lt;='Risk Matrices'!$F$7,'Risk Matrices'!$F$5,ABS(N126)&lt;='Risk Matrices'!$G$7,'Risk Matrices'!$G$5,ABS(N126)&lt;='Risk Matrices'!$H$7,'Risk Matrices'!$H$5,ABS(N126)&gt;'Risk Matrices'!$H$7,'Risk Matrices'!$I$5)</f>
        <v>Significant</v>
      </c>
      <c r="P126" s="140">
        <v>24</v>
      </c>
      <c r="Q126" s="101" t="str" cm="1">
        <f t="array" ref="Q126">_xlfn.IFS(P126="","",ABS(P126)&lt;='Risk Matrices'!$E$8,'Risk Matrices'!$E$5,ABS(P126)&lt;='Risk Matrices'!$F$8,'Risk Matrices'!$F$5,ABS(P126)&lt;='Risk Matrices'!$G$8,'Risk Matrices'!$G$5,ABS(P126)&lt;='Risk Matrices'!$H$8,'Risk Matrices'!$H$5,ABS(P126)&gt;'Risk Matrices'!$H$8,'Risk Matrices'!$I$5)</f>
        <v>Critical</v>
      </c>
      <c r="R126" s="161" t="s">
        <v>406</v>
      </c>
      <c r="S126" s="140">
        <f t="shared" si="89"/>
        <v>3</v>
      </c>
      <c r="T126" s="106" cm="1">
        <f t="array" ref="T126">_xlfn.IFS(O126='Risk Matrices'!$D$28,'Risk Matrices'!$D$29,O126='Risk Matrices'!$E$28,'Risk Matrices'!$E$29,O126='Risk Matrices'!$F$28,'Risk Matrices'!$F$29,O126='Risk Matrices'!$G$28,'Risk Matrices'!$G$29,O126='Risk Matrices'!$H$28,'Risk Matrices'!$H$29)</f>
        <v>3</v>
      </c>
      <c r="U126" s="106">
        <f t="shared" si="93"/>
        <v>4</v>
      </c>
      <c r="V126" s="106">
        <f>IF(R126="None",0,IF(R126="Negligible",1,IF(R126="Marginal",2,IF(R126="Significant",3,IF(R126="Critical",4,IF(R126="Crisis",5))))))</f>
        <v>4</v>
      </c>
      <c r="W126" s="106">
        <f t="shared" si="94"/>
        <v>4</v>
      </c>
      <c r="X126" s="140">
        <f t="shared" si="95"/>
        <v>12</v>
      </c>
      <c r="Y126" s="107" t="str">
        <f t="shared" si="90"/>
        <v>Moderate</v>
      </c>
      <c r="Z126" s="113" t="s">
        <v>949</v>
      </c>
      <c r="AA126" s="184">
        <f t="shared" si="104"/>
        <v>0.32</v>
      </c>
      <c r="AB126" s="180">
        <f t="shared" si="105"/>
        <v>960</v>
      </c>
      <c r="AC126" s="180" t="s">
        <v>155</v>
      </c>
      <c r="AD126" s="179" t="s">
        <v>950</v>
      </c>
      <c r="AE126" s="179"/>
      <c r="AF126" s="103" t="s">
        <v>628</v>
      </c>
      <c r="AG126" s="103"/>
      <c r="AH126" s="157" t="s">
        <v>883</v>
      </c>
      <c r="AI126" s="160">
        <v>0.05</v>
      </c>
      <c r="AJ126" s="140">
        <v>0</v>
      </c>
      <c r="AK126" s="140">
        <v>1000</v>
      </c>
      <c r="AL126" s="140">
        <v>3000</v>
      </c>
      <c r="AM126" s="140">
        <v>0</v>
      </c>
      <c r="AN126" s="140">
        <v>0</v>
      </c>
      <c r="AO126" s="140">
        <v>24</v>
      </c>
      <c r="AP126" s="112" t="str">
        <f>IF(OR(ISBLANK(AI126),AI126=0),"INSERT LIKELIHOOD",IF(ABS(AI126)&lt;='Risk Matrices'!$D$22,'Risk Matrices'!$C$21,IF(ABS(AI126)&lt;='Risk Matrices'!$D$19,'Risk Matrices'!$C$18,IF(ABS(AI126)&lt;='Risk Matrices'!$D$16,'Risk Matrices'!$C$15,IF(ABS(AI126)&lt;='Risk Matrices'!$D$13,'Risk Matrices'!$C$12,'Risk Matrices'!$C$10)))))</f>
        <v>Very Low</v>
      </c>
      <c r="AQ126" s="112" t="str">
        <f>IF(OR(ISBLANK(AK126),AK126=0),"None",IF(ABS(AK126)&lt;='Risk Matrices'!$E$7,'Risk Matrices'!$E$5,IF(ABS(AK126)&lt;='Risk Matrices'!$G$7,'Risk Matrices'!$G$5,IF(ABS(AK126)&lt;='Risk Matrices'!$H$7,'Risk Matrices'!$H$5,'Risk Matrices'!$I$5))))</f>
        <v>Significant</v>
      </c>
      <c r="AR126" s="112" t="str">
        <f>IF(AN126="","",IF(ABS(AN126)&lt;='Risk Matrices'!$E$8,"Negligible",IF(ABS(AN126)&lt;='Risk Matrices'!$F$8,"Marginal",IF(ABS(AN126)&lt;='Risk Matrices'!$G$8,"Significant",IF(ABS(AN126)&lt;='Risk Matrices'!$H$8,"Critical","Crisis")))))</f>
        <v>Negligible</v>
      </c>
      <c r="AS126" s="161" t="s">
        <v>307</v>
      </c>
      <c r="AT126" s="298">
        <f>IF(OR(ISBLANK(AI126),AI126=0),0,VLOOKUP(AP126,'Risk Matrices'!$B$30:$C$34,2,0))</f>
        <v>1</v>
      </c>
      <c r="AU126" s="298">
        <f>IF(OR(ISBLANK(AK126),AK126=0),0,HLOOKUP(AQ126,'Risk Matrices'!$D$28:$H$29,2,0))</f>
        <v>3</v>
      </c>
      <c r="AV126" s="298">
        <f>IF(OR(ISBLANK(AR126),AR126=0),0,HLOOKUP(AR126,'Risk Matrices'!$D$28:$H$29,2,0))</f>
        <v>1</v>
      </c>
      <c r="AW126" s="298">
        <f>IF(OR(ISBLANK(AS126),AS126=0),0,HLOOKUP(AS126,'Risk Matrices'!$D$28:$H$29,2,0))</f>
        <v>3</v>
      </c>
      <c r="AX126" s="106">
        <f t="shared" si="110"/>
        <v>3</v>
      </c>
      <c r="AY126" s="106">
        <f t="shared" si="111"/>
        <v>3</v>
      </c>
      <c r="AZ126" s="107" t="str">
        <f>IF(B126="Retired","Retired",IF(OR(ISBLANK(AY126),AY126=0),"TBD",IF(AY126&lt;='Risk Matrices'!$D$40,'Risk Matrices'!$B$40,IF(AY126&lt;='Risk Matrices'!$D$39,'Risk Matrices'!$B$39,'Risk Matrices'!$B$38))))</f>
        <v>Low</v>
      </c>
      <c r="BA126" s="160"/>
      <c r="BB126" s="101" t="s">
        <v>366</v>
      </c>
      <c r="BC126" s="109">
        <f t="shared" si="112"/>
        <v>50</v>
      </c>
      <c r="BD126" s="185">
        <v>45315</v>
      </c>
      <c r="BE126" s="174"/>
      <c r="BF126" s="115"/>
      <c r="BG126" s="115"/>
      <c r="BH126" s="115"/>
      <c r="BI126" s="115"/>
      <c r="BJ126" s="874">
        <f t="shared" si="91"/>
        <v>66.666666666666671</v>
      </c>
      <c r="BK126" s="157"/>
      <c r="BL126" s="157"/>
      <c r="BM126" s="185">
        <v>44407</v>
      </c>
      <c r="BN126" s="330">
        <v>44466</v>
      </c>
      <c r="BO126" s="332"/>
      <c r="BP126" s="94">
        <f>AI126*((AJ126+4*AK126+AL126)/6)</f>
        <v>58.333333333333343</v>
      </c>
      <c r="BQ126" s="97" t="str">
        <f t="shared" si="85"/>
        <v>0 - 1000 - 3000</v>
      </c>
      <c r="BR126" s="97" t="str">
        <f t="shared" si="86"/>
        <v>0 - 0 - 24</v>
      </c>
      <c r="BS126" s="715">
        <f t="shared" si="106"/>
        <v>66.666666666666671</v>
      </c>
      <c r="BT126" s="736">
        <f t="shared" si="88"/>
        <v>0.40000000000000008</v>
      </c>
      <c r="BU126" s="735" t="s">
        <v>951</v>
      </c>
      <c r="BV126" s="873">
        <v>45382</v>
      </c>
      <c r="BW126">
        <f>BV126-BN126</f>
        <v>916</v>
      </c>
    </row>
    <row r="127" spans="2:75" customFormat="1" ht="48" hidden="1" x14ac:dyDescent="0.2">
      <c r="B127" s="749" t="str">
        <f t="shared" si="92"/>
        <v>Active</v>
      </c>
      <c r="C127" s="786" t="s">
        <v>952</v>
      </c>
      <c r="D127" s="101" t="s">
        <v>151</v>
      </c>
      <c r="E127" s="164" t="s">
        <v>834</v>
      </c>
      <c r="F127" s="164" t="s">
        <v>124</v>
      </c>
      <c r="G127" s="140" t="s">
        <v>835</v>
      </c>
      <c r="H127" s="132" t="str">
        <f>C127</f>
        <v>RT-6-006-019</v>
      </c>
      <c r="I127" s="140" t="s">
        <v>849</v>
      </c>
      <c r="J127" s="131" t="s">
        <v>559</v>
      </c>
      <c r="K127" s="144" t="s">
        <v>953</v>
      </c>
      <c r="L127" s="113" t="s">
        <v>954</v>
      </c>
      <c r="M127" s="103" t="s">
        <v>129</v>
      </c>
      <c r="N127" s="106">
        <v>2000</v>
      </c>
      <c r="O127" s="106" t="str" cm="1">
        <f t="array" ref="O127">_xlfn.IFS(N127="","",ABS(N127)&lt;='Risk Matrices'!$E$7,'Risk Matrices'!$E$5,ABS(N127)&lt;='Risk Matrices'!$F$7,'Risk Matrices'!$F$5,ABS(N127)&lt;='Risk Matrices'!$G$7,'Risk Matrices'!$G$5,ABS(N127)&lt;='Risk Matrices'!$H$7,'Risk Matrices'!$H$5,ABS(N127)&gt;'Risk Matrices'!$H$7,'Risk Matrices'!$I$5)</f>
        <v>Significant</v>
      </c>
      <c r="P127" s="345">
        <v>0</v>
      </c>
      <c r="Q127" s="101" t="str" cm="1">
        <f t="array" ref="Q127">_xlfn.IFS(P127="","",ABS(P127)&lt;='Risk Matrices'!$E$8,'Risk Matrices'!$E$5,ABS(P127)&lt;='Risk Matrices'!$F$8,'Risk Matrices'!$F$5,ABS(P127)&lt;='Risk Matrices'!$G$8,'Risk Matrices'!$G$5,ABS(P127)&lt;='Risk Matrices'!$H$8,'Risk Matrices'!$H$5,ABS(P127)&gt;'Risk Matrices'!$H$8,'Risk Matrices'!$I$5)</f>
        <v>Negligible</v>
      </c>
      <c r="R127" s="101" t="s">
        <v>130</v>
      </c>
      <c r="S127" s="106">
        <f t="shared" si="89"/>
        <v>4</v>
      </c>
      <c r="T127" s="106" cm="1">
        <f t="array" ref="T127">_xlfn.IFS(O127='Risk Matrices'!$D$28,'Risk Matrices'!$D$29,O127='Risk Matrices'!$E$28,'Risk Matrices'!$E$29,O127='Risk Matrices'!$F$28,'Risk Matrices'!$F$29,O127='Risk Matrices'!$G$28,'Risk Matrices'!$G$29,O127='Risk Matrices'!$H$28,'Risk Matrices'!$H$29)</f>
        <v>3</v>
      </c>
      <c r="U127" s="345"/>
      <c r="V127" s="106">
        <f>IF(R127="None",0,IF(R127="Negligible",1,IF(R127="Marginal",2,IF(R127="Significant",3,IF(R127="Critical",4,IF(R127="Crisis",5))))))</f>
        <v>0</v>
      </c>
      <c r="W127" s="345"/>
      <c r="X127" s="345"/>
      <c r="Y127" s="107" t="str">
        <f t="shared" si="90"/>
        <v>Low</v>
      </c>
      <c r="Z127" s="347"/>
      <c r="AA127" s="348"/>
      <c r="AB127" s="349"/>
      <c r="AC127" s="358" t="s">
        <v>155</v>
      </c>
      <c r="AD127" s="359" t="s">
        <v>955</v>
      </c>
      <c r="AE127" s="359"/>
      <c r="AF127" s="144" t="s">
        <v>167</v>
      </c>
      <c r="AG127" s="144"/>
      <c r="AH127" s="750" t="s">
        <v>956</v>
      </c>
      <c r="AI127" s="112">
        <v>0.5</v>
      </c>
      <c r="AJ127" s="106">
        <v>2000</v>
      </c>
      <c r="AK127" s="106">
        <v>2000</v>
      </c>
      <c r="AL127" s="106">
        <v>2000</v>
      </c>
      <c r="AM127" s="106">
        <v>0</v>
      </c>
      <c r="AN127" s="106">
        <v>0</v>
      </c>
      <c r="AO127" s="106">
        <v>0</v>
      </c>
      <c r="AP127" s="112" t="str">
        <f>IF(OR(ISBLANK(AI127),AI127=0),"INSERT LIKELIHOOD",IF(ABS(AI127)&lt;='Risk Matrices'!$D$22,'Risk Matrices'!$C$21,IF(ABS(AI127)&lt;='Risk Matrices'!$D$19,'Risk Matrices'!$C$18,IF(ABS(AI127)&lt;='Risk Matrices'!$D$16,'Risk Matrices'!$C$15,IF(ABS(AI127)&lt;='Risk Matrices'!$D$13,'Risk Matrices'!$C$12,'Risk Matrices'!$C$10)))))</f>
        <v>High</v>
      </c>
      <c r="AQ127" s="112" t="str">
        <f>IF(OR(ISBLANK(AK127),AK127=0),"None",IF(ABS(AK127)&lt;='Risk Matrices'!$E$7,'Risk Matrices'!$E$5,IF(ABS(AK127)&lt;='Risk Matrices'!$G$7,'Risk Matrices'!$G$5,IF(ABS(AK127)&lt;='Risk Matrices'!$H$7,'Risk Matrices'!$H$5,'Risk Matrices'!$I$5))))</f>
        <v>Significant</v>
      </c>
      <c r="AR127" s="112" t="str">
        <f>IF(AN127="","",IF(ABS(AN127)&lt;='Risk Matrices'!$E$8,"Negligible",IF(ABS(AN127)&lt;='Risk Matrices'!$F$8,"Marginal",IF(ABS(AN127)&lt;='Risk Matrices'!$G$8,"Significant",IF(ABS(AN127)&lt;='Risk Matrices'!$H$8,"Critical","Crisis")))))</f>
        <v>Negligible</v>
      </c>
      <c r="AS127" s="161" t="s">
        <v>207</v>
      </c>
      <c r="AT127" s="298">
        <f>IF(OR(ISBLANK(AI127),AI127=0),0,VLOOKUP(AP127,'Risk Matrices'!$B$30:$C$34,2,0))</f>
        <v>4</v>
      </c>
      <c r="AU127" s="298">
        <f>IF(OR(ISBLANK(AK127),AK127=0),0,HLOOKUP(AQ127,'Risk Matrices'!$D$28:$H$29,2,0))</f>
        <v>3</v>
      </c>
      <c r="AV127" s="298">
        <f>IF(OR(ISBLANK(AR127),AR127=0),0,HLOOKUP(AR127,'Risk Matrices'!$D$28:$H$29,2,0))</f>
        <v>1</v>
      </c>
      <c r="AW127" s="298">
        <f>IF(OR(ISBLANK(AS127),AS127=0),0,HLOOKUP(AS127,'Risk Matrices'!$D$28:$H$29,2,0))</f>
        <v>1</v>
      </c>
      <c r="AX127" s="106">
        <f t="shared" si="110"/>
        <v>3</v>
      </c>
      <c r="AY127" s="106">
        <f t="shared" si="111"/>
        <v>12</v>
      </c>
      <c r="AZ127" s="107" t="str">
        <f>IF(B127="Retired","Retired",IF(OR(ISBLANK(AY127),AY127=0),"TBD",IF(AY127&lt;='Risk Matrices'!$D$40,'Risk Matrices'!$B$40,IF(AY127&lt;='Risk Matrices'!$D$39,'Risk Matrices'!$B$39,'Risk Matrices'!$B$38))))</f>
        <v>Moderate</v>
      </c>
      <c r="BA127" s="112"/>
      <c r="BB127" s="101" t="s">
        <v>366</v>
      </c>
      <c r="BC127" s="109">
        <f t="shared" si="112"/>
        <v>1000</v>
      </c>
      <c r="BD127" s="929">
        <v>45320</v>
      </c>
      <c r="BE127" s="114"/>
      <c r="BF127" s="115"/>
      <c r="BG127" s="115"/>
      <c r="BH127" s="115"/>
      <c r="BI127" s="115"/>
      <c r="BJ127" s="874">
        <f t="shared" si="91"/>
        <v>1000</v>
      </c>
      <c r="BK127" s="101"/>
      <c r="BL127" s="101"/>
      <c r="BM127" s="116">
        <v>44630</v>
      </c>
      <c r="BN127" s="330">
        <v>44630</v>
      </c>
      <c r="BO127" s="332"/>
      <c r="BP127" s="94">
        <f>AI127*((AJ127+4*AK127+AL127)/6)</f>
        <v>1000</v>
      </c>
      <c r="BQ127" s="97" t="str">
        <f t="shared" si="85"/>
        <v>2000 - 2000 - 2000</v>
      </c>
      <c r="BR127" s="97" t="str">
        <f t="shared" si="86"/>
        <v>0 - 0 - 0</v>
      </c>
      <c r="BS127" s="715">
        <f t="shared" si="106"/>
        <v>1000</v>
      </c>
      <c r="BT127" s="736">
        <f t="shared" si="88"/>
        <v>0</v>
      </c>
      <c r="BU127" s="735" t="s">
        <v>593</v>
      </c>
      <c r="BV127" s="873">
        <v>45382</v>
      </c>
      <c r="BW127">
        <f>BV127-BN127</f>
        <v>752</v>
      </c>
    </row>
    <row r="128" spans="2:75" customFormat="1" ht="68" hidden="1" customHeight="1" x14ac:dyDescent="0.2">
      <c r="B128" s="101" t="str">
        <f t="shared" si="92"/>
        <v>Active</v>
      </c>
      <c r="C128" s="786" t="s">
        <v>957</v>
      </c>
      <c r="D128" s="101" t="s">
        <v>151</v>
      </c>
      <c r="E128" s="164" t="s">
        <v>834</v>
      </c>
      <c r="F128" s="171" t="s">
        <v>124</v>
      </c>
      <c r="G128" s="140" t="s">
        <v>835</v>
      </c>
      <c r="H128" s="101" t="str">
        <f>C128</f>
        <v>RT-6-006-020-LLP-CD3A</v>
      </c>
      <c r="I128" s="140" t="s">
        <v>360</v>
      </c>
      <c r="J128" s="101" t="s">
        <v>361</v>
      </c>
      <c r="K128" s="144" t="s">
        <v>958</v>
      </c>
      <c r="L128" s="113" t="s">
        <v>959</v>
      </c>
      <c r="M128" s="120" t="s">
        <v>141</v>
      </c>
      <c r="N128" s="106">
        <v>450</v>
      </c>
      <c r="O128" s="106" t="str" cm="1">
        <f t="array" ref="O128">_xlfn.IFS(N128="","",ABS(N128)&lt;='Risk Matrices'!$E$7,'Risk Matrices'!$E$5,ABS(N128)&lt;='Risk Matrices'!$F$7,'Risk Matrices'!$F$5,ABS(N128)&lt;='Risk Matrices'!$G$7,'Risk Matrices'!$G$5,ABS(N128)&lt;='Risk Matrices'!$H$7,'Risk Matrices'!$H$5,ABS(N128)&gt;'Risk Matrices'!$H$7,'Risk Matrices'!$I$5)</f>
        <v>Marginal</v>
      </c>
      <c r="P128" s="345">
        <v>0</v>
      </c>
      <c r="Q128" s="101" t="str" cm="1">
        <f t="array" ref="Q128">_xlfn.IFS(P128="","",ABS(P128)&lt;='Risk Matrices'!$E$8,'Risk Matrices'!$E$5,ABS(P128)&lt;='Risk Matrices'!$F$8,'Risk Matrices'!$F$5,ABS(P128)&lt;='Risk Matrices'!$G$8,'Risk Matrices'!$G$5,ABS(P128)&lt;='Risk Matrices'!$H$8,'Risk Matrices'!$H$5,ABS(P128)&gt;'Risk Matrices'!$H$8,'Risk Matrices'!$I$5)</f>
        <v>Negligible</v>
      </c>
      <c r="R128" s="101" t="s">
        <v>130</v>
      </c>
      <c r="S128" s="140">
        <f t="shared" si="89"/>
        <v>3</v>
      </c>
      <c r="T128" s="106" cm="1">
        <f t="array" ref="T128">_xlfn.IFS(O128='Risk Matrices'!$D$28,'Risk Matrices'!$D$29,O128='Risk Matrices'!$E$28,'Risk Matrices'!$E$29,O128='Risk Matrices'!$F$28,'Risk Matrices'!$F$29,O128='Risk Matrices'!$G$28,'Risk Matrices'!$G$29,O128='Risk Matrices'!$H$28,'Risk Matrices'!$H$29)</f>
        <v>2</v>
      </c>
      <c r="U128" s="106">
        <f t="shared" ref="U128:U133" si="113">IF(Q128="",0,IF(Q128="Negligible",1,IF(Q128="Marginal",2,IF(Q128="Significant",3,IF(Q128="Critical",4,IF(Q128="Crisis",5))))))</f>
        <v>1</v>
      </c>
      <c r="V128" s="106">
        <f>IF(R128="None",0,IF(R128="Negligible",1,IF(R128="Marginal",2,IF(R128="Significant",3,IF(R128="Critical",4,IF(R128="Crisis",5))))))</f>
        <v>0</v>
      </c>
      <c r="W128" s="106">
        <f t="shared" ref="W128:W133" si="114">MAX(T128,U128,V128)</f>
        <v>2</v>
      </c>
      <c r="X128" s="140">
        <f t="shared" ref="X128:X133" si="115">S128*W128</f>
        <v>6</v>
      </c>
      <c r="Y128" s="107" t="str">
        <f t="shared" si="90"/>
        <v>Low</v>
      </c>
      <c r="Z128" s="347"/>
      <c r="AA128" s="184">
        <f t="shared" ref="AA128:AA133" si="116">IF(M128="",0,IF(M128="Very Low (There is a &lt;10% chance that this event will occur)",0.05,IF(M128="Low (Risk is likely to occur with a probability of &gt; 10% to &lt; 25%)",0.17,IF(M128="Moderate (Risk is likely to occur with a probability of &gt; 25% to &lt; 40%)",0.32,IF(M128="High (Risk is likely to occur with a probability of &gt;40 to &lt;65%)",0.52,IF(M128="Very High (Risk is likely to occur with a probability of &gt;65%)",0.82))))))</f>
        <v>0.32</v>
      </c>
      <c r="AB128" s="180">
        <f t="shared" ref="AB128:AB133" si="117">+AA128*N128</f>
        <v>144</v>
      </c>
      <c r="AC128" s="358" t="s">
        <v>143</v>
      </c>
      <c r="AD128" s="956" t="s">
        <v>960</v>
      </c>
      <c r="AE128" s="359"/>
      <c r="AF128" s="144" t="s">
        <v>200</v>
      </c>
      <c r="AG128" s="144"/>
      <c r="AH128" s="157" t="s">
        <v>844</v>
      </c>
      <c r="AI128" s="112">
        <v>0.3</v>
      </c>
      <c r="AJ128" s="106">
        <v>450</v>
      </c>
      <c r="AK128" s="106">
        <v>450</v>
      </c>
      <c r="AL128" s="106">
        <v>450</v>
      </c>
      <c r="AM128" s="106">
        <v>0</v>
      </c>
      <c r="AN128" s="106">
        <v>0</v>
      </c>
      <c r="AO128" s="106">
        <v>0</v>
      </c>
      <c r="AP128" s="112" t="str">
        <f>IF(OR(ISBLANK(AI128),AI128=0),"INSERT LIKELIHOOD",IF(ABS(AI128)&lt;='Risk Matrices'!$D$22,'Risk Matrices'!$C$21,IF(ABS(AI128)&lt;='Risk Matrices'!$D$19,'Risk Matrices'!$C$18,IF(ABS(AI128)&lt;='Risk Matrices'!$D$16,'Risk Matrices'!$C$15,IF(ABS(AI128)&lt;='Risk Matrices'!$D$13,'Risk Matrices'!$C$12,'Risk Matrices'!$C$10)))))</f>
        <v>Moderate</v>
      </c>
      <c r="AQ128" s="112" t="str">
        <f>IF(OR(ISBLANK(AK128),AK128=0),"None",IF(ABS(AK128)&lt;='Risk Matrices'!$E$7,'Risk Matrices'!$E$5,IF(ABS(AK128)&lt;='Risk Matrices'!$G$7,'Risk Matrices'!$G$5,IF(ABS(AK128)&lt;='Risk Matrices'!$H$7,'Risk Matrices'!$H$5,'Risk Matrices'!$I$5))))</f>
        <v>Significant</v>
      </c>
      <c r="AR128" s="112" t="str">
        <f>IF(AN128="","",IF(ABS(AN128)&lt;='Risk Matrices'!$E$8,"Negligible",IF(ABS(AN128)&lt;='Risk Matrices'!$F$8,"Marginal",IF(ABS(AN128)&lt;='Risk Matrices'!$G$8,"Significant",IF(ABS(AN128)&lt;='Risk Matrices'!$H$8,"Critical","Crisis")))))</f>
        <v>Negligible</v>
      </c>
      <c r="AS128" s="161" t="s">
        <v>130</v>
      </c>
      <c r="AT128" s="298">
        <f>IF(OR(ISBLANK(AI128),AI128=0),0,VLOOKUP(AP128,'Risk Matrices'!$B$30:$C$34,2,0))</f>
        <v>3</v>
      </c>
      <c r="AU128" s="298">
        <f>IF(OR(ISBLANK(AK128),AK128=0),0,HLOOKUP(AQ128,'Risk Matrices'!$D$28:$H$29,2,0))</f>
        <v>3</v>
      </c>
      <c r="AV128" s="298">
        <f>IF(OR(ISBLANK(AL128),AL128=0),0,HLOOKUP(AR128,'Risk Matrices'!$D$28:$H$29,2,0))</f>
        <v>1</v>
      </c>
      <c r="AW128" s="298">
        <f>IF(AS128="None",0,HLOOKUP(AS128,'Risk Matrices'!$D$28:$H$29,2,0))</f>
        <v>0</v>
      </c>
      <c r="AX128" s="106">
        <f t="shared" si="110"/>
        <v>3</v>
      </c>
      <c r="AY128" s="106">
        <f>MAX(AV128,AW128,AX128)</f>
        <v>3</v>
      </c>
      <c r="AZ128" s="107" t="str">
        <f>IF(B128="Retired","Retired",IF(OR(ISBLANK(AY128),AY128=0),"TBD",IF(AY128&lt;='Risk Matrices'!$D$40,'Risk Matrices'!$B$40,IF(AY128&lt;='Risk Matrices'!$D$39,'Risk Matrices'!$B$39,'Risk Matrices'!$B$38))))</f>
        <v>Low</v>
      </c>
      <c r="BA128" s="112"/>
      <c r="BB128" s="990" t="s">
        <v>961</v>
      </c>
      <c r="BC128" s="109">
        <f t="shared" si="112"/>
        <v>135</v>
      </c>
      <c r="BD128" s="185">
        <v>45517</v>
      </c>
      <c r="BE128" s="114"/>
      <c r="BF128" s="115"/>
      <c r="BG128" s="115"/>
      <c r="BH128" s="115"/>
      <c r="BI128" s="115"/>
      <c r="BJ128" s="874">
        <f t="shared" si="91"/>
        <v>135</v>
      </c>
      <c r="BK128" s="101"/>
      <c r="BL128" s="101"/>
      <c r="BM128" s="116">
        <v>45519</v>
      </c>
      <c r="BN128" s="116">
        <v>45519</v>
      </c>
      <c r="BO128" s="332"/>
      <c r="BP128" s="94">
        <f>AI128*((AJ128+4*AK128+AL128)/6)</f>
        <v>135</v>
      </c>
      <c r="BQ128" s="97" t="str">
        <f t="shared" si="85"/>
        <v>450 - 450 - 450</v>
      </c>
      <c r="BR128" s="97" t="str">
        <f t="shared" si="86"/>
        <v>0 - 0 - 0</v>
      </c>
      <c r="BS128" s="715">
        <f t="shared" si="106"/>
        <v>135</v>
      </c>
      <c r="BT128" s="736">
        <f t="shared" si="88"/>
        <v>0</v>
      </c>
      <c r="BU128" s="735"/>
      <c r="BV128" s="873"/>
    </row>
    <row r="129" spans="2:75" customFormat="1" ht="45" hidden="1" x14ac:dyDescent="0.2">
      <c r="B129" s="101" t="str">
        <f t="shared" si="92"/>
        <v>Retired</v>
      </c>
      <c r="C129" s="787">
        <v>24</v>
      </c>
      <c r="D129" s="101" t="s">
        <v>151</v>
      </c>
      <c r="E129" s="164" t="s">
        <v>834</v>
      </c>
      <c r="F129" s="164" t="s">
        <v>124</v>
      </c>
      <c r="G129" s="140" t="s">
        <v>942</v>
      </c>
      <c r="H129" s="140"/>
      <c r="I129" s="140" t="s">
        <v>360</v>
      </c>
      <c r="J129" s="101" t="s">
        <v>361</v>
      </c>
      <c r="K129" s="157" t="s">
        <v>962</v>
      </c>
      <c r="L129" s="113" t="s">
        <v>963</v>
      </c>
      <c r="M129" s="103" t="s">
        <v>129</v>
      </c>
      <c r="N129" s="105">
        <v>1</v>
      </c>
      <c r="O129" s="106" t="str" cm="1">
        <f t="array" ref="O129">_xlfn.IFS(N129="","",ABS(N129)&lt;='Risk Matrices'!$E$7,'Risk Matrices'!$E$5,ABS(N129)&lt;='Risk Matrices'!$F$7,'Risk Matrices'!$F$5,ABS(N129)&lt;='Risk Matrices'!$G$7,'Risk Matrices'!$G$5,ABS(N129)&lt;='Risk Matrices'!$H$7,'Risk Matrices'!$H$5,ABS(N129)&gt;'Risk Matrices'!$H$7,'Risk Matrices'!$I$5)</f>
        <v>Negligible</v>
      </c>
      <c r="P129" s="106">
        <v>12</v>
      </c>
      <c r="Q129" s="102" t="s">
        <v>307</v>
      </c>
      <c r="R129" s="102"/>
      <c r="S129" s="106">
        <f t="shared" si="89"/>
        <v>4</v>
      </c>
      <c r="T129" s="106" cm="1">
        <f t="array" ref="T129">_xlfn.IFS(O129='Risk Matrices'!$D$28,'Risk Matrices'!$D$29,O129='Risk Matrices'!$E$28,'Risk Matrices'!$E$29,O129='Risk Matrices'!$F$28,'Risk Matrices'!$F$29,O129='Risk Matrices'!$G$28,'Risk Matrices'!$G$29,O129='Risk Matrices'!$H$28,'Risk Matrices'!$H$29)</f>
        <v>1</v>
      </c>
      <c r="U129" s="106">
        <f t="shared" si="113"/>
        <v>3</v>
      </c>
      <c r="V129" s="106">
        <f>IF(R129="",0,IF(R129="Negligible",1,IF(R129="Marginal",2,IF(R129="Significant",3,IF(R129="Critical",4,IF(R129="Crisis",5))))))</f>
        <v>0</v>
      </c>
      <c r="W129" s="106">
        <f t="shared" si="114"/>
        <v>3</v>
      </c>
      <c r="X129" s="106">
        <f t="shared" si="115"/>
        <v>12</v>
      </c>
      <c r="Y129" s="107" t="str">
        <f t="shared" si="90"/>
        <v>Moderate</v>
      </c>
      <c r="Z129" s="104"/>
      <c r="AA129" s="108">
        <f t="shared" si="116"/>
        <v>0.52</v>
      </c>
      <c r="AB129" s="109">
        <f t="shared" si="117"/>
        <v>0.52</v>
      </c>
      <c r="AC129" s="109" t="s">
        <v>155</v>
      </c>
      <c r="AD129" s="104"/>
      <c r="AE129" s="104"/>
      <c r="AF129" s="104"/>
      <c r="AG129" s="104"/>
      <c r="AH129" s="104"/>
      <c r="AI129" s="112">
        <v>0.15</v>
      </c>
      <c r="AJ129" s="106">
        <v>0</v>
      </c>
      <c r="AK129" s="106">
        <v>500</v>
      </c>
      <c r="AL129" s="106">
        <v>3000</v>
      </c>
      <c r="AM129" s="106">
        <v>6</v>
      </c>
      <c r="AN129" s="106">
        <v>12</v>
      </c>
      <c r="AO129" s="106">
        <v>18</v>
      </c>
      <c r="AP129" s="112" t="str">
        <f>IF(OR(ISBLANK(AI129),AI129=0),"INSERT LIKELIHOOD",IF(ABS(AI129)&lt;='Risk Matrices'!$D$22,'Risk Matrices'!$C$21,IF(ABS(AI129)&lt;='Risk Matrices'!$D$19,'Risk Matrices'!$C$18,IF(ABS(AI129)&lt;='Risk Matrices'!$D$16,'Risk Matrices'!$C$15,IF(ABS(AI129)&lt;='Risk Matrices'!$D$13,'Risk Matrices'!$C$12,'Risk Matrices'!$C$10)))))</f>
        <v>Low</v>
      </c>
      <c r="AQ129" s="112" t="str">
        <f>IF(OR(ISBLANK(AK129),AK129=0),"None",IF(ABS(AK129)&lt;='Risk Matrices'!$E$7,'Risk Matrices'!$E$5,IF(ABS(AK129)&lt;='Risk Matrices'!$G$7,'Risk Matrices'!$G$5,IF(ABS(AK129)&lt;='Risk Matrices'!$H$7,'Risk Matrices'!$H$5,'Risk Matrices'!$I$5))))</f>
        <v>Significant</v>
      </c>
      <c r="AR129" s="112" t="str">
        <f>IF(AN129="","",IF(ABS(AN129)&lt;='Risk Matrices'!$E$8,"Negligible",IF(ABS(AN129)&lt;='Risk Matrices'!$F$8,"Marginal",IF(ABS(AN129)&lt;='Risk Matrices'!$G$8,"Significant",IF(ABS(AN129)&lt;='Risk Matrices'!$H$8,"Critical","Crisis")))))</f>
        <v>Significant</v>
      </c>
      <c r="AS129" s="103" t="s">
        <v>280</v>
      </c>
      <c r="AT129" s="298">
        <f>IF(OR(ISBLANK(AI129),AI129=0),0,VLOOKUP(AP129,'Risk Matrices'!$B$30:$C$34,2,0))</f>
        <v>2</v>
      </c>
      <c r="AU129" s="298">
        <f>IF(OR(ISBLANK(AK129),AK129=0),0,HLOOKUP(AQ129,'Risk Matrices'!$D$28:$H$29,2,0))</f>
        <v>3</v>
      </c>
      <c r="AV129" s="298">
        <f>IF(OR(ISBLANK(AR129),AR129=0),0,HLOOKUP(AR129,'Risk Matrices'!$D$28:$H$29,2,0))</f>
        <v>3</v>
      </c>
      <c r="AW129" s="298">
        <f>IF(OR(ISBLANK(AS129),AS129=0),0,HLOOKUP(AS129,'Risk Matrices'!$D$28:$H$29,2,0))</f>
        <v>2</v>
      </c>
      <c r="AX129" s="106">
        <f t="shared" si="110"/>
        <v>3</v>
      </c>
      <c r="AY129" s="106">
        <f t="shared" ref="AY129:AY160" si="118">AT129*AX129</f>
        <v>6</v>
      </c>
      <c r="AZ129" s="107" t="str">
        <f>IF(B129="Retired","Retired",IF(OR(ISBLANK(AY129),AY129=0),"TBD",IF(AY129&lt;='Risk Matrices'!$D$40,'Risk Matrices'!$B$40,IF(AY129&lt;='Risk Matrices'!$D$39,'Risk Matrices'!$B$39,'Risk Matrices'!$B$38))))</f>
        <v>Retired</v>
      </c>
      <c r="BA129" s="112"/>
      <c r="BB129" s="113"/>
      <c r="BC129" s="109" t="str">
        <f t="shared" si="112"/>
        <v>Retired</v>
      </c>
      <c r="BD129" s="113"/>
      <c r="BE129" s="114"/>
      <c r="BF129" s="170"/>
      <c r="BG129" s="115" t="s">
        <v>964</v>
      </c>
      <c r="BH129" s="115"/>
      <c r="BI129" s="115"/>
      <c r="BJ129" s="874">
        <f t="shared" si="91"/>
        <v>175</v>
      </c>
      <c r="BK129" s="101" t="s">
        <v>375</v>
      </c>
      <c r="BL129" s="116">
        <v>44469</v>
      </c>
      <c r="BM129" s="116">
        <v>44012</v>
      </c>
      <c r="BN129" s="330">
        <v>44134</v>
      </c>
      <c r="BO129" s="332"/>
      <c r="BP129" s="94">
        <f t="shared" ref="BP129:BP136" si="119">AI129*((2*AJ129+4*AK129+2*AL129)/6)</f>
        <v>199.99999999999997</v>
      </c>
      <c r="BQ129" s="97" t="str">
        <f t="shared" ref="BQ129:BQ160" si="120">CONCATENATE(AJ129," - ",AK129," - ",AL129)</f>
        <v>0 - 500 - 3000</v>
      </c>
      <c r="BR129" s="97" t="str">
        <f t="shared" ref="BR129:BR160" si="121">CONCATENATE(AM129," - ",AN129," - ",AO129)</f>
        <v>6 - 12 - 18</v>
      </c>
      <c r="BS129" s="715">
        <f t="shared" si="106"/>
        <v>175</v>
      </c>
      <c r="BT129" s="736">
        <f t="shared" ref="BT129:BT160" si="122">AI129*(AM129+AN129+AO129)/3</f>
        <v>1.7999999999999998</v>
      </c>
      <c r="BU129" s="735" t="s">
        <v>965</v>
      </c>
      <c r="BV129" s="873"/>
    </row>
    <row r="130" spans="2:75" customFormat="1" ht="45" hidden="1" x14ac:dyDescent="0.2">
      <c r="B130" s="101" t="str">
        <f t="shared" si="92"/>
        <v>Retired</v>
      </c>
      <c r="C130" s="780">
        <v>93</v>
      </c>
      <c r="D130" s="101" t="s">
        <v>151</v>
      </c>
      <c r="E130" s="171" t="s">
        <v>834</v>
      </c>
      <c r="F130" s="171" t="s">
        <v>124</v>
      </c>
      <c r="G130" s="140" t="s">
        <v>942</v>
      </c>
      <c r="H130" s="140"/>
      <c r="I130" s="140" t="s">
        <v>360</v>
      </c>
      <c r="J130" s="101" t="s">
        <v>361</v>
      </c>
      <c r="K130" s="101" t="s">
        <v>966</v>
      </c>
      <c r="L130" s="104" t="s">
        <v>967</v>
      </c>
      <c r="M130" s="103" t="s">
        <v>141</v>
      </c>
      <c r="N130" s="105">
        <v>1000</v>
      </c>
      <c r="O130" s="106" t="str" cm="1">
        <f t="array" ref="O130">_xlfn.IFS(N130="","",ABS(N130)&lt;='Risk Matrices'!$E$7,'Risk Matrices'!$E$5,ABS(N130)&lt;='Risk Matrices'!$F$7,'Risk Matrices'!$F$5,ABS(N130)&lt;='Risk Matrices'!$G$7,'Risk Matrices'!$G$5,ABS(N130)&lt;='Risk Matrices'!$H$7,'Risk Matrices'!$H$5,ABS(N130)&gt;'Risk Matrices'!$H$7,'Risk Matrices'!$I$5)</f>
        <v>Marginal</v>
      </c>
      <c r="P130" s="106">
        <v>18</v>
      </c>
      <c r="Q130" s="102" t="s">
        <v>307</v>
      </c>
      <c r="R130" s="102"/>
      <c r="S130" s="106">
        <f t="shared" si="89"/>
        <v>3</v>
      </c>
      <c r="T130" s="106" cm="1">
        <f t="array" ref="T130">_xlfn.IFS(O130='Risk Matrices'!$D$28,'Risk Matrices'!$D$29,O130='Risk Matrices'!$E$28,'Risk Matrices'!$E$29,O130='Risk Matrices'!$F$28,'Risk Matrices'!$F$29,O130='Risk Matrices'!$G$28,'Risk Matrices'!$G$29,O130='Risk Matrices'!$H$28,'Risk Matrices'!$H$29)</f>
        <v>2</v>
      </c>
      <c r="U130" s="106">
        <f t="shared" si="113"/>
        <v>3</v>
      </c>
      <c r="V130" s="106">
        <f>IF(R130="",0,IF(R130="Negligible",1,IF(R130="Marginal",2,IF(R130="Significant",3,IF(R130="Critical",4,IF(R130="Crisis",5))))))</f>
        <v>0</v>
      </c>
      <c r="W130" s="106">
        <f t="shared" si="114"/>
        <v>3</v>
      </c>
      <c r="X130" s="106">
        <f t="shared" si="115"/>
        <v>9</v>
      </c>
      <c r="Y130" s="107" t="str">
        <f t="shared" si="90"/>
        <v>Moderate</v>
      </c>
      <c r="Z130" s="104"/>
      <c r="AA130" s="108">
        <f t="shared" si="116"/>
        <v>0.32</v>
      </c>
      <c r="AB130" s="109">
        <f t="shared" si="117"/>
        <v>320</v>
      </c>
      <c r="AC130" s="109" t="s">
        <v>155</v>
      </c>
      <c r="AD130" s="104"/>
      <c r="AE130" s="104"/>
      <c r="AF130" s="104"/>
      <c r="AG130" s="104"/>
      <c r="AH130" s="104"/>
      <c r="AI130" s="112">
        <v>0.2</v>
      </c>
      <c r="AJ130" s="106">
        <v>0</v>
      </c>
      <c r="AK130" s="106">
        <v>1000</v>
      </c>
      <c r="AL130" s="106">
        <v>5000</v>
      </c>
      <c r="AM130" s="106">
        <v>0</v>
      </c>
      <c r="AN130" s="106">
        <v>18</v>
      </c>
      <c r="AO130" s="106">
        <v>18</v>
      </c>
      <c r="AP130" s="112" t="str">
        <f>IF(OR(ISBLANK(AI130),AI130=0),"INSERT LIKELIHOOD",IF(ABS(AI130)&lt;='Risk Matrices'!$D$22,'Risk Matrices'!$C$21,IF(ABS(AI130)&lt;='Risk Matrices'!$D$19,'Risk Matrices'!$C$18,IF(ABS(AI130)&lt;='Risk Matrices'!$D$16,'Risk Matrices'!$C$15,IF(ABS(AI130)&lt;='Risk Matrices'!$D$13,'Risk Matrices'!$C$12,'Risk Matrices'!$C$10)))))</f>
        <v>Low</v>
      </c>
      <c r="AQ130" s="112" t="str">
        <f>IF(OR(ISBLANK(AK130),AK130=0),"None",IF(ABS(AK130)&lt;='Risk Matrices'!$E$7,'Risk Matrices'!$E$5,IF(ABS(AK130)&lt;='Risk Matrices'!$G$7,'Risk Matrices'!$G$5,IF(ABS(AK130)&lt;='Risk Matrices'!$H$7,'Risk Matrices'!$H$5,'Risk Matrices'!$I$5))))</f>
        <v>Significant</v>
      </c>
      <c r="AR130" s="112" t="str">
        <f>IF(AN130="","",IF(ABS(AN130)&lt;='Risk Matrices'!$E$8,"Negligible",IF(ABS(AN130)&lt;='Risk Matrices'!$F$8,"Marginal",IF(ABS(AN130)&lt;='Risk Matrices'!$G$8,"Significant",IF(ABS(AN130)&lt;='Risk Matrices'!$H$8,"Critical","Crisis")))))</f>
        <v>Critical</v>
      </c>
      <c r="AS130" s="103" t="s">
        <v>280</v>
      </c>
      <c r="AT130" s="298">
        <f>IF(OR(ISBLANK(AI130),AI130=0),0,VLOOKUP(AP130,'Risk Matrices'!$B$30:$C$34,2,0))</f>
        <v>2</v>
      </c>
      <c r="AU130" s="298">
        <f>IF(OR(ISBLANK(AK130),AK130=0),0,HLOOKUP(AQ130,'Risk Matrices'!$D$28:$H$29,2,0))</f>
        <v>3</v>
      </c>
      <c r="AV130" s="298">
        <f>IF(OR(ISBLANK(AR130),AR130=0),0,HLOOKUP(AR130,'Risk Matrices'!$D$28:$H$29,2,0))</f>
        <v>4</v>
      </c>
      <c r="AW130" s="298">
        <f>IF(OR(ISBLANK(AS130),AS130=0),0,HLOOKUP(AS130,'Risk Matrices'!$D$28:$H$29,2,0))</f>
        <v>2</v>
      </c>
      <c r="AX130" s="106">
        <f t="shared" si="110"/>
        <v>4</v>
      </c>
      <c r="AY130" s="106">
        <f t="shared" si="118"/>
        <v>8</v>
      </c>
      <c r="AZ130" s="107" t="str">
        <f>IF(B130="Retired","Retired",IF(OR(ISBLANK(AY130),AY130=0),"TBD",IF(AY130&lt;='Risk Matrices'!$D$40,'Risk Matrices'!$B$40,IF(AY130&lt;='Risk Matrices'!$D$39,'Risk Matrices'!$B$39,'Risk Matrices'!$B$38))))</f>
        <v>Retired</v>
      </c>
      <c r="BA130" s="112"/>
      <c r="BB130" s="113"/>
      <c r="BC130" s="109" t="str">
        <f t="shared" si="112"/>
        <v>Retired</v>
      </c>
      <c r="BD130" s="113"/>
      <c r="BE130" s="114"/>
      <c r="BF130" s="115"/>
      <c r="BG130" s="115" t="s">
        <v>964</v>
      </c>
      <c r="BH130" s="115"/>
      <c r="BI130" s="115"/>
      <c r="BJ130" s="874">
        <f t="shared" ref="BJ130:BJ161" si="123">AI130*(SUM(AJ130:AL130)/3)</f>
        <v>400</v>
      </c>
      <c r="BK130" s="101" t="s">
        <v>375</v>
      </c>
      <c r="BL130" s="116">
        <v>44469</v>
      </c>
      <c r="BM130" s="116">
        <v>44012</v>
      </c>
      <c r="BN130" s="330">
        <v>44134</v>
      </c>
      <c r="BO130" s="332"/>
      <c r="BP130" s="94">
        <f t="shared" si="119"/>
        <v>466.66666666666674</v>
      </c>
      <c r="BQ130" s="97" t="str">
        <f t="shared" si="120"/>
        <v>0 - 1000 - 5000</v>
      </c>
      <c r="BR130" s="97" t="str">
        <f t="shared" si="121"/>
        <v>0 - 18 - 18</v>
      </c>
      <c r="BS130" s="715">
        <f t="shared" si="106"/>
        <v>400</v>
      </c>
      <c r="BT130" s="736">
        <f t="shared" si="122"/>
        <v>2.4</v>
      </c>
      <c r="BU130" s="735" t="s">
        <v>968</v>
      </c>
      <c r="BV130" s="873"/>
    </row>
    <row r="131" spans="2:75" customFormat="1" ht="120" hidden="1" x14ac:dyDescent="0.2">
      <c r="B131" s="101" t="str">
        <f t="shared" si="92"/>
        <v>Retired</v>
      </c>
      <c r="C131" s="787">
        <v>129</v>
      </c>
      <c r="D131" s="101" t="s">
        <v>151</v>
      </c>
      <c r="E131" s="164" t="s">
        <v>834</v>
      </c>
      <c r="F131" s="164" t="s">
        <v>124</v>
      </c>
      <c r="G131" s="140" t="s">
        <v>942</v>
      </c>
      <c r="H131" s="140"/>
      <c r="I131" s="140" t="s">
        <v>360</v>
      </c>
      <c r="J131" s="143" t="s">
        <v>969</v>
      </c>
      <c r="K131" s="157" t="s">
        <v>970</v>
      </c>
      <c r="L131" s="113" t="s">
        <v>971</v>
      </c>
      <c r="M131" s="103" t="s">
        <v>141</v>
      </c>
      <c r="N131" s="105">
        <v>500</v>
      </c>
      <c r="O131" s="106" t="str" cm="1">
        <f t="array" ref="O131">_xlfn.IFS(N131="","",ABS(N131)&lt;='Risk Matrices'!$E$7,'Risk Matrices'!$E$5,ABS(N131)&lt;='Risk Matrices'!$F$7,'Risk Matrices'!$F$5,ABS(N131)&lt;='Risk Matrices'!$G$7,'Risk Matrices'!$G$5,ABS(N131)&lt;='Risk Matrices'!$H$7,'Risk Matrices'!$H$5,ABS(N131)&gt;'Risk Matrices'!$H$7,'Risk Matrices'!$I$5)</f>
        <v>Marginal</v>
      </c>
      <c r="P131" s="101"/>
      <c r="Q131" s="101" t="s">
        <v>406</v>
      </c>
      <c r="R131" s="101" t="s">
        <v>406</v>
      </c>
      <c r="S131" s="106">
        <f t="shared" si="89"/>
        <v>3</v>
      </c>
      <c r="T131" s="106" cm="1">
        <f t="array" ref="T131">_xlfn.IFS(O131='Risk Matrices'!$D$28,'Risk Matrices'!$D$29,O131='Risk Matrices'!$E$28,'Risk Matrices'!$E$29,O131='Risk Matrices'!$F$28,'Risk Matrices'!$F$29,O131='Risk Matrices'!$G$28,'Risk Matrices'!$G$29,O131='Risk Matrices'!$H$28,'Risk Matrices'!$H$29)</f>
        <v>2</v>
      </c>
      <c r="U131" s="106">
        <f t="shared" si="113"/>
        <v>4</v>
      </c>
      <c r="V131" s="106">
        <f>IF(R131="",0,IF(R131="Negligible",1,IF(R131="Marginal",2,IF(R131="Significant",3,IF(R131="Critical",4,IF(R131="Crisis",5))))))</f>
        <v>4</v>
      </c>
      <c r="W131" s="106">
        <f t="shared" si="114"/>
        <v>4</v>
      </c>
      <c r="X131" s="106">
        <f t="shared" si="115"/>
        <v>12</v>
      </c>
      <c r="Y131" s="107" t="str">
        <f t="shared" si="90"/>
        <v>Moderate</v>
      </c>
      <c r="Z131" s="104"/>
      <c r="AA131" s="108">
        <f t="shared" si="116"/>
        <v>0.32</v>
      </c>
      <c r="AB131" s="109">
        <f t="shared" si="117"/>
        <v>160</v>
      </c>
      <c r="AC131" s="109" t="s">
        <v>155</v>
      </c>
      <c r="AD131" s="104" t="s">
        <v>972</v>
      </c>
      <c r="AE131" s="104"/>
      <c r="AF131" s="104" t="s">
        <v>973</v>
      </c>
      <c r="AG131" s="104"/>
      <c r="AH131" s="113"/>
      <c r="AI131" s="112">
        <v>0.2</v>
      </c>
      <c r="AJ131" s="157">
        <v>0</v>
      </c>
      <c r="AK131" s="157">
        <v>500</v>
      </c>
      <c r="AL131" s="157">
        <v>3000</v>
      </c>
      <c r="AM131" s="140">
        <v>0</v>
      </c>
      <c r="AN131" s="140">
        <v>3</v>
      </c>
      <c r="AO131" s="140">
        <v>6</v>
      </c>
      <c r="AP131" s="112" t="str">
        <f>IF(OR(ISBLANK(AI131),AI131=0),"INSERT LIKELIHOOD",IF(ABS(AI131)&lt;='Risk Matrices'!$D$22,'Risk Matrices'!$C$21,IF(ABS(AI131)&lt;='Risk Matrices'!$D$19,'Risk Matrices'!$C$18,IF(ABS(AI131)&lt;='Risk Matrices'!$D$16,'Risk Matrices'!$C$15,IF(ABS(AI131)&lt;='Risk Matrices'!$D$13,'Risk Matrices'!$C$12,'Risk Matrices'!$C$10)))))</f>
        <v>Low</v>
      </c>
      <c r="AQ131" s="112" t="str">
        <f>IF(OR(ISBLANK(AK131),AK131=0),"None",IF(ABS(AK131)&lt;='Risk Matrices'!$E$7,'Risk Matrices'!$E$5,IF(ABS(AK131)&lt;='Risk Matrices'!$G$7,'Risk Matrices'!$G$5,IF(ABS(AK131)&lt;='Risk Matrices'!$H$7,'Risk Matrices'!$H$5,'Risk Matrices'!$I$5))))</f>
        <v>Significant</v>
      </c>
      <c r="AR131" s="112" t="str">
        <f>IF(AN131="","",IF(ABS(AN131)&lt;='Risk Matrices'!$E$8,"Negligible",IF(ABS(AN131)&lt;='Risk Matrices'!$F$8,"Marginal",IF(ABS(AN131)&lt;='Risk Matrices'!$G$8,"Significant",IF(ABS(AN131)&lt;='Risk Matrices'!$H$8,"Critical","Crisis")))))</f>
        <v>Negligible</v>
      </c>
      <c r="AS131" s="103" t="s">
        <v>406</v>
      </c>
      <c r="AT131" s="298">
        <f>IF(OR(ISBLANK(AI131),AI131=0),0,VLOOKUP(AP131,'Risk Matrices'!$B$30:$C$34,2,0))</f>
        <v>2</v>
      </c>
      <c r="AU131" s="298">
        <f>IF(OR(ISBLANK(AK131),AK131=0),0,HLOOKUP(AQ131,'Risk Matrices'!$D$28:$H$29,2,0))</f>
        <v>3</v>
      </c>
      <c r="AV131" s="298">
        <f>IF(OR(ISBLANK(AR131),AR131=0),0,HLOOKUP(AR131,'Risk Matrices'!$D$28:$H$29,2,0))</f>
        <v>1</v>
      </c>
      <c r="AW131" s="298">
        <f>IF(OR(ISBLANK(AS131),AS131=0),0,HLOOKUP(AS131,'Risk Matrices'!$D$28:$H$29,2,0))</f>
        <v>4</v>
      </c>
      <c r="AX131" s="106">
        <f t="shared" si="110"/>
        <v>4</v>
      </c>
      <c r="AY131" s="106">
        <f t="shared" si="118"/>
        <v>8</v>
      </c>
      <c r="AZ131" s="107" t="str">
        <f>IF(B131="Retired","Retired",IF(OR(ISBLANK(AY131),AY131=0),"TBD",IF(AY131&lt;='Risk Matrices'!$D$40,'Risk Matrices'!$B$40,IF(AY131&lt;='Risk Matrices'!$D$39,'Risk Matrices'!$B$39,'Risk Matrices'!$B$38))))</f>
        <v>Retired</v>
      </c>
      <c r="BA131" s="104"/>
      <c r="BB131" s="104"/>
      <c r="BC131" s="109" t="str">
        <f t="shared" si="112"/>
        <v>Retired</v>
      </c>
      <c r="BD131" s="104"/>
      <c r="BE131" s="104"/>
      <c r="BF131" s="104"/>
      <c r="BG131" s="113" t="s">
        <v>974</v>
      </c>
      <c r="BH131" s="104"/>
      <c r="BI131" s="104"/>
      <c r="BJ131" s="874">
        <f t="shared" si="123"/>
        <v>233.33333333333337</v>
      </c>
      <c r="BK131" s="101" t="s">
        <v>311</v>
      </c>
      <c r="BL131" s="874">
        <f>AK131*(SUM(AL131:AN131)/3)</f>
        <v>500500</v>
      </c>
      <c r="BM131" s="116">
        <v>44012</v>
      </c>
      <c r="BN131" s="330">
        <v>44134</v>
      </c>
      <c r="BO131" s="332"/>
      <c r="BP131" s="94">
        <f t="shared" si="119"/>
        <v>266.66666666666669</v>
      </c>
      <c r="BQ131" s="97" t="str">
        <f t="shared" si="120"/>
        <v>0 - 500 - 3000</v>
      </c>
      <c r="BR131" s="97" t="str">
        <f t="shared" si="121"/>
        <v>0 - 3 - 6</v>
      </c>
      <c r="BS131" s="715">
        <f t="shared" si="106"/>
        <v>233.33333333333337</v>
      </c>
      <c r="BT131" s="736">
        <f t="shared" si="122"/>
        <v>0.6</v>
      </c>
      <c r="BU131" s="735" t="s">
        <v>975</v>
      </c>
    </row>
    <row r="132" spans="2:75" customFormat="1" ht="45" hidden="1" x14ac:dyDescent="0.2">
      <c r="B132" s="101" t="str">
        <f t="shared" si="92"/>
        <v>Retired</v>
      </c>
      <c r="C132" s="789" t="s">
        <v>976</v>
      </c>
      <c r="D132" s="101" t="s">
        <v>151</v>
      </c>
      <c r="E132" s="164" t="s">
        <v>834</v>
      </c>
      <c r="F132" s="164" t="s">
        <v>124</v>
      </c>
      <c r="G132" s="140" t="s">
        <v>942</v>
      </c>
      <c r="H132" s="140"/>
      <c r="I132" s="140" t="s">
        <v>360</v>
      </c>
      <c r="J132" s="101" t="s">
        <v>361</v>
      </c>
      <c r="K132" s="182" t="s">
        <v>977</v>
      </c>
      <c r="L132" s="113" t="s">
        <v>978</v>
      </c>
      <c r="M132" s="120"/>
      <c r="N132" s="183"/>
      <c r="O132" s="106" t="str" cm="1">
        <f t="array" ref="O132">_xlfn.IFS(N132="","",ABS(N132)&lt;='Risk Matrices'!$E$7,'Risk Matrices'!$E$5,ABS(N132)&lt;='Risk Matrices'!$F$7,'Risk Matrices'!$F$5,ABS(N132)&lt;='Risk Matrices'!$G$7,'Risk Matrices'!$G$5,ABS(N132)&lt;='Risk Matrices'!$H$7,'Risk Matrices'!$H$5,ABS(N132)&gt;'Risk Matrices'!$H$7,'Risk Matrices'!$I$5)</f>
        <v/>
      </c>
      <c r="P132" s="140"/>
      <c r="Q132" s="161"/>
      <c r="R132" s="161"/>
      <c r="S132" s="140">
        <f t="shared" si="89"/>
        <v>0</v>
      </c>
      <c r="T132" s="106" t="e" cm="1">
        <f t="array" ref="T132">_xlfn.IFS(O132='Risk Matrices'!$D$28,'Risk Matrices'!$D$29,O132='Risk Matrices'!$E$28,'Risk Matrices'!$E$29,O132='Risk Matrices'!$F$28,'Risk Matrices'!$F$29,O132='Risk Matrices'!$G$28,'Risk Matrices'!$G$29,O132='Risk Matrices'!$H$28,'Risk Matrices'!$H$29)</f>
        <v>#N/A</v>
      </c>
      <c r="U132" s="140">
        <f t="shared" si="113"/>
        <v>0</v>
      </c>
      <c r="V132" s="140">
        <f>IF(R132="",0,IF(R132="Negligible",1,IF(R132="Marginal",2,IF(R132="Significant",3,IF(R132="Critical",4,IF(R132="Crisis",5))))))</f>
        <v>0</v>
      </c>
      <c r="W132" s="140" t="e">
        <f t="shared" si="114"/>
        <v>#N/A</v>
      </c>
      <c r="X132" s="140" t="e">
        <f t="shared" si="115"/>
        <v>#N/A</v>
      </c>
      <c r="Y132" s="107" t="e">
        <f t="shared" si="90"/>
        <v>#N/A</v>
      </c>
      <c r="Z132" s="113"/>
      <c r="AA132" s="184">
        <f t="shared" si="116"/>
        <v>0</v>
      </c>
      <c r="AB132" s="180">
        <f t="shared" si="117"/>
        <v>0</v>
      </c>
      <c r="AC132" s="180" t="s">
        <v>155</v>
      </c>
      <c r="AD132" s="179"/>
      <c r="AE132" s="179"/>
      <c r="AF132" s="173"/>
      <c r="AG132" s="173"/>
      <c r="AH132" s="113"/>
      <c r="AI132" s="160">
        <v>0.25</v>
      </c>
      <c r="AJ132" s="140">
        <v>1500</v>
      </c>
      <c r="AK132" s="140">
        <v>3000</v>
      </c>
      <c r="AL132" s="140">
        <v>4000</v>
      </c>
      <c r="AM132" s="140">
        <v>3</v>
      </c>
      <c r="AN132" s="140">
        <v>6</v>
      </c>
      <c r="AO132" s="140">
        <v>9</v>
      </c>
      <c r="AP132" s="112" t="str">
        <f>IF(OR(ISBLANK(AI132),AI132=0),"INSERT LIKELIHOOD",IF(ABS(AI132)&lt;='Risk Matrices'!$D$22,'Risk Matrices'!$C$21,IF(ABS(AI132)&lt;='Risk Matrices'!$D$19,'Risk Matrices'!$C$18,IF(ABS(AI132)&lt;='Risk Matrices'!$D$16,'Risk Matrices'!$C$15,IF(ABS(AI132)&lt;='Risk Matrices'!$D$13,'Risk Matrices'!$C$12,'Risk Matrices'!$C$10)))))</f>
        <v>Low</v>
      </c>
      <c r="AQ132" s="112" t="str">
        <f>IF(OR(ISBLANK(AK132),AK132=0),"None",IF(ABS(AK132)&lt;='Risk Matrices'!$E$7,'Risk Matrices'!$E$5,IF(ABS(AK132)&lt;='Risk Matrices'!$G$7,'Risk Matrices'!$G$5,IF(ABS(AK132)&lt;='Risk Matrices'!$H$7,'Risk Matrices'!$H$5,'Risk Matrices'!$I$5))))</f>
        <v>Significant</v>
      </c>
      <c r="AR132" s="112" t="str">
        <f>IF(AN132="","",IF(ABS(AN132)&lt;='Risk Matrices'!$E$8,"Negligible",IF(ABS(AN132)&lt;='Risk Matrices'!$F$8,"Marginal",IF(ABS(AN132)&lt;='Risk Matrices'!$G$8,"Significant",IF(ABS(AN132)&lt;='Risk Matrices'!$H$8,"Critical","Crisis")))))</f>
        <v>Marginal</v>
      </c>
      <c r="AS132" s="161" t="s">
        <v>406</v>
      </c>
      <c r="AT132" s="298">
        <f>IF(OR(ISBLANK(AI132),AI132=0),0,VLOOKUP(AP132,'Risk Matrices'!$B$30:$C$34,2,0))</f>
        <v>2</v>
      </c>
      <c r="AU132" s="298">
        <f>IF(OR(ISBLANK(AK132),AK132=0),0,HLOOKUP(AQ132,'Risk Matrices'!$D$28:$H$29,2,0))</f>
        <v>3</v>
      </c>
      <c r="AV132" s="298">
        <f>IF(OR(ISBLANK(AR132),AR132=0),0,HLOOKUP(AR132,'Risk Matrices'!$D$28:$H$29,2,0))</f>
        <v>2</v>
      </c>
      <c r="AW132" s="298">
        <f>IF(OR(ISBLANK(AS132),AS132=0),0,HLOOKUP(AS132,'Risk Matrices'!$D$28:$H$29,2,0))</f>
        <v>4</v>
      </c>
      <c r="AX132" s="106">
        <f t="shared" si="110"/>
        <v>4</v>
      </c>
      <c r="AY132" s="106">
        <f t="shared" si="118"/>
        <v>8</v>
      </c>
      <c r="AZ132" s="107" t="str">
        <f>IF(B132="Retired","Retired",IF(OR(ISBLANK(AY132),AY132=0),"TBD",IF(AY132&lt;='Risk Matrices'!$D$40,'Risk Matrices'!$B$40,IF(AY132&lt;='Risk Matrices'!$D$39,'Risk Matrices'!$B$39,'Risk Matrices'!$B$38))))</f>
        <v>Retired</v>
      </c>
      <c r="BA132" s="160"/>
      <c r="BB132" s="113"/>
      <c r="BC132" s="109" t="str">
        <f t="shared" si="112"/>
        <v>Retired</v>
      </c>
      <c r="BD132" s="113"/>
      <c r="BE132" s="174"/>
      <c r="BF132" s="115"/>
      <c r="BG132" s="115" t="s">
        <v>979</v>
      </c>
      <c r="BH132" s="115"/>
      <c r="BI132" s="115"/>
      <c r="BJ132" s="874">
        <f t="shared" si="123"/>
        <v>708.33333333333337</v>
      </c>
      <c r="BK132" s="157" t="s">
        <v>311</v>
      </c>
      <c r="BL132" s="185">
        <v>44461</v>
      </c>
      <c r="BM132" s="185">
        <v>44407</v>
      </c>
      <c r="BN132" s="330">
        <v>44466</v>
      </c>
      <c r="BO132" s="332"/>
      <c r="BP132" s="94">
        <f t="shared" si="119"/>
        <v>958.33333333333337</v>
      </c>
      <c r="BQ132" s="97" t="str">
        <f t="shared" si="120"/>
        <v>1500 - 3000 - 4000</v>
      </c>
      <c r="BR132" s="97" t="str">
        <f t="shared" si="121"/>
        <v>3 - 6 - 9</v>
      </c>
      <c r="BS132" s="715">
        <f t="shared" si="106"/>
        <v>708.33333333333337</v>
      </c>
      <c r="BT132" s="736">
        <f t="shared" si="122"/>
        <v>1.5</v>
      </c>
      <c r="BU132" s="735" t="s">
        <v>976</v>
      </c>
    </row>
    <row r="133" spans="2:75" customFormat="1" ht="210" hidden="1" x14ac:dyDescent="0.2">
      <c r="B133" s="101" t="str">
        <f t="shared" si="92"/>
        <v>Retired</v>
      </c>
      <c r="C133" s="787">
        <v>124</v>
      </c>
      <c r="D133" s="101" t="s">
        <v>151</v>
      </c>
      <c r="E133" s="164" t="s">
        <v>834</v>
      </c>
      <c r="F133" s="164" t="s">
        <v>124</v>
      </c>
      <c r="G133" s="140" t="s">
        <v>942</v>
      </c>
      <c r="H133" s="140"/>
      <c r="I133" s="140" t="s">
        <v>360</v>
      </c>
      <c r="J133" s="101" t="s">
        <v>361</v>
      </c>
      <c r="K133" s="144" t="s">
        <v>980</v>
      </c>
      <c r="L133" s="113" t="s">
        <v>981</v>
      </c>
      <c r="M133" s="103" t="s">
        <v>197</v>
      </c>
      <c r="N133" s="105">
        <v>1500</v>
      </c>
      <c r="O133" s="106" t="str" cm="1">
        <f t="array" ref="O133">_xlfn.IFS(N133="","",ABS(N133)&lt;='Risk Matrices'!$E$7,'Risk Matrices'!$E$5,ABS(N133)&lt;='Risk Matrices'!$F$7,'Risk Matrices'!$F$5,ABS(N133)&lt;='Risk Matrices'!$G$7,'Risk Matrices'!$G$5,ABS(N133)&lt;='Risk Matrices'!$H$7,'Risk Matrices'!$H$5,ABS(N133)&gt;'Risk Matrices'!$H$7,'Risk Matrices'!$I$5)</f>
        <v>Significant</v>
      </c>
      <c r="P133" s="106">
        <v>12</v>
      </c>
      <c r="Q133" s="102" t="s">
        <v>406</v>
      </c>
      <c r="R133" s="102" t="s">
        <v>406</v>
      </c>
      <c r="S133" s="106">
        <f t="shared" si="89"/>
        <v>5</v>
      </c>
      <c r="T133" s="106" cm="1">
        <f t="array" ref="T133">_xlfn.IFS(O133='Risk Matrices'!$D$28,'Risk Matrices'!$D$29,O133='Risk Matrices'!$E$28,'Risk Matrices'!$E$29,O133='Risk Matrices'!$F$28,'Risk Matrices'!$F$29,O133='Risk Matrices'!$G$28,'Risk Matrices'!$G$29,O133='Risk Matrices'!$H$28,'Risk Matrices'!$H$29)</f>
        <v>3</v>
      </c>
      <c r="U133" s="106">
        <f t="shared" si="113"/>
        <v>4</v>
      </c>
      <c r="V133" s="106">
        <f>IF(R133="",0,IF(R133="Negligible",1,IF(R133="Marginal",2,IF(R133="Significant",3,IF(R133="Critical",4,IF(R133="Crisis",5))))))</f>
        <v>4</v>
      </c>
      <c r="W133" s="106">
        <f t="shared" si="114"/>
        <v>4</v>
      </c>
      <c r="X133" s="106">
        <f t="shared" si="115"/>
        <v>20</v>
      </c>
      <c r="Y133" s="107" t="str">
        <f t="shared" si="90"/>
        <v>High</v>
      </c>
      <c r="Z133" s="104"/>
      <c r="AA133" s="108">
        <f t="shared" si="116"/>
        <v>0.82</v>
      </c>
      <c r="AB133" s="109">
        <f t="shared" si="117"/>
        <v>1230</v>
      </c>
      <c r="AC133" s="109" t="s">
        <v>155</v>
      </c>
      <c r="AD133" s="145" t="s">
        <v>982</v>
      </c>
      <c r="AE133" s="145"/>
      <c r="AF133" s="117" t="s">
        <v>983</v>
      </c>
      <c r="AG133" s="117"/>
      <c r="AH133" s="104"/>
      <c r="AI133" s="112">
        <v>0.3</v>
      </c>
      <c r="AJ133" s="106">
        <v>1000</v>
      </c>
      <c r="AK133" s="106">
        <v>1500</v>
      </c>
      <c r="AL133" s="106">
        <v>5000</v>
      </c>
      <c r="AM133" s="106">
        <v>3</v>
      </c>
      <c r="AN133" s="106">
        <v>12</v>
      </c>
      <c r="AO133" s="106">
        <v>18</v>
      </c>
      <c r="AP133" s="112" t="str">
        <f>IF(OR(ISBLANK(AI133),AI133=0),"INSERT LIKELIHOOD",IF(ABS(AI133)&lt;='Risk Matrices'!$D$22,'Risk Matrices'!$C$21,IF(ABS(AI133)&lt;='Risk Matrices'!$D$19,'Risk Matrices'!$C$18,IF(ABS(AI133)&lt;='Risk Matrices'!$D$16,'Risk Matrices'!$C$15,IF(ABS(AI133)&lt;='Risk Matrices'!$D$13,'Risk Matrices'!$C$12,'Risk Matrices'!$C$10)))))</f>
        <v>Moderate</v>
      </c>
      <c r="AQ133" s="112" t="str">
        <f>IF(OR(ISBLANK(AK133),AK133=0),"None",IF(ABS(AK133)&lt;='Risk Matrices'!$E$7,'Risk Matrices'!$E$5,IF(ABS(AK133)&lt;='Risk Matrices'!$G$7,'Risk Matrices'!$G$5,IF(ABS(AK133)&lt;='Risk Matrices'!$H$7,'Risk Matrices'!$H$5,'Risk Matrices'!$I$5))))</f>
        <v>Significant</v>
      </c>
      <c r="AR133" s="112" t="str">
        <f>IF(AN133="","",IF(ABS(AN133)&lt;='Risk Matrices'!$E$8,"Negligible",IF(ABS(AN133)&lt;='Risk Matrices'!$F$8,"Marginal",IF(ABS(AN133)&lt;='Risk Matrices'!$G$8,"Significant",IF(ABS(AN133)&lt;='Risk Matrices'!$H$8,"Critical","Crisis")))))</f>
        <v>Significant</v>
      </c>
      <c r="AS133" s="102" t="s">
        <v>406</v>
      </c>
      <c r="AT133" s="298">
        <f>IF(OR(ISBLANK(AI133),AI133=0),0,VLOOKUP(AP133,'Risk Matrices'!$B$30:$C$34,2,0))</f>
        <v>3</v>
      </c>
      <c r="AU133" s="298">
        <f>IF(OR(ISBLANK(AK133),AK133=0),0,HLOOKUP(AQ133,'Risk Matrices'!$D$28:$H$29,2,0))</f>
        <v>3</v>
      </c>
      <c r="AV133" s="298">
        <f>IF(OR(ISBLANK(AR133),AR133=0),0,HLOOKUP(AR133,'Risk Matrices'!$D$28:$H$29,2,0))</f>
        <v>3</v>
      </c>
      <c r="AW133" s="298">
        <f>IF(OR(ISBLANK(AS133),AS133=0),0,HLOOKUP(AS133,'Risk Matrices'!$D$28:$H$29,2,0))</f>
        <v>4</v>
      </c>
      <c r="AX133" s="106">
        <f t="shared" si="110"/>
        <v>4</v>
      </c>
      <c r="AY133" s="106">
        <f t="shared" si="118"/>
        <v>12</v>
      </c>
      <c r="AZ133" s="107" t="str">
        <f>IF(B133="Retired","Retired",IF(OR(ISBLANK(AY133),AY133=0),"TBD",IF(AY133&lt;='Risk Matrices'!$D$40,'Risk Matrices'!$B$40,IF(AY133&lt;='Risk Matrices'!$D$39,'Risk Matrices'!$B$39,'Risk Matrices'!$B$38))))</f>
        <v>Retired</v>
      </c>
      <c r="BA133" s="112"/>
      <c r="BB133" s="113"/>
      <c r="BC133" s="109" t="str">
        <f t="shared" si="112"/>
        <v>Retired</v>
      </c>
      <c r="BD133" s="113"/>
      <c r="BE133" s="114"/>
      <c r="BF133" s="115"/>
      <c r="BG133" s="115" t="s">
        <v>979</v>
      </c>
      <c r="BH133" s="115"/>
      <c r="BI133" s="115"/>
      <c r="BJ133" s="874">
        <f t="shared" si="123"/>
        <v>750</v>
      </c>
      <c r="BK133" s="101" t="s">
        <v>311</v>
      </c>
      <c r="BL133" s="116">
        <v>44594</v>
      </c>
      <c r="BM133" s="116">
        <v>44012</v>
      </c>
      <c r="BN133" s="330">
        <v>44134</v>
      </c>
      <c r="BO133" s="332"/>
      <c r="BP133" s="94">
        <f t="shared" si="119"/>
        <v>900</v>
      </c>
      <c r="BQ133" s="97" t="str">
        <f t="shared" si="120"/>
        <v>1000 - 1500 - 5000</v>
      </c>
      <c r="BR133" s="97" t="str">
        <f t="shared" si="121"/>
        <v>3 - 12 - 18</v>
      </c>
      <c r="BS133" s="715">
        <f t="shared" si="106"/>
        <v>750</v>
      </c>
      <c r="BT133" s="736">
        <f t="shared" si="122"/>
        <v>3.3000000000000003</v>
      </c>
      <c r="BU133" s="735" t="s">
        <v>984</v>
      </c>
    </row>
    <row r="134" spans="2:75" customFormat="1" ht="75" hidden="1" x14ac:dyDescent="0.2">
      <c r="B134" s="101" t="str">
        <f>IF(BG134="","Active","Retired")</f>
        <v>Retired</v>
      </c>
      <c r="C134" s="787">
        <v>400</v>
      </c>
      <c r="D134" s="101" t="s">
        <v>151</v>
      </c>
      <c r="E134" s="164" t="s">
        <v>834</v>
      </c>
      <c r="F134" s="171" t="s">
        <v>124</v>
      </c>
      <c r="G134" s="140" t="s">
        <v>835</v>
      </c>
      <c r="H134" s="140"/>
      <c r="I134" s="140" t="s">
        <v>360</v>
      </c>
      <c r="J134" s="101" t="s">
        <v>361</v>
      </c>
      <c r="K134" s="182" t="s">
        <v>985</v>
      </c>
      <c r="L134" s="800" t="s">
        <v>986</v>
      </c>
      <c r="M134" s="103"/>
      <c r="N134" s="105"/>
      <c r="O134" s="106" t="str" cm="1">
        <f t="array" ref="O134">_xlfn.IFS(N134="","",ABS(N134)&lt;='Risk Matrices'!$E$7,'Risk Matrices'!$E$5,ABS(N134)&lt;='Risk Matrices'!$F$7,'Risk Matrices'!$F$5,ABS(N134)&lt;='Risk Matrices'!$G$7,'Risk Matrices'!$G$5,ABS(N134)&lt;='Risk Matrices'!$H$7,'Risk Matrices'!$H$5,ABS(N134)&gt;'Risk Matrices'!$H$7,'Risk Matrices'!$I$5)</f>
        <v/>
      </c>
      <c r="P134" s="106"/>
      <c r="Q134" s="102"/>
      <c r="R134" s="102"/>
      <c r="S134" s="106"/>
      <c r="T134" s="106" t="e" cm="1">
        <f t="array" ref="T134">_xlfn.IFS(O134='Risk Matrices'!$D$28,'Risk Matrices'!$D$29,O134='Risk Matrices'!$E$28,'Risk Matrices'!$E$29,O134='Risk Matrices'!$F$28,'Risk Matrices'!$F$29,O134='Risk Matrices'!$G$28,'Risk Matrices'!$G$29,O134='Risk Matrices'!$H$28,'Risk Matrices'!$H$29)</f>
        <v>#N/A</v>
      </c>
      <c r="U134" s="106"/>
      <c r="V134" s="106"/>
      <c r="W134" s="106"/>
      <c r="X134" s="106"/>
      <c r="Y134" s="107"/>
      <c r="Z134" s="104"/>
      <c r="AA134" s="108"/>
      <c r="AB134" s="109"/>
      <c r="AC134" s="180" t="s">
        <v>155</v>
      </c>
      <c r="AD134" s="297" t="s">
        <v>987</v>
      </c>
      <c r="AE134" s="297"/>
      <c r="AF134" s="117"/>
      <c r="AG134" s="117"/>
      <c r="AH134" s="101" t="s">
        <v>988</v>
      </c>
      <c r="AI134" s="882">
        <v>0.9</v>
      </c>
      <c r="AJ134" s="127">
        <v>1250</v>
      </c>
      <c r="AK134" s="127">
        <v>2000</v>
      </c>
      <c r="AL134" s="127">
        <v>2500</v>
      </c>
      <c r="AM134" s="127">
        <v>6</v>
      </c>
      <c r="AN134" s="127">
        <v>12</v>
      </c>
      <c r="AO134" s="127">
        <v>18</v>
      </c>
      <c r="AP134" s="112" t="str">
        <f>IF(OR(ISBLANK(AI134),AI134=0),"INSERT LIKELIHOOD",IF(ABS(AI134)&lt;='Risk Matrices'!$D$22,'Risk Matrices'!$C$21,IF(ABS(AI134)&lt;='Risk Matrices'!$D$19,'Risk Matrices'!$C$18,IF(ABS(AI134)&lt;='Risk Matrices'!$D$16,'Risk Matrices'!$C$15,IF(ABS(AI134)&lt;='Risk Matrices'!$D$13,'Risk Matrices'!$C$12,'Risk Matrices'!$C$10)))))</f>
        <v>Very High</v>
      </c>
      <c r="AQ134" s="112" t="str">
        <f>IF(OR(ISBLANK(AK134),AK134=0),"None",IF(ABS(AK134)&lt;='Risk Matrices'!$E$7,'Risk Matrices'!$E$5,IF(ABS(AK134)&lt;='Risk Matrices'!$G$7,'Risk Matrices'!$G$5,IF(ABS(AK134)&lt;='Risk Matrices'!$H$7,'Risk Matrices'!$H$5,'Risk Matrices'!$I$5))))</f>
        <v>Significant</v>
      </c>
      <c r="AR134" s="112" t="str">
        <f>IF(AN134="","",IF(ABS(AN134)&lt;='Risk Matrices'!$E$8,"Negligible",IF(ABS(AN134)&lt;='Risk Matrices'!$F$8,"Marginal",IF(ABS(AN134)&lt;='Risk Matrices'!$G$8,"Significant",IF(ABS(AN134)&lt;='Risk Matrices'!$H$8,"Critical","Crisis")))))</f>
        <v>Significant</v>
      </c>
      <c r="AS134" s="103" t="s">
        <v>130</v>
      </c>
      <c r="AT134" s="205">
        <f>IF(OR(ISBLANK(AI134),AI134=0),0,VLOOKUP(AP134,'Risk Matrices'!$B$30:$C$34,2,0))</f>
        <v>5</v>
      </c>
      <c r="AU134" s="205">
        <f>IF(OR(ISBLANK(AK134),AK134=0),0,HLOOKUP(AQ134,'Risk Matrices'!$D$28:$H$29,2,0))</f>
        <v>3</v>
      </c>
      <c r="AV134" s="205">
        <f>IF(OR(ISBLANK(AR134),AR134=0),0,HLOOKUP(AR134,'Risk Matrices'!$D$28:$H$29,2,0))</f>
        <v>3</v>
      </c>
      <c r="AW134" s="298">
        <f>IF(AS134="None",0,HLOOKUP(AS134,'Risk Matrices'!$D$28:$H$29,2,0))</f>
        <v>0</v>
      </c>
      <c r="AX134" s="106">
        <f t="shared" si="110"/>
        <v>3</v>
      </c>
      <c r="AY134" s="106">
        <f t="shared" si="118"/>
        <v>15</v>
      </c>
      <c r="AZ134" s="107" t="str">
        <f>IF(B134="Retired","Retired",IF(OR(ISBLANK(AY134),AY134=0),"TBD",IF(AY134&lt;='Risk Matrices'!$D$40,'Risk Matrices'!$B$40,IF(AY134&lt;='Risk Matrices'!$D$39,'Risk Matrices'!$B$39,'Risk Matrices'!$B$38))))</f>
        <v>Retired</v>
      </c>
      <c r="BA134" s="112"/>
      <c r="BB134" s="146" t="s">
        <v>366</v>
      </c>
      <c r="BC134" s="109" t="str">
        <f t="shared" si="112"/>
        <v>Retired</v>
      </c>
      <c r="BD134" s="113"/>
      <c r="BE134" s="114"/>
      <c r="BF134" s="115"/>
      <c r="BG134" s="806" t="s">
        <v>989</v>
      </c>
      <c r="BH134" s="115"/>
      <c r="BI134" s="115"/>
      <c r="BJ134" s="874">
        <f t="shared" si="123"/>
        <v>1725</v>
      </c>
      <c r="BK134" s="101" t="s">
        <v>375</v>
      </c>
      <c r="BL134" s="116">
        <v>45184</v>
      </c>
      <c r="BM134" s="116" t="s">
        <v>990</v>
      </c>
      <c r="BN134" s="330"/>
      <c r="BO134" s="332"/>
      <c r="BP134" s="94">
        <f t="shared" si="119"/>
        <v>2325</v>
      </c>
      <c r="BQ134" s="97" t="str">
        <f t="shared" si="120"/>
        <v>1250 - 2000 - 2500</v>
      </c>
      <c r="BR134" s="97" t="str">
        <f t="shared" si="121"/>
        <v>6 - 12 - 18</v>
      </c>
      <c r="BS134" s="715">
        <f t="shared" si="106"/>
        <v>1725</v>
      </c>
      <c r="BT134" s="736">
        <f t="shared" si="122"/>
        <v>10.799999999999999</v>
      </c>
      <c r="BU134" s="735" t="s">
        <v>991</v>
      </c>
    </row>
    <row r="135" spans="2:75" customFormat="1" ht="51" hidden="1" x14ac:dyDescent="0.2">
      <c r="B135" s="101" t="str">
        <f>IF(BG135="","Active","Retired")</f>
        <v>Retired</v>
      </c>
      <c r="C135" s="787">
        <v>401</v>
      </c>
      <c r="D135" s="101" t="s">
        <v>151</v>
      </c>
      <c r="E135" s="164" t="s">
        <v>834</v>
      </c>
      <c r="F135" s="171" t="s">
        <v>124</v>
      </c>
      <c r="G135" s="140" t="s">
        <v>835</v>
      </c>
      <c r="H135" s="140"/>
      <c r="I135" s="140" t="s">
        <v>360</v>
      </c>
      <c r="J135" s="101" t="s">
        <v>361</v>
      </c>
      <c r="K135" s="182" t="s">
        <v>992</v>
      </c>
      <c r="L135" s="805" t="s">
        <v>993</v>
      </c>
      <c r="M135" s="103"/>
      <c r="N135" s="105"/>
      <c r="O135" s="106" t="str" cm="1">
        <f t="array" ref="O135">_xlfn.IFS(N135="","",ABS(N135)&lt;='Risk Matrices'!$E$7,'Risk Matrices'!$E$5,ABS(N135)&lt;='Risk Matrices'!$F$7,'Risk Matrices'!$F$5,ABS(N135)&lt;='Risk Matrices'!$G$7,'Risk Matrices'!$G$5,ABS(N135)&lt;='Risk Matrices'!$H$7,'Risk Matrices'!$H$5,ABS(N135)&gt;'Risk Matrices'!$H$7,'Risk Matrices'!$I$5)</f>
        <v/>
      </c>
      <c r="P135" s="106"/>
      <c r="Q135" s="757"/>
      <c r="R135" s="102"/>
      <c r="S135" s="756"/>
      <c r="T135" s="106" t="e" cm="1">
        <f t="array" ref="T135">_xlfn.IFS(O135='Risk Matrices'!$D$28,'Risk Matrices'!$D$29,O135='Risk Matrices'!$E$28,'Risk Matrices'!$E$29,O135='Risk Matrices'!$F$28,'Risk Matrices'!$F$29,O135='Risk Matrices'!$G$28,'Risk Matrices'!$G$29,O135='Risk Matrices'!$H$28,'Risk Matrices'!$H$29)</f>
        <v>#N/A</v>
      </c>
      <c r="U135" s="756"/>
      <c r="V135" s="756"/>
      <c r="W135" s="756"/>
      <c r="X135" s="756"/>
      <c r="Y135" s="107"/>
      <c r="Z135" s="751"/>
      <c r="AA135" s="758"/>
      <c r="AB135" s="759"/>
      <c r="AC135" s="180" t="s">
        <v>155</v>
      </c>
      <c r="AD135" s="297" t="s">
        <v>994</v>
      </c>
      <c r="AE135" s="297"/>
      <c r="AF135" s="117"/>
      <c r="AG135" s="117"/>
      <c r="AH135" s="127" t="s">
        <v>365</v>
      </c>
      <c r="AI135" s="882">
        <v>0.95</v>
      </c>
      <c r="AJ135" s="127">
        <v>5000</v>
      </c>
      <c r="AK135" s="127">
        <v>7500</v>
      </c>
      <c r="AL135" s="127">
        <v>15000</v>
      </c>
      <c r="AM135" s="127">
        <v>6</v>
      </c>
      <c r="AN135" s="127">
        <v>12</v>
      </c>
      <c r="AO135" s="127">
        <v>24</v>
      </c>
      <c r="AP135" s="112" t="str">
        <f>IF(OR(ISBLANK(AI135),AI135=0),"INSERT LIKELIHOOD",IF(ABS(AI135)&lt;='Risk Matrices'!$D$22,'Risk Matrices'!$C$21,IF(ABS(AI135)&lt;='Risk Matrices'!$D$19,'Risk Matrices'!$C$18,IF(ABS(AI135)&lt;='Risk Matrices'!$D$16,'Risk Matrices'!$C$15,IF(ABS(AI135)&lt;='Risk Matrices'!$D$13,'Risk Matrices'!$C$12,'Risk Matrices'!$C$10)))))</f>
        <v>Very High</v>
      </c>
      <c r="AQ135" s="112" t="str">
        <f>IF(OR(ISBLANK(AK135),AK135=0),"None",IF(ABS(AK135)&lt;='Risk Matrices'!$E$7,'Risk Matrices'!$E$5,IF(ABS(AK135)&lt;='Risk Matrices'!$G$7,'Risk Matrices'!$G$5,IF(ABS(AK135)&lt;='Risk Matrices'!$H$7,'Risk Matrices'!$H$5,'Risk Matrices'!$I$5))))</f>
        <v>Critical</v>
      </c>
      <c r="AR135" s="112" t="str">
        <f>IF(AN135="","",IF(ABS(AN135)&lt;='Risk Matrices'!$E$8,"Negligible",IF(ABS(AN135)&lt;='Risk Matrices'!$F$8,"Marginal",IF(ABS(AN135)&lt;='Risk Matrices'!$G$8,"Significant",IF(ABS(AN135)&lt;='Risk Matrices'!$H$8,"Critical","Crisis")))))</f>
        <v>Significant</v>
      </c>
      <c r="AS135" s="103" t="s">
        <v>130</v>
      </c>
      <c r="AT135" s="205">
        <f>IF(OR(ISBLANK(AI135),AI135=0),0,VLOOKUP(AP135,'Risk Matrices'!$B$30:$C$34,2,0))</f>
        <v>5</v>
      </c>
      <c r="AU135" s="205">
        <f>IF(OR(ISBLANK(AK135),AK135=0),0,HLOOKUP(AQ135,'Risk Matrices'!$D$28:$H$29,2,0))</f>
        <v>4</v>
      </c>
      <c r="AV135" s="205">
        <f>IF(OR(ISBLANK(AR135),AR135=0),0,HLOOKUP(AR135,'Risk Matrices'!$D$28:$H$29,2,0))</f>
        <v>3</v>
      </c>
      <c r="AW135" s="298">
        <f>IF(AS135="None",0,HLOOKUP(AS135,'Risk Matrices'!$D$28:$H$29,2,0))</f>
        <v>0</v>
      </c>
      <c r="AX135" s="106">
        <f t="shared" si="110"/>
        <v>4</v>
      </c>
      <c r="AY135" s="106">
        <f t="shared" si="118"/>
        <v>20</v>
      </c>
      <c r="AZ135" s="107" t="str">
        <f>IF(B135="Retired","Retired",IF(OR(ISBLANK(AY135),AY135=0),"TBD",IF(AY135&lt;='Risk Matrices'!$D$40,'Risk Matrices'!$B$40,IF(AY135&lt;='Risk Matrices'!$D$39,'Risk Matrices'!$B$39,'Risk Matrices'!$B$38))))</f>
        <v>Retired</v>
      </c>
      <c r="BA135" s="112"/>
      <c r="BB135" s="352" t="s">
        <v>366</v>
      </c>
      <c r="BC135" s="109" t="str">
        <f t="shared" si="112"/>
        <v>Retired</v>
      </c>
      <c r="BD135" s="113"/>
      <c r="BE135" s="114"/>
      <c r="BF135" s="115"/>
      <c r="BG135" s="806" t="s">
        <v>995</v>
      </c>
      <c r="BH135" s="115"/>
      <c r="BI135" s="115"/>
      <c r="BJ135" s="874">
        <f t="shared" si="123"/>
        <v>8708.3333333333321</v>
      </c>
      <c r="BK135" s="101" t="s">
        <v>375</v>
      </c>
      <c r="BL135" s="116">
        <v>45184</v>
      </c>
      <c r="BM135" s="116" t="s">
        <v>990</v>
      </c>
      <c r="BN135" s="330"/>
      <c r="BO135" s="332"/>
      <c r="BP135" s="94">
        <f t="shared" si="119"/>
        <v>11083.333333333332</v>
      </c>
      <c r="BQ135" s="97" t="str">
        <f t="shared" si="120"/>
        <v>5000 - 7500 - 15000</v>
      </c>
      <c r="BR135" s="97" t="str">
        <f t="shared" si="121"/>
        <v>6 - 12 - 24</v>
      </c>
      <c r="BS135" s="715">
        <f t="shared" si="106"/>
        <v>8708.3333333333321</v>
      </c>
      <c r="BT135" s="736">
        <f t="shared" si="122"/>
        <v>13.299999999999999</v>
      </c>
      <c r="BU135" s="735" t="s">
        <v>996</v>
      </c>
    </row>
    <row r="136" spans="2:75" customFormat="1" ht="60" hidden="1" x14ac:dyDescent="0.2">
      <c r="B136" s="101" t="str">
        <f>IF(BG136="","Active","Retired")</f>
        <v>Retired</v>
      </c>
      <c r="C136" s="787">
        <v>402</v>
      </c>
      <c r="D136" s="101" t="s">
        <v>151</v>
      </c>
      <c r="E136" s="164" t="s">
        <v>834</v>
      </c>
      <c r="F136" s="171" t="s">
        <v>124</v>
      </c>
      <c r="G136" s="140" t="s">
        <v>835</v>
      </c>
      <c r="H136" s="140"/>
      <c r="I136" s="140" t="s">
        <v>360</v>
      </c>
      <c r="J136" s="101" t="s">
        <v>361</v>
      </c>
      <c r="K136" s="182" t="s">
        <v>997</v>
      </c>
      <c r="L136" s="805" t="s">
        <v>998</v>
      </c>
      <c r="M136" s="103"/>
      <c r="N136" s="105"/>
      <c r="O136" s="106" t="str" cm="1">
        <f t="array" ref="O136">_xlfn.IFS(N136="","",ABS(N136)&lt;='Risk Matrices'!$E$7,'Risk Matrices'!$E$5,ABS(N136)&lt;='Risk Matrices'!$F$7,'Risk Matrices'!$F$5,ABS(N136)&lt;='Risk Matrices'!$G$7,'Risk Matrices'!$G$5,ABS(N136)&lt;='Risk Matrices'!$H$7,'Risk Matrices'!$H$5,ABS(N136)&gt;'Risk Matrices'!$H$7,'Risk Matrices'!$I$5)</f>
        <v/>
      </c>
      <c r="P136" s="106"/>
      <c r="Q136" s="757"/>
      <c r="R136" s="102"/>
      <c r="S136" s="756"/>
      <c r="T136" s="106" t="e" cm="1">
        <f t="array" ref="T136">_xlfn.IFS(O136='Risk Matrices'!$D$28,'Risk Matrices'!$D$29,O136='Risk Matrices'!$E$28,'Risk Matrices'!$E$29,O136='Risk Matrices'!$F$28,'Risk Matrices'!$F$29,O136='Risk Matrices'!$G$28,'Risk Matrices'!$G$29,O136='Risk Matrices'!$H$28,'Risk Matrices'!$H$29)</f>
        <v>#N/A</v>
      </c>
      <c r="U136" s="756"/>
      <c r="V136" s="756"/>
      <c r="W136" s="756"/>
      <c r="X136" s="756"/>
      <c r="Y136" s="107"/>
      <c r="Z136" s="751"/>
      <c r="AA136" s="758"/>
      <c r="AB136" s="759"/>
      <c r="AC136" s="180" t="s">
        <v>155</v>
      </c>
      <c r="AD136" s="769" t="s">
        <v>999</v>
      </c>
      <c r="AE136" s="769"/>
      <c r="AF136" s="117"/>
      <c r="AG136" s="117"/>
      <c r="AH136" s="762" t="s">
        <v>1000</v>
      </c>
      <c r="AI136" s="882">
        <v>0.1</v>
      </c>
      <c r="AJ136" s="127">
        <v>-2000</v>
      </c>
      <c r="AK136" s="127">
        <v>-7500</v>
      </c>
      <c r="AL136" s="127">
        <v>-10000</v>
      </c>
      <c r="AM136" s="127">
        <v>0</v>
      </c>
      <c r="AN136" s="127">
        <v>0</v>
      </c>
      <c r="AO136" s="127">
        <v>0</v>
      </c>
      <c r="AP136" s="112" t="str">
        <f>IF(OR(ISBLANK(AI136),AI136=0),"INSERT LIKELIHOOD",IF(ABS(AI136)&lt;='Risk Matrices'!$D$22,'Risk Matrices'!$C$21,IF(ABS(AI136)&lt;='Risk Matrices'!$D$19,'Risk Matrices'!$C$18,IF(ABS(AI136)&lt;='Risk Matrices'!$D$16,'Risk Matrices'!$C$15,IF(ABS(AI136)&lt;='Risk Matrices'!$D$13,'Risk Matrices'!$C$12,'Risk Matrices'!$C$10)))))</f>
        <v>Very Low</v>
      </c>
      <c r="AQ136" s="112" t="str">
        <f>IF(OR(ISBLANK(AK136),AK136=0),"None",IF(ABS(AK136)&lt;='Risk Matrices'!$E$7,'Risk Matrices'!$E$5,IF(ABS(AK136)&lt;='Risk Matrices'!$G$7,'Risk Matrices'!$G$5,IF(ABS(AK136)&lt;='Risk Matrices'!$H$7,'Risk Matrices'!$H$5,'Risk Matrices'!$I$5))))</f>
        <v>Critical</v>
      </c>
      <c r="AR136" s="112" t="str">
        <f>IF(AN136="","",IF(ABS(AN136)&lt;='Risk Matrices'!$E$8,"Negligible",IF(ABS(AN136)&lt;='Risk Matrices'!$F$8,"Marginal",IF(ABS(AN136)&lt;='Risk Matrices'!$G$8,"Significant",IF(ABS(AN136)&lt;='Risk Matrices'!$H$8,"Critical","Crisis")))))</f>
        <v>Negligible</v>
      </c>
      <c r="AS136" s="103" t="s">
        <v>130</v>
      </c>
      <c r="AT136" s="298">
        <f>IF(OR(ISBLANK(AI136),AI136=0),0,VLOOKUP(AP136,'Risk Matrices'!$B$30:$C$34,2,0))</f>
        <v>1</v>
      </c>
      <c r="AU136" s="298">
        <f>IF(OR(ISBLANK(AK136),AK136=0),0,HLOOKUP(AQ136,'Risk Matrices'!$D$28:$H$29,2,0))</f>
        <v>4</v>
      </c>
      <c r="AV136" s="298">
        <f>IF(OR(ISBLANK(AR136),AR136=0),0,HLOOKUP(AR136,'Risk Matrices'!$D$28:$H$29,2,0))</f>
        <v>1</v>
      </c>
      <c r="AW136" s="298">
        <f>IF(AS136="None",0,HLOOKUP(AS136,'Risk Matrices'!$D$28:$H$29,2,0))</f>
        <v>0</v>
      </c>
      <c r="AX136" s="106">
        <f t="shared" si="110"/>
        <v>4</v>
      </c>
      <c r="AY136" s="106">
        <f t="shared" si="118"/>
        <v>4</v>
      </c>
      <c r="AZ136" s="107" t="str">
        <f>IF(B136="Retired","Retired",IF(OR(ISBLANK(AY136),AY136=0),"TBD",IF(AY136&lt;='Risk Matrices'!$D$40,'Risk Matrices'!$B$40,IF(AY136&lt;='Risk Matrices'!$D$39,'Risk Matrices'!$B$39,'Risk Matrices'!$B$38))))</f>
        <v>Retired</v>
      </c>
      <c r="BA136" s="112"/>
      <c r="BB136" s="352" t="s">
        <v>366</v>
      </c>
      <c r="BC136" s="109" t="str">
        <f t="shared" si="112"/>
        <v>Retired</v>
      </c>
      <c r="BD136" s="113"/>
      <c r="BE136" s="114"/>
      <c r="BF136" s="115"/>
      <c r="BG136" s="806" t="s">
        <v>1001</v>
      </c>
      <c r="BH136" s="115"/>
      <c r="BI136" s="115"/>
      <c r="BJ136" s="874">
        <f t="shared" si="123"/>
        <v>-650</v>
      </c>
      <c r="BK136" s="101" t="s">
        <v>375</v>
      </c>
      <c r="BL136" s="116">
        <v>45184</v>
      </c>
      <c r="BM136" s="116" t="s">
        <v>990</v>
      </c>
      <c r="BN136" s="330"/>
      <c r="BO136" s="332"/>
      <c r="BP136" s="94">
        <f t="shared" si="119"/>
        <v>-900</v>
      </c>
      <c r="BQ136" s="97" t="str">
        <f t="shared" si="120"/>
        <v>-2000 - -7500 - -10000</v>
      </c>
      <c r="BR136" s="97" t="str">
        <f t="shared" si="121"/>
        <v>0 - 0 - 0</v>
      </c>
      <c r="BS136" s="715">
        <f t="shared" si="106"/>
        <v>-650</v>
      </c>
      <c r="BT136" s="736">
        <f t="shared" si="122"/>
        <v>0</v>
      </c>
      <c r="BU136" s="735" t="s">
        <v>1002</v>
      </c>
    </row>
    <row r="137" spans="2:75" customFormat="1" ht="60" hidden="1" x14ac:dyDescent="0.2">
      <c r="B137" s="101" t="str">
        <f t="shared" ref="B137:B168" si="124">IF(BN137="","Proposed",IF(BG137="","Active","Retired"))</f>
        <v>Active</v>
      </c>
      <c r="C137" s="784" t="s">
        <v>1003</v>
      </c>
      <c r="D137" s="101" t="s">
        <v>151</v>
      </c>
      <c r="E137" s="103" t="s">
        <v>1004</v>
      </c>
      <c r="F137" s="186" t="s">
        <v>124</v>
      </c>
      <c r="G137" s="103" t="s">
        <v>797</v>
      </c>
      <c r="H137" s="103" t="str">
        <f t="shared" ref="H137:H143" si="125">C137</f>
        <v>RT-6-007-001</v>
      </c>
      <c r="I137" s="126" t="s">
        <v>1005</v>
      </c>
      <c r="J137" s="102" t="s">
        <v>1006</v>
      </c>
      <c r="K137" s="132" t="s">
        <v>1007</v>
      </c>
      <c r="L137" s="104" t="s">
        <v>1008</v>
      </c>
      <c r="M137" s="103" t="s">
        <v>129</v>
      </c>
      <c r="N137" s="105">
        <v>1000</v>
      </c>
      <c r="O137" s="106" t="str" cm="1">
        <f t="array" ref="O137">_xlfn.IFS(N137="","",ABS(N137)&lt;='Risk Matrices'!$E$7,'Risk Matrices'!$E$5,ABS(N137)&lt;='Risk Matrices'!$F$7,'Risk Matrices'!$F$5,ABS(N137)&lt;='Risk Matrices'!$G$7,'Risk Matrices'!$G$5,ABS(N137)&lt;='Risk Matrices'!$H$7,'Risk Matrices'!$H$5,ABS(N137)&gt;'Risk Matrices'!$H$7,'Risk Matrices'!$I$5)</f>
        <v>Marginal</v>
      </c>
      <c r="P137" s="106">
        <v>6</v>
      </c>
      <c r="Q137" s="101" t="str" cm="1">
        <f t="array" ref="Q137">_xlfn.IFS(P137="","",ABS(P137)&lt;='Risk Matrices'!$E$8,'Risk Matrices'!$E$5,ABS(P137)&lt;='Risk Matrices'!$F$8,'Risk Matrices'!$F$5,ABS(P137)&lt;='Risk Matrices'!$G$8,'Risk Matrices'!$G$5,ABS(P137)&lt;='Risk Matrices'!$H$8,'Risk Matrices'!$H$5,ABS(P137)&gt;'Risk Matrices'!$H$8,'Risk Matrices'!$I$5)</f>
        <v>Marginal</v>
      </c>
      <c r="R137" s="102" t="s">
        <v>280</v>
      </c>
      <c r="S137" s="106">
        <f t="shared" ref="S137:S168" si="126">IF(M137="",0,IF(M137="Very Low (There is a &lt;10% chance that this event will occur)",1,IF(M137="Low (Risk is likely to occur with a probability of &gt; 10% to &lt; 25%)",2,IF(M137="Moderate (Risk is likely to occur with a probability of &gt; 25% to &lt; 40%)",3,IF(M137="High (Risk is likely to occur with a probability of &gt;40 to &lt;65%)",4,IF(M137="Very High (Risk is likely to occur with a probability of &gt;65%)",5))))))</f>
        <v>4</v>
      </c>
      <c r="T137" s="106" cm="1">
        <f t="array" ref="T137">_xlfn.IFS(O137='Risk Matrices'!$D$28,'Risk Matrices'!$D$29,O137='Risk Matrices'!$E$28,'Risk Matrices'!$E$29,O137='Risk Matrices'!$F$28,'Risk Matrices'!$F$29,O137='Risk Matrices'!$G$28,'Risk Matrices'!$G$29,O137='Risk Matrices'!$H$28,'Risk Matrices'!$H$29)</f>
        <v>2</v>
      </c>
      <c r="U137" s="106">
        <f t="shared" ref="U137:U168" si="127">IF(Q137="",0,IF(Q137="Negligible",1,IF(Q137="Marginal",2,IF(Q137="Significant",3,IF(Q137="Critical",4,IF(Q137="Crisis",5))))))</f>
        <v>2</v>
      </c>
      <c r="V137" s="106">
        <f t="shared" ref="V137:V143" si="128">IF(R137="None",0,IF(R137="Negligible",1,IF(R137="Marginal",2,IF(R137="Significant",3,IF(R137="Critical",4,IF(R137="Crisis",5))))))</f>
        <v>2</v>
      </c>
      <c r="W137" s="106">
        <f t="shared" ref="W137:W168" si="129">MAX(T137,U137,V137)</f>
        <v>2</v>
      </c>
      <c r="X137" s="106">
        <f t="shared" ref="X137:X168" si="130">S137*W137</f>
        <v>8</v>
      </c>
      <c r="Y137" s="107" t="str">
        <f t="shared" ref="Y137:Y168" si="131">IF(X137&lt;=6,"Low",IF(X137&lt;=14,"Moderate",IF(X137&lt;=25,"High")))</f>
        <v>Moderate</v>
      </c>
      <c r="Z137" s="104"/>
      <c r="AA137" s="108">
        <f t="shared" ref="AA137:AA168" si="132">IF(M137="",0,IF(M137="Very Low (There is a &lt;10% chance that this event will occur)",0.05,IF(M137="Low (Risk is likely to occur with a probability of &gt; 10% to &lt; 25%)",0.17,IF(M137="Moderate (Risk is likely to occur with a probability of &gt; 25% to &lt; 40%)",0.32,IF(M137="High (Risk is likely to occur with a probability of &gt;40 to &lt;65%)",0.52,IF(M137="Very High (Risk is likely to occur with a probability of &gt;65%)",0.82))))))</f>
        <v>0.52</v>
      </c>
      <c r="AB137" s="109">
        <f t="shared" ref="AB137:AB168" si="133">+AA137*N137</f>
        <v>520</v>
      </c>
      <c r="AC137" s="109" t="s">
        <v>155</v>
      </c>
      <c r="AD137" s="104" t="s">
        <v>1009</v>
      </c>
      <c r="AE137" s="104"/>
      <c r="AF137" s="103" t="s">
        <v>200</v>
      </c>
      <c r="AG137" s="103"/>
      <c r="AH137" s="101" t="s">
        <v>1010</v>
      </c>
      <c r="AI137" s="112">
        <v>0.6</v>
      </c>
      <c r="AJ137" s="106">
        <v>1000</v>
      </c>
      <c r="AK137" s="106">
        <v>1000</v>
      </c>
      <c r="AL137" s="106">
        <v>1000</v>
      </c>
      <c r="AM137" s="106">
        <v>6</v>
      </c>
      <c r="AN137" s="106">
        <v>6</v>
      </c>
      <c r="AO137" s="106">
        <v>6</v>
      </c>
      <c r="AP137" s="112" t="str">
        <f>IF(OR(ISBLANK(AI137),AI137=0),"INSERT LIKELIHOOD",IF(ABS(AI137)&lt;='Risk Matrices'!$D$22,'Risk Matrices'!$C$21,IF(ABS(AI137)&lt;='Risk Matrices'!$D$19,'Risk Matrices'!$C$18,IF(ABS(AI137)&lt;='Risk Matrices'!$D$16,'Risk Matrices'!$C$15,IF(ABS(AI137)&lt;='Risk Matrices'!$D$13,'Risk Matrices'!$C$12,'Risk Matrices'!$C$10)))))</f>
        <v>High</v>
      </c>
      <c r="AQ137" s="112" t="str">
        <f>IF(OR(ISBLANK(AK137),AK137=0),"None",IF(ABS(AK137)&lt;='Risk Matrices'!$E$7,'Risk Matrices'!$E$5,IF(ABS(AK137)&lt;='Risk Matrices'!$G$7,'Risk Matrices'!$G$5,IF(ABS(AK137)&lt;='Risk Matrices'!$H$7,'Risk Matrices'!$H$5,'Risk Matrices'!$I$5))))</f>
        <v>Significant</v>
      </c>
      <c r="AR137" s="112" t="str">
        <f>IF(AN137="","",IF(ABS(AN137)&lt;='Risk Matrices'!$E$8,"Negligible",IF(ABS(AN137)&lt;='Risk Matrices'!$F$8,"Marginal",IF(ABS(AN137)&lt;='Risk Matrices'!$G$8,"Significant",IF(ABS(AN137)&lt;='Risk Matrices'!$H$8,"Critical","Crisis")))))</f>
        <v>Marginal</v>
      </c>
      <c r="AS137" s="102" t="s">
        <v>130</v>
      </c>
      <c r="AT137" s="298">
        <f>IF(OR(ISBLANK(AI137),AI137=0),0,VLOOKUP(AP137,'Risk Matrices'!$B$30:$C$34,2,0))</f>
        <v>4</v>
      </c>
      <c r="AU137" s="298">
        <f>IF(OR(ISBLANK(AK137),AK137=0),0,HLOOKUP(AQ137,'Risk Matrices'!$D$28:$H$29,2,0))</f>
        <v>3</v>
      </c>
      <c r="AV137" s="298">
        <f>IF(OR(ISBLANK(AR137),AR137=0),0,HLOOKUP(AR137,'Risk Matrices'!$D$28:$H$29,2,0))</f>
        <v>2</v>
      </c>
      <c r="AW137" s="298">
        <f>IF(AS137="None",0,HLOOKUP(AS137,'Risk Matrices'!$D$28:$H$29,2,0))</f>
        <v>0</v>
      </c>
      <c r="AX137" s="106">
        <f t="shared" si="110"/>
        <v>3</v>
      </c>
      <c r="AY137" s="106">
        <f t="shared" si="118"/>
        <v>12</v>
      </c>
      <c r="AZ137" s="107" t="str">
        <f>IF(B137="Retired","Retired",IF(OR(ISBLANK(AY137),AY137=0),"TBD",IF(AY137&lt;='Risk Matrices'!$D$40,'Risk Matrices'!$B$40,IF(AY137&lt;='Risk Matrices'!$D$39,'Risk Matrices'!$B$39,'Risk Matrices'!$B$38))))</f>
        <v>Moderate</v>
      </c>
      <c r="BA137" s="112"/>
      <c r="BB137" s="101" t="s">
        <v>366</v>
      </c>
      <c r="BC137" s="109">
        <f t="shared" si="112"/>
        <v>600</v>
      </c>
      <c r="BD137" s="185">
        <v>45372</v>
      </c>
      <c r="BE137" s="187"/>
      <c r="BF137" s="115"/>
      <c r="BG137" s="115"/>
      <c r="BH137" s="115"/>
      <c r="BI137" s="115"/>
      <c r="BJ137" s="874">
        <f t="shared" si="123"/>
        <v>600</v>
      </c>
      <c r="BK137" s="101"/>
      <c r="BL137" s="101"/>
      <c r="BM137" s="116">
        <v>44012</v>
      </c>
      <c r="BN137" s="330">
        <v>44134</v>
      </c>
      <c r="BO137" s="332"/>
      <c r="BP137" s="94">
        <f t="shared" ref="BP137:BP143" si="134">AI137*((AJ137+4*AK137+AL137)/6)</f>
        <v>600</v>
      </c>
      <c r="BQ137" s="97" t="str">
        <f t="shared" si="120"/>
        <v>1000 - 1000 - 1000</v>
      </c>
      <c r="BR137" s="97" t="str">
        <f t="shared" si="121"/>
        <v>6 - 6 - 6</v>
      </c>
      <c r="BS137" s="715">
        <f t="shared" si="106"/>
        <v>600</v>
      </c>
      <c r="BT137" s="736">
        <f t="shared" si="122"/>
        <v>3.5999999999999996</v>
      </c>
      <c r="BU137" s="735" t="s">
        <v>1011</v>
      </c>
      <c r="BV137" s="873">
        <v>45382</v>
      </c>
      <c r="BW137">
        <f t="shared" ref="BW137:BW142" si="135">BV137-BN137</f>
        <v>1248</v>
      </c>
    </row>
    <row r="138" spans="2:75" customFormat="1" ht="68" hidden="1" x14ac:dyDescent="0.2">
      <c r="B138" s="101" t="str">
        <f t="shared" si="124"/>
        <v>Active</v>
      </c>
      <c r="C138" s="784" t="s">
        <v>1012</v>
      </c>
      <c r="D138" s="101" t="s">
        <v>151</v>
      </c>
      <c r="E138" s="103" t="s">
        <v>1004</v>
      </c>
      <c r="F138" s="186" t="s">
        <v>124</v>
      </c>
      <c r="G138" s="103" t="s">
        <v>797</v>
      </c>
      <c r="H138" s="103" t="str">
        <f t="shared" si="125"/>
        <v>RT-6-007-002</v>
      </c>
      <c r="I138" s="126" t="s">
        <v>1005</v>
      </c>
      <c r="J138" s="102" t="s">
        <v>1006</v>
      </c>
      <c r="K138" s="132" t="s">
        <v>1013</v>
      </c>
      <c r="L138" s="104" t="s">
        <v>1014</v>
      </c>
      <c r="M138" s="103" t="s">
        <v>164</v>
      </c>
      <c r="N138" s="105">
        <v>150</v>
      </c>
      <c r="O138" s="106" t="str" cm="1">
        <f t="array" ref="O138">_xlfn.IFS(N138="","",ABS(N138)&lt;='Risk Matrices'!$E$7,'Risk Matrices'!$E$5,ABS(N138)&lt;='Risk Matrices'!$F$7,'Risk Matrices'!$F$5,ABS(N138)&lt;='Risk Matrices'!$G$7,'Risk Matrices'!$G$5,ABS(N138)&lt;='Risk Matrices'!$H$7,'Risk Matrices'!$H$5,ABS(N138)&gt;'Risk Matrices'!$H$7,'Risk Matrices'!$I$5)</f>
        <v>Negligible</v>
      </c>
      <c r="P138" s="106">
        <v>6</v>
      </c>
      <c r="Q138" s="101" t="str" cm="1">
        <f t="array" ref="Q138">_xlfn.IFS(P138="","",ABS(P138)&lt;='Risk Matrices'!$E$8,'Risk Matrices'!$E$5,ABS(P138)&lt;='Risk Matrices'!$F$8,'Risk Matrices'!$F$5,ABS(P138)&lt;='Risk Matrices'!$G$8,'Risk Matrices'!$G$5,ABS(P138)&lt;='Risk Matrices'!$H$8,'Risk Matrices'!$H$5,ABS(P138)&gt;'Risk Matrices'!$H$8,'Risk Matrices'!$I$5)</f>
        <v>Marginal</v>
      </c>
      <c r="R138" s="102" t="s">
        <v>280</v>
      </c>
      <c r="S138" s="106">
        <f t="shared" si="126"/>
        <v>2</v>
      </c>
      <c r="T138" s="106" cm="1">
        <f t="array" ref="T138">_xlfn.IFS(O138='Risk Matrices'!$D$28,'Risk Matrices'!$D$29,O138='Risk Matrices'!$E$28,'Risk Matrices'!$E$29,O138='Risk Matrices'!$F$28,'Risk Matrices'!$F$29,O138='Risk Matrices'!$G$28,'Risk Matrices'!$G$29,O138='Risk Matrices'!$H$28,'Risk Matrices'!$H$29)</f>
        <v>1</v>
      </c>
      <c r="U138" s="106">
        <f t="shared" si="127"/>
        <v>2</v>
      </c>
      <c r="V138" s="106">
        <f t="shared" si="128"/>
        <v>2</v>
      </c>
      <c r="W138" s="106">
        <f t="shared" si="129"/>
        <v>2</v>
      </c>
      <c r="X138" s="106">
        <f t="shared" si="130"/>
        <v>4</v>
      </c>
      <c r="Y138" s="107" t="str">
        <f t="shared" si="131"/>
        <v>Low</v>
      </c>
      <c r="Z138" s="104"/>
      <c r="AA138" s="108">
        <f t="shared" si="132"/>
        <v>0.17</v>
      </c>
      <c r="AB138" s="109">
        <f t="shared" si="133"/>
        <v>25.500000000000004</v>
      </c>
      <c r="AC138" s="109" t="s">
        <v>155</v>
      </c>
      <c r="AD138" s="104" t="s">
        <v>1015</v>
      </c>
      <c r="AE138" s="104"/>
      <c r="AF138" s="103" t="s">
        <v>200</v>
      </c>
      <c r="AG138" s="103"/>
      <c r="AH138" s="101" t="s">
        <v>1016</v>
      </c>
      <c r="AI138" s="112">
        <v>0.3</v>
      </c>
      <c r="AJ138" s="106">
        <v>0</v>
      </c>
      <c r="AK138" s="106">
        <v>0</v>
      </c>
      <c r="AL138" s="106">
        <v>0</v>
      </c>
      <c r="AM138" s="106">
        <v>6</v>
      </c>
      <c r="AN138" s="106">
        <v>6</v>
      </c>
      <c r="AO138" s="106">
        <v>6</v>
      </c>
      <c r="AP138" s="112" t="str">
        <f>IF(OR(ISBLANK(AI138),AI138=0),"INSERT LIKELIHOOD",IF(ABS(AI138)&lt;='Risk Matrices'!$D$22,'Risk Matrices'!$C$21,IF(ABS(AI138)&lt;='Risk Matrices'!$D$19,'Risk Matrices'!$C$18,IF(ABS(AI138)&lt;='Risk Matrices'!$D$16,'Risk Matrices'!$C$15,IF(ABS(AI138)&lt;='Risk Matrices'!$D$13,'Risk Matrices'!$C$12,'Risk Matrices'!$C$10)))))</f>
        <v>Moderate</v>
      </c>
      <c r="AQ138" s="112" t="str">
        <f>IF(OR(ISBLANK(AK138),AK138=0),"None",IF(ABS(AK138)&lt;='Risk Matrices'!$E$7,'Risk Matrices'!$E$5,IF(ABS(AK138)&lt;='Risk Matrices'!$G$7,'Risk Matrices'!$G$5,IF(ABS(AK138)&lt;='Risk Matrices'!$H$7,'Risk Matrices'!$H$5,'Risk Matrices'!$I$5))))</f>
        <v>None</v>
      </c>
      <c r="AR138" s="112" t="str">
        <f>IF(AN138="","",IF(ABS(AN138)&lt;='Risk Matrices'!$E$8,"Negligible",IF(ABS(AN138)&lt;='Risk Matrices'!$F$8,"Marginal",IF(ABS(AN138)&lt;='Risk Matrices'!$G$8,"Significant",IF(ABS(AN138)&lt;='Risk Matrices'!$H$8,"Critical","Crisis")))))</f>
        <v>Marginal</v>
      </c>
      <c r="AS138" s="102" t="s">
        <v>280</v>
      </c>
      <c r="AT138" s="298">
        <f>IF(OR(ISBLANK(AI138),AI138=0),0,VLOOKUP(AP138,'Risk Matrices'!$B$30:$C$34,2,0))</f>
        <v>3</v>
      </c>
      <c r="AU138" s="298">
        <f>IF(OR(ISBLANK(AK138),AK138=0),0,HLOOKUP(AQ138,'Risk Matrices'!$D$28:$H$29,2,0))</f>
        <v>0</v>
      </c>
      <c r="AV138" s="298">
        <f>IF(OR(ISBLANK(AR138),AR138=0),0,HLOOKUP(AR138,'Risk Matrices'!$D$28:$H$29,2,0))</f>
        <v>2</v>
      </c>
      <c r="AW138" s="298">
        <f>IF(OR(ISBLANK(AS138),AS138=0),0,HLOOKUP(AS138,'Risk Matrices'!$D$28:$H$29,2,0))</f>
        <v>2</v>
      </c>
      <c r="AX138" s="106">
        <f t="shared" si="110"/>
        <v>2</v>
      </c>
      <c r="AY138" s="106">
        <f t="shared" si="118"/>
        <v>6</v>
      </c>
      <c r="AZ138" s="107" t="str">
        <f>IF(B138="Retired","Retired",IF(OR(ISBLANK(AY138),AY138=0),"TBD",IF(AY138&lt;='Risk Matrices'!$D$40,'Risk Matrices'!$B$40,IF(AY138&lt;='Risk Matrices'!$D$39,'Risk Matrices'!$B$39,'Risk Matrices'!$B$38))))</f>
        <v>Low</v>
      </c>
      <c r="BA138" s="112"/>
      <c r="BB138" s="101" t="s">
        <v>366</v>
      </c>
      <c r="BC138" s="109">
        <f t="shared" si="112"/>
        <v>0</v>
      </c>
      <c r="BD138" s="185">
        <v>45372</v>
      </c>
      <c r="BE138" s="114"/>
      <c r="BF138" s="115"/>
      <c r="BG138" s="115"/>
      <c r="BH138" s="115"/>
      <c r="BI138" s="115"/>
      <c r="BJ138" s="874">
        <f t="shared" si="123"/>
        <v>0</v>
      </c>
      <c r="BK138" s="101"/>
      <c r="BL138" s="101"/>
      <c r="BM138" s="116">
        <v>44012</v>
      </c>
      <c r="BN138" s="330">
        <v>44134</v>
      </c>
      <c r="BO138" s="332"/>
      <c r="BP138" s="94">
        <f t="shared" si="134"/>
        <v>0</v>
      </c>
      <c r="BQ138" s="97" t="str">
        <f t="shared" si="120"/>
        <v>0 - 0 - 0</v>
      </c>
      <c r="BR138" s="97" t="str">
        <f t="shared" si="121"/>
        <v>6 - 6 - 6</v>
      </c>
      <c r="BS138" s="715">
        <f t="shared" si="106"/>
        <v>0</v>
      </c>
      <c r="BT138" s="736">
        <f t="shared" si="122"/>
        <v>1.7999999999999998</v>
      </c>
      <c r="BU138" s="735" t="s">
        <v>1017</v>
      </c>
      <c r="BV138" s="873">
        <v>45382</v>
      </c>
      <c r="BW138">
        <f t="shared" si="135"/>
        <v>1248</v>
      </c>
    </row>
    <row r="139" spans="2:75" customFormat="1" ht="60" hidden="1" x14ac:dyDescent="0.2">
      <c r="B139" s="101" t="str">
        <f t="shared" si="124"/>
        <v>Active</v>
      </c>
      <c r="C139" s="784" t="s">
        <v>1018</v>
      </c>
      <c r="D139" s="101" t="s">
        <v>151</v>
      </c>
      <c r="E139" s="103" t="s">
        <v>1004</v>
      </c>
      <c r="F139" s="186" t="s">
        <v>124</v>
      </c>
      <c r="G139" s="103" t="s">
        <v>797</v>
      </c>
      <c r="H139" s="103" t="str">
        <f t="shared" si="125"/>
        <v>RT-6-007-003</v>
      </c>
      <c r="I139" s="103" t="s">
        <v>797</v>
      </c>
      <c r="J139" s="103" t="s">
        <v>1019</v>
      </c>
      <c r="K139" s="102" t="s">
        <v>1020</v>
      </c>
      <c r="L139" s="104" t="s">
        <v>1021</v>
      </c>
      <c r="M139" s="103" t="s">
        <v>164</v>
      </c>
      <c r="N139" s="105">
        <v>250</v>
      </c>
      <c r="O139" s="106" t="str" cm="1">
        <f t="array" ref="O139">_xlfn.IFS(N139="","",ABS(N139)&lt;='Risk Matrices'!$E$7,'Risk Matrices'!$E$5,ABS(N139)&lt;='Risk Matrices'!$F$7,'Risk Matrices'!$F$5,ABS(N139)&lt;='Risk Matrices'!$G$7,'Risk Matrices'!$G$5,ABS(N139)&lt;='Risk Matrices'!$H$7,'Risk Matrices'!$H$5,ABS(N139)&gt;'Risk Matrices'!$H$7,'Risk Matrices'!$I$5)</f>
        <v>Negligible</v>
      </c>
      <c r="P139" s="106">
        <v>6</v>
      </c>
      <c r="Q139" s="101" t="str" cm="1">
        <f t="array" ref="Q139">_xlfn.IFS(P139="","",ABS(P139)&lt;='Risk Matrices'!$E$8,'Risk Matrices'!$E$5,ABS(P139)&lt;='Risk Matrices'!$F$8,'Risk Matrices'!$F$5,ABS(P139)&lt;='Risk Matrices'!$G$8,'Risk Matrices'!$G$5,ABS(P139)&lt;='Risk Matrices'!$H$8,'Risk Matrices'!$H$5,ABS(P139)&gt;'Risk Matrices'!$H$8,'Risk Matrices'!$I$5)</f>
        <v>Marginal</v>
      </c>
      <c r="R139" s="102" t="s">
        <v>207</v>
      </c>
      <c r="S139" s="106">
        <f t="shared" si="126"/>
        <v>2</v>
      </c>
      <c r="T139" s="106" cm="1">
        <f t="array" ref="T139">_xlfn.IFS(O139='Risk Matrices'!$D$28,'Risk Matrices'!$D$29,O139='Risk Matrices'!$E$28,'Risk Matrices'!$E$29,O139='Risk Matrices'!$F$28,'Risk Matrices'!$F$29,O139='Risk Matrices'!$G$28,'Risk Matrices'!$G$29,O139='Risk Matrices'!$H$28,'Risk Matrices'!$H$29)</f>
        <v>1</v>
      </c>
      <c r="U139" s="106">
        <f t="shared" si="127"/>
        <v>2</v>
      </c>
      <c r="V139" s="106">
        <f t="shared" si="128"/>
        <v>1</v>
      </c>
      <c r="W139" s="106">
        <f t="shared" si="129"/>
        <v>2</v>
      </c>
      <c r="X139" s="106">
        <f t="shared" si="130"/>
        <v>4</v>
      </c>
      <c r="Y139" s="107" t="str">
        <f t="shared" si="131"/>
        <v>Low</v>
      </c>
      <c r="Z139" s="104"/>
      <c r="AA139" s="108">
        <f t="shared" si="132"/>
        <v>0.17</v>
      </c>
      <c r="AB139" s="109">
        <f t="shared" si="133"/>
        <v>42.5</v>
      </c>
      <c r="AC139" s="109" t="s">
        <v>155</v>
      </c>
      <c r="AD139" s="104" t="s">
        <v>1022</v>
      </c>
      <c r="AE139" s="104"/>
      <c r="AF139" s="101" t="s">
        <v>1023</v>
      </c>
      <c r="AG139" s="101"/>
      <c r="AH139" s="101" t="s">
        <v>175</v>
      </c>
      <c r="AI139" s="112">
        <v>0.2</v>
      </c>
      <c r="AJ139" s="106">
        <v>250</v>
      </c>
      <c r="AK139" s="106">
        <v>250</v>
      </c>
      <c r="AL139" s="106">
        <v>250</v>
      </c>
      <c r="AM139" s="143">
        <v>6</v>
      </c>
      <c r="AN139" s="143">
        <v>6</v>
      </c>
      <c r="AO139" s="143">
        <v>6</v>
      </c>
      <c r="AP139" s="112" t="str">
        <f>IF(OR(ISBLANK(AI139),AI139=0),"INSERT LIKELIHOOD",IF(ABS(AI139)&lt;='Risk Matrices'!$D$22,'Risk Matrices'!$C$21,IF(ABS(AI139)&lt;='Risk Matrices'!$D$19,'Risk Matrices'!$C$18,IF(ABS(AI139)&lt;='Risk Matrices'!$D$16,'Risk Matrices'!$C$15,IF(ABS(AI139)&lt;='Risk Matrices'!$D$13,'Risk Matrices'!$C$12,'Risk Matrices'!$C$10)))))</f>
        <v>Low</v>
      </c>
      <c r="AQ139" s="112" t="str">
        <f>IF(OR(ISBLANK(AK139),AK139=0),"None",IF(ABS(AK139)&lt;='Risk Matrices'!$E$7,'Risk Matrices'!$E$5,IF(ABS(AK139)&lt;='Risk Matrices'!$G$7,'Risk Matrices'!$G$5,IF(ABS(AK139)&lt;='Risk Matrices'!$H$7,'Risk Matrices'!$H$5,'Risk Matrices'!$I$5))))</f>
        <v>Negligible</v>
      </c>
      <c r="AR139" s="112" t="str">
        <f>IF(AN139="","",IF(ABS(AN139)&lt;='Risk Matrices'!$E$8,"Negligible",IF(ABS(AN139)&lt;='Risk Matrices'!$F$8,"Marginal",IF(ABS(AN139)&lt;='Risk Matrices'!$G$8,"Significant",IF(ABS(AN139)&lt;='Risk Matrices'!$H$8,"Critical","Crisis")))))</f>
        <v>Marginal</v>
      </c>
      <c r="AS139" s="102" t="s">
        <v>207</v>
      </c>
      <c r="AT139" s="298">
        <f>IF(OR(ISBLANK(AI139),AI139=0),0,VLOOKUP(AP139,'Risk Matrices'!$B$30:$C$34,2,0))</f>
        <v>2</v>
      </c>
      <c r="AU139" s="298">
        <f>IF(OR(ISBLANK(AK139),AK139=0),0,HLOOKUP(AQ139,'Risk Matrices'!$D$28:$H$29,2,0))</f>
        <v>1</v>
      </c>
      <c r="AV139" s="298">
        <f>IF(OR(ISBLANK(AR139),AR139=0),0,HLOOKUP(AR139,'Risk Matrices'!$D$28:$H$29,2,0))</f>
        <v>2</v>
      </c>
      <c r="AW139" s="298">
        <f>IF(OR(ISBLANK(AS139),AS139=0),0,HLOOKUP(AS139,'Risk Matrices'!$D$28:$H$29,2,0))</f>
        <v>1</v>
      </c>
      <c r="AX139" s="106">
        <f t="shared" si="110"/>
        <v>2</v>
      </c>
      <c r="AY139" s="106">
        <f t="shared" si="118"/>
        <v>4</v>
      </c>
      <c r="AZ139" s="107" t="str">
        <f>IF(B139="Retired","Retired",IF(OR(ISBLANK(AY139),AY139=0),"TBD",IF(AY139&lt;='Risk Matrices'!$D$40,'Risk Matrices'!$B$40,IF(AY139&lt;='Risk Matrices'!$D$39,'Risk Matrices'!$B$39,'Risk Matrices'!$B$38))))</f>
        <v>Low</v>
      </c>
      <c r="BA139" s="112"/>
      <c r="BB139" s="101" t="s">
        <v>366</v>
      </c>
      <c r="BC139" s="109">
        <f t="shared" si="112"/>
        <v>50</v>
      </c>
      <c r="BD139" s="157" t="s">
        <v>1024</v>
      </c>
      <c r="BE139" s="114"/>
      <c r="BF139" s="115"/>
      <c r="BG139" s="115"/>
      <c r="BH139" s="115"/>
      <c r="BI139" s="115"/>
      <c r="BJ139" s="874">
        <f t="shared" si="123"/>
        <v>50</v>
      </c>
      <c r="BK139" s="101"/>
      <c r="BL139" s="101"/>
      <c r="BM139" s="116">
        <v>44012</v>
      </c>
      <c r="BN139" s="330">
        <v>44134</v>
      </c>
      <c r="BO139" s="332"/>
      <c r="BP139" s="94">
        <f t="shared" si="134"/>
        <v>50</v>
      </c>
      <c r="BQ139" s="97" t="str">
        <f t="shared" si="120"/>
        <v>250 - 250 - 250</v>
      </c>
      <c r="BR139" s="97" t="str">
        <f t="shared" si="121"/>
        <v>6 - 6 - 6</v>
      </c>
      <c r="BS139" s="715">
        <f t="shared" si="106"/>
        <v>50</v>
      </c>
      <c r="BT139" s="736">
        <f t="shared" si="122"/>
        <v>1.2</v>
      </c>
      <c r="BU139" s="735" t="s">
        <v>1025</v>
      </c>
      <c r="BV139" s="873">
        <v>45382</v>
      </c>
      <c r="BW139">
        <f t="shared" si="135"/>
        <v>1248</v>
      </c>
    </row>
    <row r="140" spans="2:75" customFormat="1" ht="92.5" hidden="1" customHeight="1" x14ac:dyDescent="0.2">
      <c r="B140" s="101" t="str">
        <f t="shared" si="124"/>
        <v>Active</v>
      </c>
      <c r="C140" s="784" t="s">
        <v>1026</v>
      </c>
      <c r="D140" s="101" t="s">
        <v>151</v>
      </c>
      <c r="E140" s="103" t="s">
        <v>1004</v>
      </c>
      <c r="F140" s="186" t="s">
        <v>124</v>
      </c>
      <c r="G140" s="103" t="s">
        <v>797</v>
      </c>
      <c r="H140" s="103" t="str">
        <f t="shared" si="125"/>
        <v>RT-6-007-004</v>
      </c>
      <c r="I140" s="103" t="s">
        <v>797</v>
      </c>
      <c r="J140" s="102" t="s">
        <v>1019</v>
      </c>
      <c r="K140" s="144" t="s">
        <v>1027</v>
      </c>
      <c r="L140" s="147" t="s">
        <v>1028</v>
      </c>
      <c r="M140" s="104" t="s">
        <v>379</v>
      </c>
      <c r="N140" s="105">
        <v>100</v>
      </c>
      <c r="O140" s="106" t="str" cm="1">
        <f t="array" ref="O140">_xlfn.IFS(N140="","",ABS(N140)&lt;='Risk Matrices'!$E$7,'Risk Matrices'!$E$5,ABS(N140)&lt;='Risk Matrices'!$F$7,'Risk Matrices'!$F$5,ABS(N140)&lt;='Risk Matrices'!$G$7,'Risk Matrices'!$G$5,ABS(N140)&lt;='Risk Matrices'!$H$7,'Risk Matrices'!$H$5,ABS(N140)&gt;'Risk Matrices'!$H$7,'Risk Matrices'!$I$5)</f>
        <v>Negligible</v>
      </c>
      <c r="P140" s="106">
        <v>0</v>
      </c>
      <c r="Q140" s="101" t="str" cm="1">
        <f t="array" ref="Q140">_xlfn.IFS(P140="","",ABS(P140)&lt;='Risk Matrices'!$E$8,'Risk Matrices'!$E$5,ABS(P140)&lt;='Risk Matrices'!$F$8,'Risk Matrices'!$F$5,ABS(P140)&lt;='Risk Matrices'!$G$8,'Risk Matrices'!$G$5,ABS(P140)&lt;='Risk Matrices'!$H$8,'Risk Matrices'!$H$5,ABS(P140)&gt;'Risk Matrices'!$H$8,'Risk Matrices'!$I$5)</f>
        <v>Negligible</v>
      </c>
      <c r="R140" s="101" t="s">
        <v>130</v>
      </c>
      <c r="S140" s="106">
        <f t="shared" si="126"/>
        <v>1</v>
      </c>
      <c r="T140" s="106" cm="1">
        <f t="array" ref="T140">_xlfn.IFS(O140='Risk Matrices'!$D$28,'Risk Matrices'!$D$29,O140='Risk Matrices'!$E$28,'Risk Matrices'!$E$29,O140='Risk Matrices'!$F$28,'Risk Matrices'!$F$29,O140='Risk Matrices'!$G$28,'Risk Matrices'!$G$29,O140='Risk Matrices'!$H$28,'Risk Matrices'!$H$29)</f>
        <v>1</v>
      </c>
      <c r="U140" s="106">
        <f t="shared" si="127"/>
        <v>1</v>
      </c>
      <c r="V140" s="106">
        <f t="shared" si="128"/>
        <v>0</v>
      </c>
      <c r="W140" s="106">
        <f t="shared" si="129"/>
        <v>1</v>
      </c>
      <c r="X140" s="106">
        <f t="shared" si="130"/>
        <v>1</v>
      </c>
      <c r="Y140" s="107" t="str">
        <f t="shared" si="131"/>
        <v>Low</v>
      </c>
      <c r="Z140" s="104"/>
      <c r="AA140" s="108">
        <f t="shared" si="132"/>
        <v>0.05</v>
      </c>
      <c r="AB140" s="109">
        <f t="shared" si="133"/>
        <v>5</v>
      </c>
      <c r="AC140" s="109" t="s">
        <v>155</v>
      </c>
      <c r="AD140" s="104" t="s">
        <v>1029</v>
      </c>
      <c r="AE140" s="104"/>
      <c r="AF140" s="101" t="s">
        <v>134</v>
      </c>
      <c r="AG140" s="101"/>
      <c r="AH140" s="101" t="s">
        <v>175</v>
      </c>
      <c r="AI140" s="112">
        <v>0.05</v>
      </c>
      <c r="AJ140" s="101">
        <v>100</v>
      </c>
      <c r="AK140" s="101">
        <v>100</v>
      </c>
      <c r="AL140" s="101">
        <v>100</v>
      </c>
      <c r="AM140" s="106">
        <v>0</v>
      </c>
      <c r="AN140" s="106">
        <v>0</v>
      </c>
      <c r="AO140" s="106">
        <v>0</v>
      </c>
      <c r="AP140" s="112" t="str">
        <f>IF(OR(ISBLANK(AI140),AI140=0),"INSERT LIKELIHOOD",IF(ABS(AI140)&lt;='Risk Matrices'!$D$22,'Risk Matrices'!$C$21,IF(ABS(AI140)&lt;='Risk Matrices'!$D$19,'Risk Matrices'!$C$18,IF(ABS(AI140)&lt;='Risk Matrices'!$D$16,'Risk Matrices'!$C$15,IF(ABS(AI140)&lt;='Risk Matrices'!$D$13,'Risk Matrices'!$C$12,'Risk Matrices'!$C$10)))))</f>
        <v>Very Low</v>
      </c>
      <c r="AQ140" s="112" t="str">
        <f>IF(OR(ISBLANK(AK140),AK140=0),"None",IF(ABS(AK140)&lt;='Risk Matrices'!$E$7,'Risk Matrices'!$E$5,IF(ABS(AK140)&lt;='Risk Matrices'!$G$7,'Risk Matrices'!$G$5,IF(ABS(AK140)&lt;='Risk Matrices'!$H$7,'Risk Matrices'!$H$5,'Risk Matrices'!$I$5))))</f>
        <v>Negligible</v>
      </c>
      <c r="AR140" s="112" t="str">
        <f>IF(AN140="","",IF(ABS(AN140)&lt;='Risk Matrices'!$E$8,"Negligible",IF(ABS(AN140)&lt;='Risk Matrices'!$F$8,"Marginal",IF(ABS(AN140)&lt;='Risk Matrices'!$G$8,"Significant",IF(ABS(AN140)&lt;='Risk Matrices'!$H$8,"Critical","Crisis")))))</f>
        <v>Negligible</v>
      </c>
      <c r="AS140" s="103" t="s">
        <v>280</v>
      </c>
      <c r="AT140" s="298">
        <f>IF(OR(ISBLANK(AI140),AI140=0),0,VLOOKUP(AP140,'Risk Matrices'!$B$30:$C$34,2,0))</f>
        <v>1</v>
      </c>
      <c r="AU140" s="298">
        <f>IF(OR(ISBLANK(AK140),AK140=0),0,HLOOKUP(AQ140,'Risk Matrices'!$D$28:$H$29,2,0))</f>
        <v>1</v>
      </c>
      <c r="AV140" s="298">
        <f>IF(OR(ISBLANK(AR140),AR140=0),0,HLOOKUP(AR140,'Risk Matrices'!$D$28:$H$29,2,0))</f>
        <v>1</v>
      </c>
      <c r="AW140" s="298">
        <f>IF(OR(ISBLANK(AS140),AS140=0),0,HLOOKUP(AS140,'Risk Matrices'!$D$28:$H$29,2,0))</f>
        <v>2</v>
      </c>
      <c r="AX140" s="106">
        <f t="shared" si="110"/>
        <v>2</v>
      </c>
      <c r="AY140" s="106">
        <f t="shared" si="118"/>
        <v>2</v>
      </c>
      <c r="AZ140" s="107" t="str">
        <f>IF(B140="Retired","Retired",IF(OR(ISBLANK(AY140),AY140=0),"TBD",IF(AY140&lt;='Risk Matrices'!$D$40,'Risk Matrices'!$B$40,IF(AY140&lt;='Risk Matrices'!$D$39,'Risk Matrices'!$B$39,'Risk Matrices'!$B$38))))</f>
        <v>Low</v>
      </c>
      <c r="BA140" s="104"/>
      <c r="BB140" s="101" t="s">
        <v>366</v>
      </c>
      <c r="BC140" s="109">
        <f t="shared" si="112"/>
        <v>5</v>
      </c>
      <c r="BD140" s="157" t="s">
        <v>1024</v>
      </c>
      <c r="BE140" s="104"/>
      <c r="BF140" s="104"/>
      <c r="BG140" s="104"/>
      <c r="BH140" s="104"/>
      <c r="BI140" s="104"/>
      <c r="BJ140" s="874">
        <f t="shared" si="123"/>
        <v>5</v>
      </c>
      <c r="BK140" s="101"/>
      <c r="BL140" s="101"/>
      <c r="BM140" s="116">
        <v>44012</v>
      </c>
      <c r="BN140" s="330">
        <v>44134</v>
      </c>
      <c r="BO140" s="332"/>
      <c r="BP140" s="94">
        <f t="shared" si="134"/>
        <v>5</v>
      </c>
      <c r="BQ140" s="97" t="str">
        <f t="shared" si="120"/>
        <v>100 - 100 - 100</v>
      </c>
      <c r="BR140" s="97" t="str">
        <f t="shared" si="121"/>
        <v>0 - 0 - 0</v>
      </c>
      <c r="BS140" s="715">
        <f t="shared" si="106"/>
        <v>5</v>
      </c>
      <c r="BT140" s="736">
        <f t="shared" si="122"/>
        <v>0</v>
      </c>
      <c r="BU140" s="735" t="s">
        <v>1030</v>
      </c>
      <c r="BV140" s="873">
        <v>45382</v>
      </c>
      <c r="BW140">
        <f t="shared" si="135"/>
        <v>1248</v>
      </c>
    </row>
    <row r="141" spans="2:75" customFormat="1" ht="45" hidden="1" x14ac:dyDescent="0.2">
      <c r="B141" s="101" t="str">
        <f t="shared" si="124"/>
        <v>Active</v>
      </c>
      <c r="C141" s="784" t="s">
        <v>1031</v>
      </c>
      <c r="D141" s="101" t="s">
        <v>151</v>
      </c>
      <c r="E141" s="103" t="s">
        <v>1004</v>
      </c>
      <c r="F141" s="186" t="s">
        <v>124</v>
      </c>
      <c r="G141" s="103" t="s">
        <v>797</v>
      </c>
      <c r="H141" s="103" t="str">
        <f t="shared" si="125"/>
        <v>RT-6-007-005</v>
      </c>
      <c r="I141" s="103" t="s">
        <v>797</v>
      </c>
      <c r="J141" s="102" t="s">
        <v>1019</v>
      </c>
      <c r="K141" s="103" t="s">
        <v>1032</v>
      </c>
      <c r="L141" s="104" t="s">
        <v>1033</v>
      </c>
      <c r="M141" s="103" t="s">
        <v>164</v>
      </c>
      <c r="N141" s="105">
        <v>1000</v>
      </c>
      <c r="O141" s="106" t="str" cm="1">
        <f t="array" ref="O141">_xlfn.IFS(N141="","",ABS(N141)&lt;='Risk Matrices'!$E$7,'Risk Matrices'!$E$5,ABS(N141)&lt;='Risk Matrices'!$F$7,'Risk Matrices'!$F$5,ABS(N141)&lt;='Risk Matrices'!$G$7,'Risk Matrices'!$G$5,ABS(N141)&lt;='Risk Matrices'!$H$7,'Risk Matrices'!$H$5,ABS(N141)&gt;'Risk Matrices'!$H$7,'Risk Matrices'!$I$5)</f>
        <v>Marginal</v>
      </c>
      <c r="P141" s="106">
        <v>0</v>
      </c>
      <c r="Q141" s="101" t="str" cm="1">
        <f t="array" ref="Q141">_xlfn.IFS(P141="","",ABS(P141)&lt;='Risk Matrices'!$E$8,'Risk Matrices'!$E$5,ABS(P141)&lt;='Risk Matrices'!$F$8,'Risk Matrices'!$F$5,ABS(P141)&lt;='Risk Matrices'!$G$8,'Risk Matrices'!$G$5,ABS(P141)&lt;='Risk Matrices'!$H$8,'Risk Matrices'!$H$5,ABS(P141)&gt;'Risk Matrices'!$H$8,'Risk Matrices'!$I$5)</f>
        <v>Negligible</v>
      </c>
      <c r="R141" s="102" t="s">
        <v>207</v>
      </c>
      <c r="S141" s="106">
        <f t="shared" si="126"/>
        <v>2</v>
      </c>
      <c r="T141" s="106" cm="1">
        <f t="array" ref="T141">_xlfn.IFS(O141='Risk Matrices'!$D$28,'Risk Matrices'!$D$29,O141='Risk Matrices'!$E$28,'Risk Matrices'!$E$29,O141='Risk Matrices'!$F$28,'Risk Matrices'!$F$29,O141='Risk Matrices'!$G$28,'Risk Matrices'!$G$29,O141='Risk Matrices'!$H$28,'Risk Matrices'!$H$29)</f>
        <v>2</v>
      </c>
      <c r="U141" s="106">
        <f t="shared" si="127"/>
        <v>1</v>
      </c>
      <c r="V141" s="106">
        <f t="shared" si="128"/>
        <v>1</v>
      </c>
      <c r="W141" s="106">
        <f t="shared" si="129"/>
        <v>2</v>
      </c>
      <c r="X141" s="106">
        <f t="shared" si="130"/>
        <v>4</v>
      </c>
      <c r="Y141" s="107" t="str">
        <f t="shared" si="131"/>
        <v>Low</v>
      </c>
      <c r="Z141" s="104"/>
      <c r="AA141" s="108">
        <f t="shared" si="132"/>
        <v>0.17</v>
      </c>
      <c r="AB141" s="109">
        <f t="shared" si="133"/>
        <v>170</v>
      </c>
      <c r="AC141" s="109" t="s">
        <v>155</v>
      </c>
      <c r="AD141" s="104" t="s">
        <v>1034</v>
      </c>
      <c r="AE141" s="104"/>
      <c r="AF141" s="101" t="s">
        <v>1023</v>
      </c>
      <c r="AG141" s="101"/>
      <c r="AH141" s="101" t="s">
        <v>175</v>
      </c>
      <c r="AI141" s="112">
        <v>0.2</v>
      </c>
      <c r="AJ141" s="106">
        <v>1000</v>
      </c>
      <c r="AK141" s="106">
        <v>1000</v>
      </c>
      <c r="AL141" s="106">
        <v>1000</v>
      </c>
      <c r="AM141" s="106">
        <v>0</v>
      </c>
      <c r="AN141" s="106">
        <v>0</v>
      </c>
      <c r="AO141" s="106">
        <v>0</v>
      </c>
      <c r="AP141" s="112" t="str">
        <f>IF(OR(ISBLANK(AI141),AI141=0),"INSERT LIKELIHOOD",IF(ABS(AI141)&lt;='Risk Matrices'!$D$22,'Risk Matrices'!$C$21,IF(ABS(AI141)&lt;='Risk Matrices'!$D$19,'Risk Matrices'!$C$18,IF(ABS(AI141)&lt;='Risk Matrices'!$D$16,'Risk Matrices'!$C$15,IF(ABS(AI141)&lt;='Risk Matrices'!$D$13,'Risk Matrices'!$C$12,'Risk Matrices'!$C$10)))))</f>
        <v>Low</v>
      </c>
      <c r="AQ141" s="112" t="str">
        <f>IF(OR(ISBLANK(AK141),AK141=0),"None",IF(ABS(AK141)&lt;='Risk Matrices'!$E$7,'Risk Matrices'!$E$5,IF(ABS(AK141)&lt;='Risk Matrices'!$G$7,'Risk Matrices'!$G$5,IF(ABS(AK141)&lt;='Risk Matrices'!$H$7,'Risk Matrices'!$H$5,'Risk Matrices'!$I$5))))</f>
        <v>Significant</v>
      </c>
      <c r="AR141" s="112" t="str">
        <f>IF(AN141="","",IF(ABS(AN141)&lt;='Risk Matrices'!$E$8,"Negligible",IF(ABS(AN141)&lt;='Risk Matrices'!$F$8,"Marginal",IF(ABS(AN141)&lt;='Risk Matrices'!$G$8,"Significant",IF(ABS(AN141)&lt;='Risk Matrices'!$H$8,"Critical","Crisis")))))</f>
        <v>Negligible</v>
      </c>
      <c r="AS141" s="102" t="s">
        <v>207</v>
      </c>
      <c r="AT141" s="298">
        <f>IF(OR(ISBLANK(AI141),AI141=0),0,VLOOKUP(AP141,'Risk Matrices'!$B$30:$C$34,2,0))</f>
        <v>2</v>
      </c>
      <c r="AU141" s="298">
        <f>IF(OR(ISBLANK(AK141),AK141=0),0,HLOOKUP(AQ141,'Risk Matrices'!$D$28:$H$29,2,0))</f>
        <v>3</v>
      </c>
      <c r="AV141" s="298">
        <f>IF(OR(ISBLANK(AR141),AR141=0),0,HLOOKUP(AR141,'Risk Matrices'!$D$28:$H$29,2,0))</f>
        <v>1</v>
      </c>
      <c r="AW141" s="298">
        <f>IF(OR(ISBLANK(AS141),AS141=0),0,HLOOKUP(AS141,'Risk Matrices'!$D$28:$H$29,2,0))</f>
        <v>1</v>
      </c>
      <c r="AX141" s="106">
        <f t="shared" si="110"/>
        <v>3</v>
      </c>
      <c r="AY141" s="106">
        <f t="shared" si="118"/>
        <v>6</v>
      </c>
      <c r="AZ141" s="107" t="str">
        <f>IF(B141="Retired","Retired",IF(OR(ISBLANK(AY141),AY141=0),"TBD",IF(AY141&lt;='Risk Matrices'!$D$40,'Risk Matrices'!$B$40,IF(AY141&lt;='Risk Matrices'!$D$39,'Risk Matrices'!$B$39,'Risk Matrices'!$B$38))))</f>
        <v>Low</v>
      </c>
      <c r="BA141" s="112"/>
      <c r="BB141" s="101" t="s">
        <v>366</v>
      </c>
      <c r="BC141" s="109">
        <f t="shared" si="112"/>
        <v>200</v>
      </c>
      <c r="BD141" s="157" t="s">
        <v>1024</v>
      </c>
      <c r="BE141" s="187"/>
      <c r="BF141" s="115"/>
      <c r="BG141" s="115"/>
      <c r="BH141" s="115"/>
      <c r="BI141" s="115"/>
      <c r="BJ141" s="874">
        <f t="shared" si="123"/>
        <v>200</v>
      </c>
      <c r="BK141" s="101"/>
      <c r="BL141" s="101"/>
      <c r="BM141" s="116">
        <v>44012</v>
      </c>
      <c r="BN141" s="330">
        <v>44134</v>
      </c>
      <c r="BO141" s="332"/>
      <c r="BP141" s="94">
        <f t="shared" si="134"/>
        <v>200</v>
      </c>
      <c r="BQ141" s="97" t="str">
        <f t="shared" si="120"/>
        <v>1000 - 1000 - 1000</v>
      </c>
      <c r="BR141" s="97" t="str">
        <f t="shared" si="121"/>
        <v>0 - 0 - 0</v>
      </c>
      <c r="BS141" s="715">
        <f t="shared" si="106"/>
        <v>200</v>
      </c>
      <c r="BT141" s="736">
        <f t="shared" si="122"/>
        <v>0</v>
      </c>
      <c r="BU141" s="735" t="s">
        <v>1035</v>
      </c>
      <c r="BV141" s="873">
        <v>45382</v>
      </c>
      <c r="BW141">
        <f t="shared" si="135"/>
        <v>1248</v>
      </c>
    </row>
    <row r="142" spans="2:75" customFormat="1" ht="97.25" hidden="1" customHeight="1" x14ac:dyDescent="0.2">
      <c r="B142" s="101" t="str">
        <f t="shared" si="124"/>
        <v>Active</v>
      </c>
      <c r="C142" s="784" t="s">
        <v>1036</v>
      </c>
      <c r="D142" s="101" t="s">
        <v>151</v>
      </c>
      <c r="E142" s="103" t="s">
        <v>1004</v>
      </c>
      <c r="F142" s="186" t="s">
        <v>124</v>
      </c>
      <c r="G142" s="103" t="s">
        <v>797</v>
      </c>
      <c r="H142" s="103" t="str">
        <f t="shared" si="125"/>
        <v>RT-6-007-006</v>
      </c>
      <c r="I142" s="103" t="s">
        <v>797</v>
      </c>
      <c r="J142" s="102" t="s">
        <v>1019</v>
      </c>
      <c r="K142" s="101" t="s">
        <v>1037</v>
      </c>
      <c r="L142" s="104" t="s">
        <v>1038</v>
      </c>
      <c r="M142" s="104" t="s">
        <v>164</v>
      </c>
      <c r="N142" s="105">
        <v>500</v>
      </c>
      <c r="O142" s="106" t="str" cm="1">
        <f t="array" ref="O142">_xlfn.IFS(N142="","",ABS(N142)&lt;='Risk Matrices'!$E$7,'Risk Matrices'!$E$5,ABS(N142)&lt;='Risk Matrices'!$F$7,'Risk Matrices'!$F$5,ABS(N142)&lt;='Risk Matrices'!$G$7,'Risk Matrices'!$G$5,ABS(N142)&lt;='Risk Matrices'!$H$7,'Risk Matrices'!$H$5,ABS(N142)&gt;'Risk Matrices'!$H$7,'Risk Matrices'!$I$5)</f>
        <v>Marginal</v>
      </c>
      <c r="P142" s="101">
        <v>0</v>
      </c>
      <c r="Q142" s="101" t="str" cm="1">
        <f t="array" ref="Q142">_xlfn.IFS(P142="","",ABS(P142)&lt;='Risk Matrices'!$E$8,'Risk Matrices'!$E$5,ABS(P142)&lt;='Risk Matrices'!$F$8,'Risk Matrices'!$F$5,ABS(P142)&lt;='Risk Matrices'!$G$8,'Risk Matrices'!$G$5,ABS(P142)&lt;='Risk Matrices'!$H$8,'Risk Matrices'!$H$5,ABS(P142)&gt;'Risk Matrices'!$H$8,'Risk Matrices'!$I$5)</f>
        <v>Negligible</v>
      </c>
      <c r="R142" s="102" t="s">
        <v>207</v>
      </c>
      <c r="S142" s="106">
        <f t="shared" si="126"/>
        <v>2</v>
      </c>
      <c r="T142" s="106" cm="1">
        <f t="array" ref="T142">_xlfn.IFS(O142='Risk Matrices'!$D$28,'Risk Matrices'!$D$29,O142='Risk Matrices'!$E$28,'Risk Matrices'!$E$29,O142='Risk Matrices'!$F$28,'Risk Matrices'!$F$29,O142='Risk Matrices'!$G$28,'Risk Matrices'!$G$29,O142='Risk Matrices'!$H$28,'Risk Matrices'!$H$29)</f>
        <v>2</v>
      </c>
      <c r="U142" s="106">
        <f t="shared" si="127"/>
        <v>1</v>
      </c>
      <c r="V142" s="106">
        <f t="shared" si="128"/>
        <v>1</v>
      </c>
      <c r="W142" s="106">
        <f t="shared" si="129"/>
        <v>2</v>
      </c>
      <c r="X142" s="106">
        <f t="shared" si="130"/>
        <v>4</v>
      </c>
      <c r="Y142" s="107" t="str">
        <f t="shared" si="131"/>
        <v>Low</v>
      </c>
      <c r="Z142" s="104"/>
      <c r="AA142" s="108">
        <f t="shared" si="132"/>
        <v>0.17</v>
      </c>
      <c r="AB142" s="109">
        <f t="shared" si="133"/>
        <v>85</v>
      </c>
      <c r="AC142" s="109" t="s">
        <v>155</v>
      </c>
      <c r="AD142" s="104" t="s">
        <v>1039</v>
      </c>
      <c r="AE142" s="104"/>
      <c r="AF142" s="101" t="s">
        <v>134</v>
      </c>
      <c r="AG142" s="101"/>
      <c r="AH142" s="101" t="s">
        <v>1040</v>
      </c>
      <c r="AI142" s="878">
        <v>0.2</v>
      </c>
      <c r="AJ142" s="101">
        <v>500</v>
      </c>
      <c r="AK142" s="101">
        <v>500</v>
      </c>
      <c r="AL142" s="101">
        <v>500</v>
      </c>
      <c r="AM142" s="106">
        <v>0</v>
      </c>
      <c r="AN142" s="106">
        <v>0</v>
      </c>
      <c r="AO142" s="106">
        <v>0</v>
      </c>
      <c r="AP142" s="112" t="str">
        <f>IF(OR(ISBLANK(AI142),AI142=0),"INSERT LIKELIHOOD",IF(ABS(AI142)&lt;='Risk Matrices'!$D$22,'Risk Matrices'!$C$21,IF(ABS(AI142)&lt;='Risk Matrices'!$D$19,'Risk Matrices'!$C$18,IF(ABS(AI142)&lt;='Risk Matrices'!$D$16,'Risk Matrices'!$C$15,IF(ABS(AI142)&lt;='Risk Matrices'!$D$13,'Risk Matrices'!$C$12,'Risk Matrices'!$C$10)))))</f>
        <v>Low</v>
      </c>
      <c r="AQ142" s="112" t="str">
        <f>IF(OR(ISBLANK(AK142),AK142=0),"None",IF(ABS(AK142)&lt;='Risk Matrices'!$E$7,'Risk Matrices'!$E$5,IF(ABS(AK142)&lt;='Risk Matrices'!$G$7,'Risk Matrices'!$G$5,IF(ABS(AK142)&lt;='Risk Matrices'!$H$7,'Risk Matrices'!$H$5,'Risk Matrices'!$I$5))))</f>
        <v>Significant</v>
      </c>
      <c r="AR142" s="112" t="str">
        <f>IF(AN142="","",IF(ABS(AN142)&lt;='Risk Matrices'!$E$8,"Negligible",IF(ABS(AN142)&lt;='Risk Matrices'!$F$8,"Marginal",IF(ABS(AN142)&lt;='Risk Matrices'!$G$8,"Significant",IF(ABS(AN142)&lt;='Risk Matrices'!$H$8,"Critical","Crisis")))))</f>
        <v>Negligible</v>
      </c>
      <c r="AS142" s="102" t="s">
        <v>207</v>
      </c>
      <c r="AT142" s="298">
        <f>IF(OR(ISBLANK(AI142),AI142=0),0,VLOOKUP(AP142,'Risk Matrices'!$B$30:$C$34,2,0))</f>
        <v>2</v>
      </c>
      <c r="AU142" s="298">
        <f>IF(OR(ISBLANK(AK142),AK142=0),0,HLOOKUP(AQ142,'Risk Matrices'!$D$28:$H$29,2,0))</f>
        <v>3</v>
      </c>
      <c r="AV142" s="298">
        <f>IF(OR(ISBLANK(AR142),AR142=0),0,HLOOKUP(AR142,'Risk Matrices'!$D$28:$H$29,2,0))</f>
        <v>1</v>
      </c>
      <c r="AW142" s="298">
        <f>IF(OR(ISBLANK(AS142),AS142=0),0,HLOOKUP(AS142,'Risk Matrices'!$D$28:$H$29,2,0))</f>
        <v>1</v>
      </c>
      <c r="AX142" s="106">
        <f t="shared" si="110"/>
        <v>3</v>
      </c>
      <c r="AY142" s="106">
        <f t="shared" si="118"/>
        <v>6</v>
      </c>
      <c r="AZ142" s="107" t="str">
        <f>IF(B142="Retired","Retired",IF(OR(ISBLANK(AY142),AY142=0),"TBD",IF(AY142&lt;='Risk Matrices'!$D$40,'Risk Matrices'!$B$40,IF(AY142&lt;='Risk Matrices'!$D$39,'Risk Matrices'!$B$39,'Risk Matrices'!$B$38))))</f>
        <v>Low</v>
      </c>
      <c r="BA142" s="104"/>
      <c r="BB142" s="101" t="s">
        <v>366</v>
      </c>
      <c r="BC142" s="109">
        <f t="shared" si="112"/>
        <v>100</v>
      </c>
      <c r="BD142" s="157" t="s">
        <v>1024</v>
      </c>
      <c r="BE142" s="104"/>
      <c r="BF142" s="104"/>
      <c r="BG142" s="104"/>
      <c r="BH142" s="104"/>
      <c r="BI142" s="104"/>
      <c r="BJ142" s="874">
        <f t="shared" si="123"/>
        <v>100</v>
      </c>
      <c r="BK142" s="101"/>
      <c r="BL142" s="101"/>
      <c r="BM142" s="116">
        <v>44012</v>
      </c>
      <c r="BN142" s="330">
        <v>44134</v>
      </c>
      <c r="BO142" s="332"/>
      <c r="BP142" s="94">
        <f t="shared" si="134"/>
        <v>100</v>
      </c>
      <c r="BQ142" s="97" t="str">
        <f t="shared" si="120"/>
        <v>500 - 500 - 500</v>
      </c>
      <c r="BR142" s="97" t="str">
        <f t="shared" si="121"/>
        <v>0 - 0 - 0</v>
      </c>
      <c r="BS142" s="715">
        <f t="shared" si="106"/>
        <v>100</v>
      </c>
      <c r="BT142" s="736">
        <f t="shared" si="122"/>
        <v>0</v>
      </c>
      <c r="BU142" s="735" t="s">
        <v>1041</v>
      </c>
      <c r="BV142" s="873">
        <v>45382</v>
      </c>
      <c r="BW142">
        <f t="shared" si="135"/>
        <v>1248</v>
      </c>
    </row>
    <row r="143" spans="2:75" customFormat="1" ht="70.25" hidden="1" customHeight="1" x14ac:dyDescent="0.2">
      <c r="B143" s="101" t="str">
        <f t="shared" si="124"/>
        <v>Active</v>
      </c>
      <c r="C143" s="784" t="s">
        <v>1042</v>
      </c>
      <c r="D143" s="101" t="s">
        <v>151</v>
      </c>
      <c r="E143" s="103" t="s">
        <v>1004</v>
      </c>
      <c r="F143" s="186" t="s">
        <v>124</v>
      </c>
      <c r="G143" s="103" t="s">
        <v>797</v>
      </c>
      <c r="H143" s="103" t="str">
        <f t="shared" si="125"/>
        <v>RT-6-007-007</v>
      </c>
      <c r="I143" s="103" t="s">
        <v>417</v>
      </c>
      <c r="J143" s="102" t="s">
        <v>409</v>
      </c>
      <c r="K143" s="101" t="s">
        <v>1043</v>
      </c>
      <c r="L143" s="104" t="s">
        <v>1044</v>
      </c>
      <c r="M143" s="132" t="s">
        <v>141</v>
      </c>
      <c r="N143" s="105">
        <v>300</v>
      </c>
      <c r="O143" s="106" t="str" cm="1">
        <f t="array" ref="O143">_xlfn.IFS(N143="","",ABS(N143)&lt;='Risk Matrices'!$E$7,'Risk Matrices'!$E$5,ABS(N143)&lt;='Risk Matrices'!$F$7,'Risk Matrices'!$F$5,ABS(N143)&lt;='Risk Matrices'!$G$7,'Risk Matrices'!$G$5,ABS(N143)&lt;='Risk Matrices'!$H$7,'Risk Matrices'!$H$5,ABS(N143)&gt;'Risk Matrices'!$H$7,'Risk Matrices'!$I$5)</f>
        <v>Marginal</v>
      </c>
      <c r="P143" s="101">
        <v>8</v>
      </c>
      <c r="Q143" s="101" t="str">
        <f>IF(P143="","",IF(P143&lt;=3,"Negligible",IF(P143&lt;=6,"Marginal",IF(P143&lt;=12,"Significant",IF(P143&lt;=18,"Critical","Crisis")))))</f>
        <v>Significant</v>
      </c>
      <c r="R143" s="102" t="s">
        <v>280</v>
      </c>
      <c r="S143" s="128">
        <f t="shared" si="126"/>
        <v>3</v>
      </c>
      <c r="T143" s="106" cm="1">
        <f t="array" ref="T143">_xlfn.IFS(O143='Risk Matrices'!$D$28,'Risk Matrices'!$D$29,O143='Risk Matrices'!$E$28,'Risk Matrices'!$E$29,O143='Risk Matrices'!$F$28,'Risk Matrices'!$F$29,O143='Risk Matrices'!$G$28,'Risk Matrices'!$G$29,O143='Risk Matrices'!$H$28,'Risk Matrices'!$H$29)</f>
        <v>2</v>
      </c>
      <c r="U143" s="128">
        <f t="shared" si="127"/>
        <v>3</v>
      </c>
      <c r="V143" s="106">
        <f t="shared" si="128"/>
        <v>2</v>
      </c>
      <c r="W143" s="106">
        <f t="shared" si="129"/>
        <v>3</v>
      </c>
      <c r="X143" s="128">
        <f t="shared" si="130"/>
        <v>9</v>
      </c>
      <c r="Y143" s="107" t="str">
        <f t="shared" si="131"/>
        <v>Moderate</v>
      </c>
      <c r="Z143" s="104"/>
      <c r="AA143" s="136">
        <f t="shared" si="132"/>
        <v>0.32</v>
      </c>
      <c r="AB143" s="137">
        <f t="shared" si="133"/>
        <v>96</v>
      </c>
      <c r="AC143" s="137" t="s">
        <v>155</v>
      </c>
      <c r="AD143" s="104" t="s">
        <v>1045</v>
      </c>
      <c r="AE143" s="104"/>
      <c r="AF143" s="101" t="s">
        <v>265</v>
      </c>
      <c r="AG143" s="101"/>
      <c r="AH143" s="101" t="s">
        <v>1046</v>
      </c>
      <c r="AI143" s="878">
        <v>0.3</v>
      </c>
      <c r="AJ143" s="101">
        <v>200</v>
      </c>
      <c r="AK143" s="101">
        <v>300</v>
      </c>
      <c r="AL143" s="101">
        <v>500</v>
      </c>
      <c r="AM143" s="106">
        <v>6</v>
      </c>
      <c r="AN143" s="106">
        <v>8</v>
      </c>
      <c r="AO143" s="106">
        <v>12</v>
      </c>
      <c r="AP143" s="112" t="str">
        <f>IF(OR(ISBLANK(AI143),AI143=0),"INSERT LIKELIHOOD",IF(ABS(AI143)&lt;='Risk Matrices'!$D$22,'Risk Matrices'!$C$21,IF(ABS(AI143)&lt;='Risk Matrices'!$D$19,'Risk Matrices'!$C$18,IF(ABS(AI143)&lt;='Risk Matrices'!$D$16,'Risk Matrices'!$C$15,IF(ABS(AI143)&lt;='Risk Matrices'!$D$13,'Risk Matrices'!$C$12,'Risk Matrices'!$C$10)))))</f>
        <v>Moderate</v>
      </c>
      <c r="AQ143" s="112" t="str">
        <f>IF(OR(ISBLANK(AK143),AK143=0),"None",IF(ABS(AK143)&lt;='Risk Matrices'!$E$7,'Risk Matrices'!$E$5,IF(ABS(AK143)&lt;='Risk Matrices'!$G$7,'Risk Matrices'!$G$5,IF(ABS(AK143)&lt;='Risk Matrices'!$H$7,'Risk Matrices'!$H$5,'Risk Matrices'!$I$5))))</f>
        <v>Significant</v>
      </c>
      <c r="AR143" s="112" t="str">
        <f>IF(AN143="","",IF(ABS(AN143)&lt;='Risk Matrices'!$E$8,"Negligible",IF(ABS(AN143)&lt;='Risk Matrices'!$F$8,"Marginal",IF(ABS(AN143)&lt;='Risk Matrices'!$G$8,"Significant",IF(ABS(AN143)&lt;='Risk Matrices'!$H$8,"Critical","Crisis")))))</f>
        <v>Significant</v>
      </c>
      <c r="AS143" s="102" t="s">
        <v>280</v>
      </c>
      <c r="AT143" s="298">
        <f>IF(OR(ISBLANK(AI143),AI143=0),0,VLOOKUP(AP143,'Risk Matrices'!$B$30:$C$34,2,0))</f>
        <v>3</v>
      </c>
      <c r="AU143" s="298">
        <f>IF(OR(ISBLANK(AK143),AK143=0),0,HLOOKUP(AQ143,'Risk Matrices'!$D$28:$H$29,2,0))</f>
        <v>3</v>
      </c>
      <c r="AV143" s="298">
        <f>IF(OR(ISBLANK(AR143),AR143=0),0,HLOOKUP(AR143,'Risk Matrices'!$D$28:$H$29,2,0))</f>
        <v>3</v>
      </c>
      <c r="AW143" s="298">
        <f>IF(OR(ISBLANK(AS143),AS143=0),0,HLOOKUP(AS143,'Risk Matrices'!$D$28:$H$29,2,0))</f>
        <v>2</v>
      </c>
      <c r="AX143" s="106">
        <f t="shared" si="110"/>
        <v>3</v>
      </c>
      <c r="AY143" s="106">
        <f t="shared" si="118"/>
        <v>9</v>
      </c>
      <c r="AZ143" s="107" t="str">
        <f>IF(B143="Retired","Retired",IF(OR(ISBLANK(AY143),AY143=0),"TBD",IF(AY143&lt;='Risk Matrices'!$D$40,'Risk Matrices'!$B$40,IF(AY143&lt;='Risk Matrices'!$D$39,'Risk Matrices'!$B$39,'Risk Matrices'!$B$38))))</f>
        <v>Moderate</v>
      </c>
      <c r="BA143" s="104"/>
      <c r="BB143" s="101" t="s">
        <v>366</v>
      </c>
      <c r="BC143" s="109">
        <f t="shared" si="112"/>
        <v>90</v>
      </c>
      <c r="BD143" s="185">
        <v>45376</v>
      </c>
      <c r="BE143" s="104"/>
      <c r="BF143" s="104"/>
      <c r="BG143" s="104"/>
      <c r="BH143" s="104"/>
      <c r="BI143" s="104"/>
      <c r="BJ143" s="874">
        <f t="shared" si="123"/>
        <v>99.999999999999986</v>
      </c>
      <c r="BK143" s="101"/>
      <c r="BL143" s="101"/>
      <c r="BM143" s="116">
        <v>45376</v>
      </c>
      <c r="BN143" s="330">
        <v>45398</v>
      </c>
      <c r="BO143" s="332"/>
      <c r="BP143" s="94">
        <f t="shared" si="134"/>
        <v>95</v>
      </c>
      <c r="BQ143" s="97" t="str">
        <f t="shared" si="120"/>
        <v>200 - 300 - 500</v>
      </c>
      <c r="BR143" s="97" t="str">
        <f t="shared" si="121"/>
        <v>6 - 8 - 12</v>
      </c>
      <c r="BS143" s="715">
        <f t="shared" si="106"/>
        <v>99.999999999999986</v>
      </c>
      <c r="BT143" s="736">
        <f t="shared" si="122"/>
        <v>2.6</v>
      </c>
      <c r="BU143" s="735"/>
      <c r="BV143" s="873"/>
    </row>
    <row r="144" spans="2:75" customFormat="1" ht="45" hidden="1" x14ac:dyDescent="0.2">
      <c r="B144" s="101" t="str">
        <f t="shared" si="124"/>
        <v>Retired</v>
      </c>
      <c r="C144" s="781" t="s">
        <v>1047</v>
      </c>
      <c r="D144" s="101" t="s">
        <v>151</v>
      </c>
      <c r="E144" s="103" t="s">
        <v>1004</v>
      </c>
      <c r="F144" s="186" t="s">
        <v>124</v>
      </c>
      <c r="G144" s="103" t="s">
        <v>797</v>
      </c>
      <c r="H144" s="103"/>
      <c r="I144" s="103" t="s">
        <v>797</v>
      </c>
      <c r="J144" s="102"/>
      <c r="K144" s="103" t="s">
        <v>1048</v>
      </c>
      <c r="L144" s="104" t="s">
        <v>1049</v>
      </c>
      <c r="M144" s="103" t="s">
        <v>141</v>
      </c>
      <c r="N144" s="105">
        <v>400</v>
      </c>
      <c r="O144" s="106" t="str" cm="1">
        <f t="array" ref="O144">_xlfn.IFS(N144="","",ABS(N144)&lt;='Risk Matrices'!$E$7,'Risk Matrices'!$E$5,ABS(N144)&lt;='Risk Matrices'!$F$7,'Risk Matrices'!$F$5,ABS(N144)&lt;='Risk Matrices'!$G$7,'Risk Matrices'!$G$5,ABS(N144)&lt;='Risk Matrices'!$H$7,'Risk Matrices'!$H$5,ABS(N144)&gt;'Risk Matrices'!$H$7,'Risk Matrices'!$I$5)</f>
        <v>Marginal</v>
      </c>
      <c r="P144" s="106">
        <v>6</v>
      </c>
      <c r="Q144" s="102" t="s">
        <v>280</v>
      </c>
      <c r="R144" s="102" t="s">
        <v>207</v>
      </c>
      <c r="S144" s="106">
        <f t="shared" si="126"/>
        <v>3</v>
      </c>
      <c r="T144" s="106" cm="1">
        <f t="array" ref="T144">_xlfn.IFS(O144='Risk Matrices'!$D$28,'Risk Matrices'!$D$29,O144='Risk Matrices'!$E$28,'Risk Matrices'!$E$29,O144='Risk Matrices'!$F$28,'Risk Matrices'!$F$29,O144='Risk Matrices'!$G$28,'Risk Matrices'!$G$29,O144='Risk Matrices'!$H$28,'Risk Matrices'!$H$29)</f>
        <v>2</v>
      </c>
      <c r="U144" s="106">
        <f t="shared" si="127"/>
        <v>2</v>
      </c>
      <c r="V144" s="106">
        <f t="shared" ref="V144:V152" si="136">IF(R144="",0,IF(R144="Negligible",1,IF(R144="Marginal",2,IF(R144="Significant",3,IF(R144="Critical",4,IF(R144="Crisis",5))))))</f>
        <v>1</v>
      </c>
      <c r="W144" s="106">
        <f t="shared" si="129"/>
        <v>2</v>
      </c>
      <c r="X144" s="106">
        <f t="shared" si="130"/>
        <v>6</v>
      </c>
      <c r="Y144" s="107" t="str">
        <f t="shared" si="131"/>
        <v>Low</v>
      </c>
      <c r="Z144" s="104"/>
      <c r="AA144" s="108">
        <f t="shared" si="132"/>
        <v>0.32</v>
      </c>
      <c r="AB144" s="109">
        <f t="shared" si="133"/>
        <v>128</v>
      </c>
      <c r="AC144" s="109" t="s">
        <v>155</v>
      </c>
      <c r="AD144" s="104" t="s">
        <v>1050</v>
      </c>
      <c r="AE144" s="104"/>
      <c r="AF144" s="110" t="s">
        <v>1051</v>
      </c>
      <c r="AG144" s="110"/>
      <c r="AH144" s="104"/>
      <c r="AI144" s="112">
        <v>0.15</v>
      </c>
      <c r="AJ144" s="106">
        <v>1</v>
      </c>
      <c r="AK144" s="106">
        <v>1</v>
      </c>
      <c r="AL144" s="106">
        <v>1</v>
      </c>
      <c r="AM144" s="106">
        <v>6</v>
      </c>
      <c r="AN144" s="106">
        <v>6</v>
      </c>
      <c r="AO144" s="106">
        <v>6</v>
      </c>
      <c r="AP144" s="112" t="str">
        <f>IF(OR(ISBLANK(AI144),AI144=0),"INSERT LIKELIHOOD",IF(ABS(AI144)&lt;='Risk Matrices'!$D$22,'Risk Matrices'!$C$21,IF(ABS(AI144)&lt;='Risk Matrices'!$D$19,'Risk Matrices'!$C$18,IF(ABS(AI144)&lt;='Risk Matrices'!$D$16,'Risk Matrices'!$C$15,IF(ABS(AI144)&lt;='Risk Matrices'!$D$13,'Risk Matrices'!$C$12,'Risk Matrices'!$C$10)))))</f>
        <v>Low</v>
      </c>
      <c r="AQ144" s="112" t="str">
        <f>IF(OR(ISBLANK(AK144),AK144=0),"",IF(ABS(AK144)&lt;='Risk Matrices'!$E$7,'Risk Matrices'!$E$5,IF(ABS(AK144)&lt;='Risk Matrices'!$G$7,'Risk Matrices'!$G$5,IF(ABS(AK144)&lt;='Risk Matrices'!$H$7,'Risk Matrices'!$H$5,'Risk Matrices'!$I$5))))</f>
        <v>Negligible</v>
      </c>
      <c r="AR144" s="112" t="str">
        <f>IF(AN144="","",IF(ABS(AN144)&lt;='Risk Matrices'!$E$8,"Negligible",IF(ABS(AN144)&lt;='Risk Matrices'!$F$8,"Marginal",IF(ABS(AN144)&lt;='Risk Matrices'!$G$8,"Significant",IF(ABS(AN144)&lt;='Risk Matrices'!$H$8,"Critical","Crisis")))))</f>
        <v>Marginal</v>
      </c>
      <c r="AS144" s="102" t="s">
        <v>207</v>
      </c>
      <c r="AT144" s="298">
        <f>IF(OR(ISBLANK(AI144),AI144=0),0,VLOOKUP(AP144,'Risk Matrices'!$B$30:$C$34,2,0))</f>
        <v>2</v>
      </c>
      <c r="AU144" s="298">
        <f>IF(OR(ISBLANK(AK144),AK144=0),0,HLOOKUP(AQ144,'Risk Matrices'!$D$28:$H$29,2,0))</f>
        <v>1</v>
      </c>
      <c r="AV144" s="298">
        <f>IF(OR(ISBLANK(AR144),AR144=0),0,HLOOKUP(AR144,'Risk Matrices'!$D$28:$H$29,2,0))</f>
        <v>2</v>
      </c>
      <c r="AW144" s="298">
        <f>IF(OR(ISBLANK(AS144),AS144=0),0,HLOOKUP(AS144,'Risk Matrices'!$D$28:$H$29,2,0))</f>
        <v>1</v>
      </c>
      <c r="AX144" s="106">
        <f t="shared" si="110"/>
        <v>2</v>
      </c>
      <c r="AY144" s="106">
        <f t="shared" si="118"/>
        <v>4</v>
      </c>
      <c r="AZ144" s="107" t="str">
        <f>IF(B144="Retired","Retired",IF(OR(ISBLANK(AY144),AY144=0),"TBD",IF(AY144&lt;='Risk Matrices'!$D$40,'Risk Matrices'!$B$40,IF(AY144&lt;='Risk Matrices'!$D$39,'Risk Matrices'!$B$39,'Risk Matrices'!$B$38))))</f>
        <v>Retired</v>
      </c>
      <c r="BA144" s="112"/>
      <c r="BB144" s="113"/>
      <c r="BC144" s="109" t="str">
        <f t="shared" si="112"/>
        <v>Retired</v>
      </c>
      <c r="BD144" s="113"/>
      <c r="BE144" s="114"/>
      <c r="BF144" s="115"/>
      <c r="BG144" s="104" t="s">
        <v>1052</v>
      </c>
      <c r="BH144" s="115"/>
      <c r="BI144" s="115"/>
      <c r="BJ144" s="874">
        <f t="shared" si="123"/>
        <v>0.15</v>
      </c>
      <c r="BK144" s="101" t="s">
        <v>311</v>
      </c>
      <c r="BL144" s="116">
        <v>44533</v>
      </c>
      <c r="BM144" s="116">
        <v>44012</v>
      </c>
      <c r="BN144" s="330">
        <v>44134</v>
      </c>
      <c r="BO144" s="332"/>
      <c r="BP144" s="94">
        <f t="shared" ref="BP144:BP152" si="137">AI144*((2*AJ144+4*AK144+2*AL144)/6)</f>
        <v>0.19999999999999998</v>
      </c>
      <c r="BQ144" s="97" t="str">
        <f t="shared" si="120"/>
        <v>1 - 1 - 1</v>
      </c>
      <c r="BR144" s="97" t="str">
        <f t="shared" si="121"/>
        <v>6 - 6 - 6</v>
      </c>
      <c r="BS144" s="715">
        <f t="shared" si="106"/>
        <v>0.15</v>
      </c>
      <c r="BT144" s="736">
        <f t="shared" si="122"/>
        <v>0.89999999999999991</v>
      </c>
      <c r="BU144" s="735" t="s">
        <v>1047</v>
      </c>
      <c r="BV144" s="873"/>
    </row>
    <row r="145" spans="2:75" customFormat="1" ht="210" hidden="1" x14ac:dyDescent="0.2">
      <c r="B145" s="749" t="str">
        <f t="shared" si="124"/>
        <v>Retired</v>
      </c>
      <c r="C145" s="110">
        <v>157</v>
      </c>
      <c r="D145" s="101" t="s">
        <v>151</v>
      </c>
      <c r="E145" s="103" t="s">
        <v>1004</v>
      </c>
      <c r="F145" s="186" t="s">
        <v>124</v>
      </c>
      <c r="G145" s="103" t="s">
        <v>797</v>
      </c>
      <c r="H145" s="103"/>
      <c r="I145" s="103" t="s">
        <v>797</v>
      </c>
      <c r="J145" s="103" t="s">
        <v>475</v>
      </c>
      <c r="K145" s="101" t="s">
        <v>1053</v>
      </c>
      <c r="L145" s="104" t="s">
        <v>1054</v>
      </c>
      <c r="M145" s="751" t="s">
        <v>164</v>
      </c>
      <c r="N145" s="755">
        <v>500</v>
      </c>
      <c r="O145" s="106" t="str" cm="1">
        <f t="array" ref="O145">_xlfn.IFS(N145="","",ABS(N145)&lt;='Risk Matrices'!$E$7,'Risk Matrices'!$E$5,ABS(N145)&lt;='Risk Matrices'!$F$7,'Risk Matrices'!$F$5,ABS(N145)&lt;='Risk Matrices'!$G$7,'Risk Matrices'!$G$5,ABS(N145)&lt;='Risk Matrices'!$H$7,'Risk Matrices'!$H$5,ABS(N145)&gt;'Risk Matrices'!$H$7,'Risk Matrices'!$I$5)</f>
        <v>Marginal</v>
      </c>
      <c r="P145" s="750">
        <v>18</v>
      </c>
      <c r="Q145" s="757" t="s">
        <v>280</v>
      </c>
      <c r="R145" s="757" t="s">
        <v>207</v>
      </c>
      <c r="S145" s="756">
        <f t="shared" si="126"/>
        <v>2</v>
      </c>
      <c r="T145" s="106" cm="1">
        <f t="array" ref="T145">_xlfn.IFS(O145='Risk Matrices'!$D$28,'Risk Matrices'!$D$29,O145='Risk Matrices'!$E$28,'Risk Matrices'!$E$29,O145='Risk Matrices'!$F$28,'Risk Matrices'!$F$29,O145='Risk Matrices'!$G$28,'Risk Matrices'!$G$29,O145='Risk Matrices'!$H$28,'Risk Matrices'!$H$29)</f>
        <v>2</v>
      </c>
      <c r="U145" s="756">
        <f t="shared" si="127"/>
        <v>2</v>
      </c>
      <c r="V145" s="756">
        <f t="shared" si="136"/>
        <v>1</v>
      </c>
      <c r="W145" s="756">
        <f t="shared" si="129"/>
        <v>2</v>
      </c>
      <c r="X145" s="756">
        <f t="shared" si="130"/>
        <v>4</v>
      </c>
      <c r="Y145" s="688" t="str">
        <f t="shared" si="131"/>
        <v>Low</v>
      </c>
      <c r="Z145" s="751"/>
      <c r="AA145" s="758">
        <f t="shared" si="132"/>
        <v>0.17</v>
      </c>
      <c r="AB145" s="759">
        <f t="shared" si="133"/>
        <v>85</v>
      </c>
      <c r="AC145" s="109" t="s">
        <v>155</v>
      </c>
      <c r="AD145" s="104" t="s">
        <v>1055</v>
      </c>
      <c r="AE145" s="104"/>
      <c r="AF145" s="104"/>
      <c r="AG145" s="104"/>
      <c r="AH145" s="104"/>
      <c r="AI145" s="112">
        <v>0.2</v>
      </c>
      <c r="AJ145" s="101">
        <v>500</v>
      </c>
      <c r="AK145" s="101">
        <v>500</v>
      </c>
      <c r="AL145" s="101">
        <v>500</v>
      </c>
      <c r="AM145" s="106">
        <v>18</v>
      </c>
      <c r="AN145" s="106">
        <v>18</v>
      </c>
      <c r="AO145" s="106">
        <v>18</v>
      </c>
      <c r="AP145" s="112" t="str">
        <f>IF(OR(ISBLANK(AI145),AI145=0),"INSERT LIKELIHOOD",IF(ABS(AI145)&lt;='Risk Matrices'!$D$22,'Risk Matrices'!$C$21,IF(ABS(AI145)&lt;='Risk Matrices'!$D$19,'Risk Matrices'!$C$18,IF(ABS(AI145)&lt;='Risk Matrices'!$D$16,'Risk Matrices'!$C$15,IF(ABS(AI145)&lt;='Risk Matrices'!$D$13,'Risk Matrices'!$C$12,'Risk Matrices'!$C$10)))))</f>
        <v>Low</v>
      </c>
      <c r="AQ145" s="112" t="str">
        <f>IF(OR(ISBLANK(AK145),AK145=0),"None",IF(ABS(AK145)&lt;='Risk Matrices'!$E$7,'Risk Matrices'!$E$5,IF(ABS(AK145)&lt;='Risk Matrices'!$G$7,'Risk Matrices'!$G$5,IF(ABS(AK145)&lt;='Risk Matrices'!$H$7,'Risk Matrices'!$H$5,'Risk Matrices'!$I$5))))</f>
        <v>Significant</v>
      </c>
      <c r="AR145" s="112" t="str">
        <f>IF(AN145="","",IF(ABS(AN145)&lt;='Risk Matrices'!$E$8,"Negligible",IF(ABS(AN145)&lt;='Risk Matrices'!$F$8,"Marginal",IF(ABS(AN145)&lt;='Risk Matrices'!$G$8,"Significant",IF(ABS(AN145)&lt;='Risk Matrices'!$H$8,"Critical","Crisis")))))</f>
        <v>Critical</v>
      </c>
      <c r="AS145" s="102" t="s">
        <v>207</v>
      </c>
      <c r="AT145" s="94">
        <f>IF(OR(ISBLANK(AI145),AI145=0),0,VLOOKUP(AP145,'Risk Matrices'!$B$30:$C$34,2,0))</f>
        <v>2</v>
      </c>
      <c r="AU145" s="298">
        <f>IF(OR(ISBLANK(AK145),AK145=0),0,HLOOKUP(AQ145,'Risk Matrices'!$D$28:$H$29,2,0))</f>
        <v>3</v>
      </c>
      <c r="AV145" s="298">
        <f>IF(OR(ISBLANK(AR145),AR145=0),0,HLOOKUP(AR145,'Risk Matrices'!$D$28:$H$29,2,0))</f>
        <v>4</v>
      </c>
      <c r="AW145" s="94">
        <f>IF(OR(ISBLANK(AS145),AS145=0),0,HLOOKUP(AS145,'Risk Matrices'!$D$28:$H$29,2,0))</f>
        <v>1</v>
      </c>
      <c r="AX145" s="106">
        <f t="shared" si="110"/>
        <v>4</v>
      </c>
      <c r="AY145" s="106">
        <f t="shared" si="118"/>
        <v>8</v>
      </c>
      <c r="AZ145" s="107" t="str">
        <f>IF(B145="Retired","Retired",IF(OR(ISBLANK(AY145),AY145=0),"TBD",IF(AY145&lt;='Risk Matrices'!$D$40,'Risk Matrices'!$B$40,IF(AY145&lt;='Risk Matrices'!$D$39,'Risk Matrices'!$B$39,'Risk Matrices'!$B$38))))</f>
        <v>Retired</v>
      </c>
      <c r="BA145" s="104"/>
      <c r="BB145" s="104"/>
      <c r="BC145" s="109" t="str">
        <f t="shared" si="112"/>
        <v>Retired</v>
      </c>
      <c r="BD145" s="104"/>
      <c r="BE145" s="104"/>
      <c r="BF145" s="104"/>
      <c r="BG145" s="104" t="s">
        <v>1052</v>
      </c>
      <c r="BH145" s="104"/>
      <c r="BI145" s="104"/>
      <c r="BJ145" s="874">
        <f t="shared" si="123"/>
        <v>100</v>
      </c>
      <c r="BK145" s="101" t="s">
        <v>311</v>
      </c>
      <c r="BL145" s="116">
        <v>44533</v>
      </c>
      <c r="BM145" s="116">
        <v>44012</v>
      </c>
      <c r="BN145" s="330">
        <v>44134</v>
      </c>
      <c r="BO145" s="332"/>
      <c r="BP145" s="94">
        <f t="shared" si="137"/>
        <v>133.33333333333334</v>
      </c>
      <c r="BQ145" s="97" t="str">
        <f t="shared" si="120"/>
        <v>500 - 500 - 500</v>
      </c>
      <c r="BR145" s="97" t="str">
        <f t="shared" si="121"/>
        <v>18 - 18 - 18</v>
      </c>
      <c r="BS145" s="715">
        <f t="shared" si="106"/>
        <v>100</v>
      </c>
      <c r="BT145" s="736">
        <f t="shared" si="122"/>
        <v>3.6</v>
      </c>
      <c r="BU145" s="735" t="s">
        <v>1056</v>
      </c>
      <c r="BV145" s="873"/>
    </row>
    <row r="146" spans="2:75" customFormat="1" ht="60" hidden="1" x14ac:dyDescent="0.2">
      <c r="B146" s="101" t="str">
        <f t="shared" si="124"/>
        <v>Retired</v>
      </c>
      <c r="C146" s="781" t="s">
        <v>1057</v>
      </c>
      <c r="D146" s="101" t="s">
        <v>151</v>
      </c>
      <c r="E146" s="103" t="s">
        <v>1004</v>
      </c>
      <c r="F146" s="186" t="s">
        <v>124</v>
      </c>
      <c r="G146" s="103" t="s">
        <v>797</v>
      </c>
      <c r="H146" s="103"/>
      <c r="I146" s="103" t="s">
        <v>797</v>
      </c>
      <c r="J146" s="102"/>
      <c r="K146" s="120" t="s">
        <v>1058</v>
      </c>
      <c r="L146" s="104" t="s">
        <v>1059</v>
      </c>
      <c r="M146" s="103" t="s">
        <v>141</v>
      </c>
      <c r="N146" s="105">
        <v>500</v>
      </c>
      <c r="O146" s="106" t="str" cm="1">
        <f t="array" ref="O146">_xlfn.IFS(N146="","",ABS(N146)&lt;='Risk Matrices'!$E$7,'Risk Matrices'!$E$5,ABS(N146)&lt;='Risk Matrices'!$F$7,'Risk Matrices'!$F$5,ABS(N146)&lt;='Risk Matrices'!$G$7,'Risk Matrices'!$G$5,ABS(N146)&lt;='Risk Matrices'!$H$7,'Risk Matrices'!$H$5,ABS(N146)&gt;'Risk Matrices'!$H$7,'Risk Matrices'!$I$5)</f>
        <v>Marginal</v>
      </c>
      <c r="P146" s="106">
        <v>6</v>
      </c>
      <c r="Q146" s="102" t="s">
        <v>280</v>
      </c>
      <c r="R146" s="102" t="s">
        <v>280</v>
      </c>
      <c r="S146" s="106">
        <f t="shared" si="126"/>
        <v>3</v>
      </c>
      <c r="T146" s="106" cm="1">
        <f t="array" ref="T146">_xlfn.IFS(O146='Risk Matrices'!$D$28,'Risk Matrices'!$D$29,O146='Risk Matrices'!$E$28,'Risk Matrices'!$E$29,O146='Risk Matrices'!$F$28,'Risk Matrices'!$F$29,O146='Risk Matrices'!$G$28,'Risk Matrices'!$G$29,O146='Risk Matrices'!$H$28,'Risk Matrices'!$H$29)</f>
        <v>2</v>
      </c>
      <c r="U146" s="106">
        <f t="shared" si="127"/>
        <v>2</v>
      </c>
      <c r="V146" s="106">
        <f t="shared" si="136"/>
        <v>2</v>
      </c>
      <c r="W146" s="106">
        <f t="shared" si="129"/>
        <v>2</v>
      </c>
      <c r="X146" s="106">
        <f t="shared" si="130"/>
        <v>6</v>
      </c>
      <c r="Y146" s="107" t="str">
        <f t="shared" si="131"/>
        <v>Low</v>
      </c>
      <c r="Z146" s="104"/>
      <c r="AA146" s="108">
        <f t="shared" si="132"/>
        <v>0.32</v>
      </c>
      <c r="AB146" s="109">
        <f t="shared" si="133"/>
        <v>160</v>
      </c>
      <c r="AC146" s="109" t="s">
        <v>155</v>
      </c>
      <c r="AD146" s="104" t="s">
        <v>1060</v>
      </c>
      <c r="AE146" s="104"/>
      <c r="AF146" s="104" t="s">
        <v>1061</v>
      </c>
      <c r="AG146" s="104"/>
      <c r="AH146" s="104"/>
      <c r="AI146" s="112">
        <v>0.1</v>
      </c>
      <c r="AJ146" s="106">
        <v>500</v>
      </c>
      <c r="AK146" s="106">
        <v>500</v>
      </c>
      <c r="AL146" s="106">
        <v>500</v>
      </c>
      <c r="AM146" s="106">
        <v>6</v>
      </c>
      <c r="AN146" s="106">
        <v>6</v>
      </c>
      <c r="AO146" s="106">
        <v>6</v>
      </c>
      <c r="AP146" s="112" t="str">
        <f>IF(OR(ISBLANK(AI146),AI146=0),"INSERT LIKELIHOOD",IF(ABS(AI146)&lt;='Risk Matrices'!$D$22,'Risk Matrices'!$C$21,IF(ABS(AI146)&lt;='Risk Matrices'!$D$19,'Risk Matrices'!$C$18,IF(ABS(AI146)&lt;='Risk Matrices'!$D$16,'Risk Matrices'!$C$15,IF(ABS(AI146)&lt;='Risk Matrices'!$D$13,'Risk Matrices'!$C$12,'Risk Matrices'!$C$10)))))</f>
        <v>Very Low</v>
      </c>
      <c r="AQ146" s="112" t="str">
        <f>IF(OR(ISBLANK(AK146),AK146=0),"None",IF(ABS(AK146)&lt;='Risk Matrices'!$E$7,'Risk Matrices'!$E$5,IF(ABS(AK146)&lt;='Risk Matrices'!$G$7,'Risk Matrices'!$G$5,IF(ABS(AK146)&lt;='Risk Matrices'!$H$7,'Risk Matrices'!$H$5,'Risk Matrices'!$I$5))))</f>
        <v>Significant</v>
      </c>
      <c r="AR146" s="112" t="str">
        <f>IF(AN146="","",IF(ABS(AN146)&lt;='Risk Matrices'!$E$8,"Negligible",IF(ABS(AN146)&lt;='Risk Matrices'!$F$8,"Marginal",IF(ABS(AN146)&lt;='Risk Matrices'!$G$8,"Significant",IF(ABS(AN146)&lt;='Risk Matrices'!$H$8,"Critical","Crisis")))))</f>
        <v>Marginal</v>
      </c>
      <c r="AS146" s="102" t="s">
        <v>280</v>
      </c>
      <c r="AT146" s="298">
        <f>IF(OR(ISBLANK(AI146),AI146=0),0,VLOOKUP(AP146,'Risk Matrices'!$B$30:$C$34,2,0))</f>
        <v>1</v>
      </c>
      <c r="AU146" s="298">
        <f>IF(OR(ISBLANK(AK146),AK146=0),0,HLOOKUP(AQ146,'Risk Matrices'!$D$28:$H$29,2,0))</f>
        <v>3</v>
      </c>
      <c r="AV146" s="298">
        <f>IF(OR(ISBLANK(AR146),AR146=0),0,HLOOKUP(AR146,'Risk Matrices'!$D$28:$H$29,2,0))</f>
        <v>2</v>
      </c>
      <c r="AW146" s="298">
        <f>IF(OR(ISBLANK(AS146),AS146=0),0,HLOOKUP(AS146,'Risk Matrices'!$D$28:$H$29,2,0))</f>
        <v>2</v>
      </c>
      <c r="AX146" s="106">
        <f t="shared" si="110"/>
        <v>3</v>
      </c>
      <c r="AY146" s="106">
        <f t="shared" si="118"/>
        <v>3</v>
      </c>
      <c r="AZ146" s="107" t="str">
        <f>IF(B146="Retired","Retired",IF(OR(ISBLANK(AY146),AY146=0),"TBD",IF(AY146&lt;='Risk Matrices'!$D$40,'Risk Matrices'!$B$40,IF(AY146&lt;='Risk Matrices'!$D$39,'Risk Matrices'!$B$39,'Risk Matrices'!$B$38))))</f>
        <v>Retired</v>
      </c>
      <c r="BA146" s="112"/>
      <c r="BB146" s="113"/>
      <c r="BC146" s="109" t="str">
        <f t="shared" si="112"/>
        <v>Retired</v>
      </c>
      <c r="BD146" s="113"/>
      <c r="BE146" s="114"/>
      <c r="BF146" s="115"/>
      <c r="BG146" s="115" t="s">
        <v>1062</v>
      </c>
      <c r="BH146" s="115"/>
      <c r="BI146" s="115"/>
      <c r="BJ146" s="874">
        <f t="shared" si="123"/>
        <v>50</v>
      </c>
      <c r="BK146" s="101" t="s">
        <v>311</v>
      </c>
      <c r="BL146" s="116">
        <v>44533</v>
      </c>
      <c r="BM146" s="116">
        <v>44012</v>
      </c>
      <c r="BN146" s="330">
        <v>44134</v>
      </c>
      <c r="BO146" s="332"/>
      <c r="BP146" s="94">
        <f t="shared" si="137"/>
        <v>66.666666666666671</v>
      </c>
      <c r="BQ146" s="97" t="str">
        <f t="shared" si="120"/>
        <v>500 - 500 - 500</v>
      </c>
      <c r="BR146" s="97" t="str">
        <f t="shared" si="121"/>
        <v>6 - 6 - 6</v>
      </c>
      <c r="BS146" s="715">
        <f t="shared" ref="BS146:BS177" si="138">BJ146</f>
        <v>50</v>
      </c>
      <c r="BT146" s="736">
        <f t="shared" si="122"/>
        <v>0.6</v>
      </c>
      <c r="BU146" s="735" t="s">
        <v>1057</v>
      </c>
      <c r="BV146" s="873"/>
    </row>
    <row r="147" spans="2:75" customFormat="1" ht="165" hidden="1" x14ac:dyDescent="0.2">
      <c r="B147" s="101" t="str">
        <f t="shared" si="124"/>
        <v>Retired</v>
      </c>
      <c r="C147" s="110">
        <v>143</v>
      </c>
      <c r="D147" s="101" t="s">
        <v>151</v>
      </c>
      <c r="E147" s="119" t="s">
        <v>1004</v>
      </c>
      <c r="F147" s="102" t="s">
        <v>124</v>
      </c>
      <c r="G147" s="354" t="s">
        <v>797</v>
      </c>
      <c r="H147" s="354"/>
      <c r="I147" s="354" t="s">
        <v>797</v>
      </c>
      <c r="J147" s="102"/>
      <c r="K147" s="103" t="s">
        <v>1063</v>
      </c>
      <c r="L147" s="110" t="s">
        <v>1064</v>
      </c>
      <c r="M147" s="104" t="s">
        <v>379</v>
      </c>
      <c r="N147" s="105">
        <v>2300</v>
      </c>
      <c r="O147" s="106" t="str" cm="1">
        <f t="array" ref="O147">_xlfn.IFS(N147="","",ABS(N147)&lt;='Risk Matrices'!$E$7,'Risk Matrices'!$E$5,ABS(N147)&lt;='Risk Matrices'!$F$7,'Risk Matrices'!$F$5,ABS(N147)&lt;='Risk Matrices'!$G$7,'Risk Matrices'!$G$5,ABS(N147)&lt;='Risk Matrices'!$H$7,'Risk Matrices'!$H$5,ABS(N147)&gt;'Risk Matrices'!$H$7,'Risk Matrices'!$I$5)</f>
        <v>Significant</v>
      </c>
      <c r="P147" s="101">
        <v>0</v>
      </c>
      <c r="Q147" s="101" t="s">
        <v>207</v>
      </c>
      <c r="R147" s="101" t="s">
        <v>280</v>
      </c>
      <c r="S147" s="106">
        <f t="shared" si="126"/>
        <v>1</v>
      </c>
      <c r="T147" s="106" cm="1">
        <f t="array" ref="T147">_xlfn.IFS(O147='Risk Matrices'!$D$28,'Risk Matrices'!$D$29,O147='Risk Matrices'!$E$28,'Risk Matrices'!$E$29,O147='Risk Matrices'!$F$28,'Risk Matrices'!$F$29,O147='Risk Matrices'!$G$28,'Risk Matrices'!$G$29,O147='Risk Matrices'!$H$28,'Risk Matrices'!$H$29)</f>
        <v>3</v>
      </c>
      <c r="U147" s="106">
        <f t="shared" si="127"/>
        <v>1</v>
      </c>
      <c r="V147" s="106">
        <f t="shared" si="136"/>
        <v>2</v>
      </c>
      <c r="W147" s="106">
        <f t="shared" si="129"/>
        <v>3</v>
      </c>
      <c r="X147" s="106">
        <f t="shared" si="130"/>
        <v>3</v>
      </c>
      <c r="Y147" s="107" t="str">
        <f t="shared" si="131"/>
        <v>Low</v>
      </c>
      <c r="Z147" s="104" t="s">
        <v>1065</v>
      </c>
      <c r="AA147" s="108">
        <f t="shared" si="132"/>
        <v>0.05</v>
      </c>
      <c r="AB147" s="109">
        <f t="shared" si="133"/>
        <v>115</v>
      </c>
      <c r="AC147" s="109" t="s">
        <v>155</v>
      </c>
      <c r="AD147" s="113" t="s">
        <v>1066</v>
      </c>
      <c r="AE147" s="113"/>
      <c r="AF147" s="104" t="s">
        <v>1067</v>
      </c>
      <c r="AG147" s="104"/>
      <c r="AH147" s="104"/>
      <c r="AI147" s="112">
        <v>0.1</v>
      </c>
      <c r="AJ147" s="101">
        <v>50</v>
      </c>
      <c r="AK147" s="101">
        <v>102</v>
      </c>
      <c r="AL147" s="101">
        <v>205</v>
      </c>
      <c r="AM147" s="106">
        <v>18</v>
      </c>
      <c r="AN147" s="106">
        <v>24</v>
      </c>
      <c r="AO147" s="106">
        <v>30</v>
      </c>
      <c r="AP147" s="112" t="str">
        <f>IF(OR(ISBLANK(AI147),AI147=0),"INSERT LIKELIHOOD",IF(ABS(AI147)&lt;='Risk Matrices'!$D$22,'Risk Matrices'!$C$21,IF(ABS(AI147)&lt;='Risk Matrices'!$D$19,'Risk Matrices'!$C$18,IF(ABS(AI147)&lt;='Risk Matrices'!$D$16,'Risk Matrices'!$C$15,IF(ABS(AI147)&lt;='Risk Matrices'!$D$13,'Risk Matrices'!$C$12,'Risk Matrices'!$C$10)))))</f>
        <v>Very Low</v>
      </c>
      <c r="AQ147" s="112" t="str">
        <f>IF(OR(ISBLANK(AK147),AK147=0),"",IF(ABS(AK147)&lt;='Risk Matrices'!$E$7,'Risk Matrices'!$E$5,IF(ABS(AK147)&lt;='Risk Matrices'!$G$7,'Risk Matrices'!$G$5,IF(ABS(AK147)&lt;='Risk Matrices'!$H$7,'Risk Matrices'!$H$5,'Risk Matrices'!$I$5))))</f>
        <v>Negligible</v>
      </c>
      <c r="AR147" s="112" t="str">
        <f>IF(AN147="","",IF(ABS(AN147)&lt;='Risk Matrices'!$E$8,"Negligible",IF(ABS(AN147)&lt;='Risk Matrices'!$F$8,"Marginal",IF(ABS(AN147)&lt;='Risk Matrices'!$G$8,"Significant",IF(ABS(AN147)&lt;='Risk Matrices'!$H$8,"Critical","Crisis")))))</f>
        <v>Critical</v>
      </c>
      <c r="AS147" s="102" t="s">
        <v>280</v>
      </c>
      <c r="AT147" s="298">
        <f>IF(OR(ISBLANK(AI147),AI147=0),0,VLOOKUP(AP147,'Risk Matrices'!$B$30:$C$34,2,0))</f>
        <v>1</v>
      </c>
      <c r="AU147" s="298">
        <f>IF(OR(ISBLANK(AK147),AK147=0),0,HLOOKUP(AQ147,'Risk Matrices'!$D$28:$H$29,2,0))</f>
        <v>1</v>
      </c>
      <c r="AV147" s="298">
        <f>IF(OR(ISBLANK(AR147),AR147=0),0,HLOOKUP(AR147,'Risk Matrices'!$D$28:$H$29,2,0))</f>
        <v>4</v>
      </c>
      <c r="AW147" s="298">
        <f>IF(OR(ISBLANK(AS147),AS147=0),0,HLOOKUP(AS147,'Risk Matrices'!$D$28:$H$29,2,0))</f>
        <v>2</v>
      </c>
      <c r="AX147" s="106">
        <f t="shared" si="110"/>
        <v>4</v>
      </c>
      <c r="AY147" s="106">
        <f t="shared" si="118"/>
        <v>4</v>
      </c>
      <c r="AZ147" s="107" t="str">
        <f>IF(B147="Retired","Retired",IF(OR(ISBLANK(AY147),AY147=0),"TBD",IF(AY147&lt;='Risk Matrices'!$D$40,'Risk Matrices'!$B$40,IF(AY147&lt;='Risk Matrices'!$D$39,'Risk Matrices'!$B$39,'Risk Matrices'!$B$38))))</f>
        <v>Retired</v>
      </c>
      <c r="BA147" s="104"/>
      <c r="BB147" s="104" t="s">
        <v>1068</v>
      </c>
      <c r="BC147" s="109" t="str">
        <f t="shared" si="112"/>
        <v>Retired</v>
      </c>
      <c r="BD147" s="104"/>
      <c r="BE147" s="104"/>
      <c r="BF147" s="104"/>
      <c r="BG147" s="355" t="s">
        <v>1069</v>
      </c>
      <c r="BH147" s="104"/>
      <c r="BI147" s="104"/>
      <c r="BJ147" s="874">
        <f t="shared" si="123"/>
        <v>11.9</v>
      </c>
      <c r="BK147" s="101" t="s">
        <v>311</v>
      </c>
      <c r="BL147" s="116">
        <v>44533</v>
      </c>
      <c r="BM147" s="116">
        <v>44012</v>
      </c>
      <c r="BN147" s="330">
        <v>44134</v>
      </c>
      <c r="BO147" s="332"/>
      <c r="BP147" s="94">
        <f t="shared" si="137"/>
        <v>15.3</v>
      </c>
      <c r="BQ147" s="97" t="str">
        <f t="shared" si="120"/>
        <v>50 - 102 - 205</v>
      </c>
      <c r="BR147" s="97" t="str">
        <f t="shared" si="121"/>
        <v>18 - 24 - 30</v>
      </c>
      <c r="BS147" s="715">
        <f t="shared" si="138"/>
        <v>11.9</v>
      </c>
      <c r="BT147" s="736">
        <f t="shared" si="122"/>
        <v>2.4</v>
      </c>
      <c r="BU147" s="735" t="s">
        <v>1070</v>
      </c>
      <c r="BV147" s="873"/>
    </row>
    <row r="148" spans="2:75" customFormat="1" ht="90" hidden="1" x14ac:dyDescent="0.2">
      <c r="B148" s="101" t="str">
        <f t="shared" si="124"/>
        <v>Retired</v>
      </c>
      <c r="C148" s="110">
        <v>145</v>
      </c>
      <c r="D148" s="101" t="s">
        <v>151</v>
      </c>
      <c r="E148" s="103" t="s">
        <v>1004</v>
      </c>
      <c r="F148" s="102" t="s">
        <v>124</v>
      </c>
      <c r="G148" s="103" t="s">
        <v>797</v>
      </c>
      <c r="H148" s="103"/>
      <c r="I148" s="103" t="s">
        <v>797</v>
      </c>
      <c r="J148" s="102"/>
      <c r="K148" s="103" t="s">
        <v>1071</v>
      </c>
      <c r="L148" s="104" t="s">
        <v>1072</v>
      </c>
      <c r="M148" s="104" t="s">
        <v>164</v>
      </c>
      <c r="N148" s="105">
        <v>500</v>
      </c>
      <c r="O148" s="106" t="str" cm="1">
        <f t="array" ref="O148">_xlfn.IFS(N148="","",ABS(N148)&lt;='Risk Matrices'!$E$7,'Risk Matrices'!$E$5,ABS(N148)&lt;='Risk Matrices'!$F$7,'Risk Matrices'!$F$5,ABS(N148)&lt;='Risk Matrices'!$G$7,'Risk Matrices'!$G$5,ABS(N148)&lt;='Risk Matrices'!$H$7,'Risk Matrices'!$H$5,ABS(N148)&gt;'Risk Matrices'!$H$7,'Risk Matrices'!$I$5)</f>
        <v>Marginal</v>
      </c>
      <c r="P148" s="106">
        <v>0</v>
      </c>
      <c r="Q148" s="101" t="s">
        <v>280</v>
      </c>
      <c r="R148" s="101" t="s">
        <v>207</v>
      </c>
      <c r="S148" s="106">
        <f t="shared" si="126"/>
        <v>2</v>
      </c>
      <c r="T148" s="106" cm="1">
        <f t="array" ref="T148">_xlfn.IFS(O148='Risk Matrices'!$D$28,'Risk Matrices'!$D$29,O148='Risk Matrices'!$E$28,'Risk Matrices'!$E$29,O148='Risk Matrices'!$F$28,'Risk Matrices'!$F$29,O148='Risk Matrices'!$G$28,'Risk Matrices'!$G$29,O148='Risk Matrices'!$H$28,'Risk Matrices'!$H$29)</f>
        <v>2</v>
      </c>
      <c r="U148" s="106">
        <f t="shared" si="127"/>
        <v>2</v>
      </c>
      <c r="V148" s="106">
        <f t="shared" si="136"/>
        <v>1</v>
      </c>
      <c r="W148" s="106">
        <f t="shared" si="129"/>
        <v>2</v>
      </c>
      <c r="X148" s="106">
        <f t="shared" si="130"/>
        <v>4</v>
      </c>
      <c r="Y148" s="107" t="str">
        <f t="shared" si="131"/>
        <v>Low</v>
      </c>
      <c r="Z148" s="104"/>
      <c r="AA148" s="108">
        <f t="shared" si="132"/>
        <v>0.17</v>
      </c>
      <c r="AB148" s="109">
        <f t="shared" si="133"/>
        <v>85</v>
      </c>
      <c r="AC148" s="109" t="s">
        <v>155</v>
      </c>
      <c r="AD148" s="104" t="s">
        <v>1073</v>
      </c>
      <c r="AE148" s="104"/>
      <c r="AF148" s="104" t="s">
        <v>1074</v>
      </c>
      <c r="AG148" s="104"/>
      <c r="AH148" s="104"/>
      <c r="AI148" s="112">
        <v>0.1</v>
      </c>
      <c r="AJ148" s="101">
        <v>500</v>
      </c>
      <c r="AK148" s="101">
        <v>500</v>
      </c>
      <c r="AL148" s="101">
        <v>500</v>
      </c>
      <c r="AM148" s="106">
        <v>0</v>
      </c>
      <c r="AN148" s="106">
        <v>0</v>
      </c>
      <c r="AO148" s="106">
        <v>0</v>
      </c>
      <c r="AP148" s="112" t="str">
        <f>IF(OR(ISBLANK(AI148),AI148=0),"INSERT LIKELIHOOD",IF(ABS(AI148)&lt;='Risk Matrices'!$D$22,'Risk Matrices'!$C$21,IF(ABS(AI148)&lt;='Risk Matrices'!$D$19,'Risk Matrices'!$C$18,IF(ABS(AI148)&lt;='Risk Matrices'!$D$16,'Risk Matrices'!$C$15,IF(ABS(AI148)&lt;='Risk Matrices'!$D$13,'Risk Matrices'!$C$12,'Risk Matrices'!$C$10)))))</f>
        <v>Very Low</v>
      </c>
      <c r="AQ148" s="112" t="str">
        <f>IF(OR(ISBLANK(AK148),AK148=0),"",IF(ABS(AK148)&lt;='Risk Matrices'!$E$7,'Risk Matrices'!$E$5,IF(ABS(AK148)&lt;='Risk Matrices'!$G$7,'Risk Matrices'!$G$5,IF(ABS(AK148)&lt;='Risk Matrices'!$H$7,'Risk Matrices'!$H$5,'Risk Matrices'!$I$5))))</f>
        <v>Significant</v>
      </c>
      <c r="AR148" s="112" t="str">
        <f>IF(AN148="","",IF(ABS(AN148)&lt;='Risk Matrices'!$E$8,"Negligible",IF(ABS(AN148)&lt;='Risk Matrices'!$F$8,"Marginal",IF(ABS(AN148)&lt;='Risk Matrices'!$G$8,"Significant",IF(ABS(AN148)&lt;='Risk Matrices'!$H$8,"Critical","Crisis")))))</f>
        <v>Negligible</v>
      </c>
      <c r="AS148" s="102" t="s">
        <v>207</v>
      </c>
      <c r="AT148" s="298">
        <f>IF(OR(ISBLANK(AI148),AI148=0),0,VLOOKUP(AP148,'Risk Matrices'!$B$30:$C$34,2,0))</f>
        <v>1</v>
      </c>
      <c r="AU148" s="298">
        <f>IF(OR(ISBLANK(AK148),AK148=0),0,HLOOKUP(AQ148,'Risk Matrices'!$D$28:$H$29,2,0))</f>
        <v>3</v>
      </c>
      <c r="AV148" s="298">
        <f>IF(OR(ISBLANK(AR148),AR148=0),0,HLOOKUP(AR148,'Risk Matrices'!$D$28:$H$29,2,0))</f>
        <v>1</v>
      </c>
      <c r="AW148" s="298">
        <f>IF(OR(ISBLANK(AS148),AS148=0),0,HLOOKUP(AS148,'Risk Matrices'!$D$28:$H$29,2,0))</f>
        <v>1</v>
      </c>
      <c r="AX148" s="106">
        <f t="shared" si="110"/>
        <v>3</v>
      </c>
      <c r="AY148" s="106">
        <f t="shared" si="118"/>
        <v>3</v>
      </c>
      <c r="AZ148" s="107" t="str">
        <f>IF(B148="Retired","Retired",IF(OR(ISBLANK(AY148),AY148=0),"TBD",IF(AY148&lt;='Risk Matrices'!$D$40,'Risk Matrices'!$B$40,IF(AY148&lt;='Risk Matrices'!$D$39,'Risk Matrices'!$B$39,'Risk Matrices'!$B$38))))</f>
        <v>Retired</v>
      </c>
      <c r="BA148" s="104"/>
      <c r="BB148" s="104"/>
      <c r="BC148" s="109" t="str">
        <f t="shared" si="112"/>
        <v>Retired</v>
      </c>
      <c r="BD148" s="104"/>
      <c r="BE148" s="104"/>
      <c r="BF148" s="104"/>
      <c r="BG148" s="104" t="s">
        <v>1075</v>
      </c>
      <c r="BH148" s="104"/>
      <c r="BI148" s="104"/>
      <c r="BJ148" s="874">
        <f t="shared" si="123"/>
        <v>50</v>
      </c>
      <c r="BK148" s="101" t="s">
        <v>311</v>
      </c>
      <c r="BL148" s="116">
        <v>44533</v>
      </c>
      <c r="BM148" s="116">
        <v>44012</v>
      </c>
      <c r="BN148" s="330">
        <v>44134</v>
      </c>
      <c r="BO148" s="332"/>
      <c r="BP148" s="94">
        <f t="shared" si="137"/>
        <v>66.666666666666671</v>
      </c>
      <c r="BQ148" s="97" t="str">
        <f t="shared" si="120"/>
        <v>500 - 500 - 500</v>
      </c>
      <c r="BR148" s="97" t="str">
        <f t="shared" si="121"/>
        <v>0 - 0 - 0</v>
      </c>
      <c r="BS148" s="715">
        <f t="shared" si="138"/>
        <v>50</v>
      </c>
      <c r="BT148" s="736">
        <f t="shared" si="122"/>
        <v>0</v>
      </c>
      <c r="BU148" s="735" t="s">
        <v>1076</v>
      </c>
      <c r="BV148" s="873"/>
    </row>
    <row r="149" spans="2:75" customFormat="1" ht="75" hidden="1" x14ac:dyDescent="0.2">
      <c r="B149" s="101" t="str">
        <f t="shared" si="124"/>
        <v>Retired</v>
      </c>
      <c r="C149" s="780">
        <v>53</v>
      </c>
      <c r="D149" s="101" t="s">
        <v>151</v>
      </c>
      <c r="E149" s="103" t="s">
        <v>1004</v>
      </c>
      <c r="F149" s="186" t="s">
        <v>124</v>
      </c>
      <c r="G149" s="103" t="s">
        <v>797</v>
      </c>
      <c r="H149" s="103"/>
      <c r="I149" s="103" t="s">
        <v>797</v>
      </c>
      <c r="J149" s="102"/>
      <c r="K149" s="120" t="s">
        <v>1077</v>
      </c>
      <c r="L149" s="104" t="s">
        <v>1078</v>
      </c>
      <c r="M149" s="103" t="s">
        <v>141</v>
      </c>
      <c r="N149" s="105">
        <v>1000</v>
      </c>
      <c r="O149" s="106" t="str" cm="1">
        <f t="array" ref="O149">_xlfn.IFS(N149="","",ABS(N149)&lt;='Risk Matrices'!$E$7,'Risk Matrices'!$E$5,ABS(N149)&lt;='Risk Matrices'!$F$7,'Risk Matrices'!$F$5,ABS(N149)&lt;='Risk Matrices'!$G$7,'Risk Matrices'!$G$5,ABS(N149)&lt;='Risk Matrices'!$H$7,'Risk Matrices'!$H$5,ABS(N149)&gt;'Risk Matrices'!$H$7,'Risk Matrices'!$I$5)</f>
        <v>Marginal</v>
      </c>
      <c r="P149" s="106">
        <v>0</v>
      </c>
      <c r="Q149" s="102" t="s">
        <v>280</v>
      </c>
      <c r="R149" s="102" t="s">
        <v>280</v>
      </c>
      <c r="S149" s="106">
        <f t="shared" si="126"/>
        <v>3</v>
      </c>
      <c r="T149" s="106" cm="1">
        <f t="array" ref="T149">_xlfn.IFS(O149='Risk Matrices'!$D$28,'Risk Matrices'!$D$29,O149='Risk Matrices'!$E$28,'Risk Matrices'!$E$29,O149='Risk Matrices'!$F$28,'Risk Matrices'!$F$29,O149='Risk Matrices'!$G$28,'Risk Matrices'!$G$29,O149='Risk Matrices'!$H$28,'Risk Matrices'!$H$29)</f>
        <v>2</v>
      </c>
      <c r="U149" s="106">
        <f t="shared" si="127"/>
        <v>2</v>
      </c>
      <c r="V149" s="106">
        <f t="shared" si="136"/>
        <v>2</v>
      </c>
      <c r="W149" s="106">
        <f t="shared" si="129"/>
        <v>2</v>
      </c>
      <c r="X149" s="106">
        <f t="shared" si="130"/>
        <v>6</v>
      </c>
      <c r="Y149" s="107" t="str">
        <f t="shared" si="131"/>
        <v>Low</v>
      </c>
      <c r="Z149" s="104"/>
      <c r="AA149" s="108">
        <f t="shared" si="132"/>
        <v>0.32</v>
      </c>
      <c r="AB149" s="109">
        <f t="shared" si="133"/>
        <v>320</v>
      </c>
      <c r="AC149" s="109" t="s">
        <v>155</v>
      </c>
      <c r="AD149" s="104" t="s">
        <v>1079</v>
      </c>
      <c r="AE149" s="104"/>
      <c r="AF149" s="104" t="s">
        <v>1080</v>
      </c>
      <c r="AG149" s="104"/>
      <c r="AH149" s="104"/>
      <c r="AI149" s="112">
        <v>0.2</v>
      </c>
      <c r="AJ149" s="106">
        <v>1000</v>
      </c>
      <c r="AK149" s="106">
        <v>1000</v>
      </c>
      <c r="AL149" s="106">
        <v>1000</v>
      </c>
      <c r="AM149" s="106">
        <v>0</v>
      </c>
      <c r="AN149" s="106">
        <v>0</v>
      </c>
      <c r="AO149" s="106">
        <v>0</v>
      </c>
      <c r="AP149" s="112" t="str">
        <f>IF(OR(ISBLANK(AI149),AI149=0),"INSERT LIKELIHOOD",IF(ABS(AI149)&lt;='Risk Matrices'!$D$22,'Risk Matrices'!$C$21,IF(ABS(AI149)&lt;='Risk Matrices'!$D$19,'Risk Matrices'!$C$18,IF(ABS(AI149)&lt;='Risk Matrices'!$D$16,'Risk Matrices'!$C$15,IF(ABS(AI149)&lt;='Risk Matrices'!$D$13,'Risk Matrices'!$C$12,'Risk Matrices'!$C$10)))))</f>
        <v>Low</v>
      </c>
      <c r="AQ149" s="112" t="str">
        <f>IF(OR(ISBLANK(AK149),AK149=0),"",IF(ABS(AK149)&lt;='Risk Matrices'!$E$7,'Risk Matrices'!$E$5,IF(ABS(AK149)&lt;='Risk Matrices'!$G$7,'Risk Matrices'!$G$5,IF(ABS(AK149)&lt;='Risk Matrices'!$H$7,'Risk Matrices'!$H$5,'Risk Matrices'!$I$5))))</f>
        <v>Significant</v>
      </c>
      <c r="AR149" s="112" t="str">
        <f>IF(AN149="","",IF(ABS(AN149)&lt;='Risk Matrices'!$E$8,"Negligible",IF(ABS(AN149)&lt;='Risk Matrices'!$F$8,"Marginal",IF(ABS(AN149)&lt;='Risk Matrices'!$G$8,"Significant",IF(ABS(AN149)&lt;='Risk Matrices'!$H$8,"Critical","Crisis")))))</f>
        <v>Negligible</v>
      </c>
      <c r="AS149" s="102" t="s">
        <v>280</v>
      </c>
      <c r="AT149" s="298">
        <f>IF(OR(ISBLANK(AI149),AI149=0),0,VLOOKUP(AP149,'Risk Matrices'!$B$30:$C$34,2,0))</f>
        <v>2</v>
      </c>
      <c r="AU149" s="298">
        <f>IF(OR(ISBLANK(AK149),AK149=0),0,HLOOKUP(AQ149,'Risk Matrices'!$D$28:$H$29,2,0))</f>
        <v>3</v>
      </c>
      <c r="AV149" s="298">
        <f>IF(OR(ISBLANK(AR149),AR149=0),0,HLOOKUP(AR149,'Risk Matrices'!$D$28:$H$29,2,0))</f>
        <v>1</v>
      </c>
      <c r="AW149" s="298">
        <f>IF(OR(ISBLANK(AS149),AS149=0),0,HLOOKUP(AS149,'Risk Matrices'!$D$28:$H$29,2,0))</f>
        <v>2</v>
      </c>
      <c r="AX149" s="106">
        <f t="shared" si="110"/>
        <v>3</v>
      </c>
      <c r="AY149" s="106">
        <f t="shared" si="118"/>
        <v>6</v>
      </c>
      <c r="AZ149" s="107" t="str">
        <f>IF(B149="Retired","Retired",IF(OR(ISBLANK(AY149),AY149=0),"TBD",IF(AY149&lt;='Risk Matrices'!$D$40,'Risk Matrices'!$B$40,IF(AY149&lt;='Risk Matrices'!$D$39,'Risk Matrices'!$B$39,'Risk Matrices'!$B$38))))</f>
        <v>Retired</v>
      </c>
      <c r="BA149" s="112"/>
      <c r="BB149" s="113"/>
      <c r="BC149" s="109" t="str">
        <f t="shared" si="112"/>
        <v>Retired</v>
      </c>
      <c r="BD149" s="113"/>
      <c r="BE149" s="114"/>
      <c r="BF149" s="115"/>
      <c r="BG149" s="115" t="s">
        <v>1062</v>
      </c>
      <c r="BH149" s="115"/>
      <c r="BI149" s="115"/>
      <c r="BJ149" s="874">
        <f t="shared" si="123"/>
        <v>200</v>
      </c>
      <c r="BK149" s="101" t="s">
        <v>311</v>
      </c>
      <c r="BL149" s="116">
        <v>44533</v>
      </c>
      <c r="BM149" s="116">
        <v>44012</v>
      </c>
      <c r="BN149" s="330">
        <v>44134</v>
      </c>
      <c r="BO149" s="332"/>
      <c r="BP149" s="94">
        <f t="shared" si="137"/>
        <v>266.66666666666669</v>
      </c>
      <c r="BQ149" s="97" t="str">
        <f t="shared" si="120"/>
        <v>1000 - 1000 - 1000</v>
      </c>
      <c r="BR149" s="97" t="str">
        <f t="shared" si="121"/>
        <v>0 - 0 - 0</v>
      </c>
      <c r="BS149" s="715">
        <f t="shared" si="138"/>
        <v>200</v>
      </c>
      <c r="BT149" s="736">
        <f t="shared" si="122"/>
        <v>0</v>
      </c>
      <c r="BU149" s="735" t="s">
        <v>1081</v>
      </c>
    </row>
    <row r="150" spans="2:75" customFormat="1" ht="45" hidden="1" x14ac:dyDescent="0.2">
      <c r="B150" s="101" t="str">
        <f t="shared" si="124"/>
        <v>Retired</v>
      </c>
      <c r="C150" s="780">
        <v>56</v>
      </c>
      <c r="D150" s="101" t="s">
        <v>151</v>
      </c>
      <c r="E150" s="103" t="s">
        <v>1004</v>
      </c>
      <c r="F150" s="186" t="s">
        <v>124</v>
      </c>
      <c r="G150" s="103" t="s">
        <v>797</v>
      </c>
      <c r="H150" s="103"/>
      <c r="I150" s="103" t="s">
        <v>797</v>
      </c>
      <c r="J150" s="102"/>
      <c r="K150" s="103" t="s">
        <v>1082</v>
      </c>
      <c r="L150" s="104" t="s">
        <v>1083</v>
      </c>
      <c r="M150" s="103" t="s">
        <v>164</v>
      </c>
      <c r="N150" s="105">
        <v>500</v>
      </c>
      <c r="O150" s="106" t="str" cm="1">
        <f t="array" ref="O150">_xlfn.IFS(N150="","",ABS(N150)&lt;='Risk Matrices'!$E$7,'Risk Matrices'!$E$5,ABS(N150)&lt;='Risk Matrices'!$F$7,'Risk Matrices'!$F$5,ABS(N150)&lt;='Risk Matrices'!$G$7,'Risk Matrices'!$G$5,ABS(N150)&lt;='Risk Matrices'!$H$7,'Risk Matrices'!$H$5,ABS(N150)&gt;'Risk Matrices'!$H$7,'Risk Matrices'!$I$5)</f>
        <v>Marginal</v>
      </c>
      <c r="P150" s="106">
        <v>0</v>
      </c>
      <c r="Q150" s="102" t="s">
        <v>280</v>
      </c>
      <c r="R150" s="102" t="s">
        <v>280</v>
      </c>
      <c r="S150" s="106">
        <f t="shared" si="126"/>
        <v>2</v>
      </c>
      <c r="T150" s="106" cm="1">
        <f t="array" ref="T150">_xlfn.IFS(O150='Risk Matrices'!$D$28,'Risk Matrices'!$D$29,O150='Risk Matrices'!$E$28,'Risk Matrices'!$E$29,O150='Risk Matrices'!$F$28,'Risk Matrices'!$F$29,O150='Risk Matrices'!$G$28,'Risk Matrices'!$G$29,O150='Risk Matrices'!$H$28,'Risk Matrices'!$H$29)</f>
        <v>2</v>
      </c>
      <c r="U150" s="106">
        <f t="shared" si="127"/>
        <v>2</v>
      </c>
      <c r="V150" s="106">
        <f t="shared" si="136"/>
        <v>2</v>
      </c>
      <c r="W150" s="106">
        <f t="shared" si="129"/>
        <v>2</v>
      </c>
      <c r="X150" s="106">
        <f t="shared" si="130"/>
        <v>4</v>
      </c>
      <c r="Y150" s="107" t="str">
        <f t="shared" si="131"/>
        <v>Low</v>
      </c>
      <c r="Z150" s="104"/>
      <c r="AA150" s="108">
        <f t="shared" si="132"/>
        <v>0.17</v>
      </c>
      <c r="AB150" s="109">
        <f t="shared" si="133"/>
        <v>85</v>
      </c>
      <c r="AC150" s="109" t="s">
        <v>155</v>
      </c>
      <c r="AD150" s="104" t="s">
        <v>1084</v>
      </c>
      <c r="AE150" s="104"/>
      <c r="AF150" s="104" t="s">
        <v>1085</v>
      </c>
      <c r="AG150" s="104"/>
      <c r="AH150" s="104"/>
      <c r="AI150" s="112">
        <v>0.3</v>
      </c>
      <c r="AJ150" s="106">
        <v>500</v>
      </c>
      <c r="AK150" s="106">
        <v>500</v>
      </c>
      <c r="AL150" s="106">
        <v>500</v>
      </c>
      <c r="AM150" s="106">
        <v>0</v>
      </c>
      <c r="AN150" s="106">
        <v>0</v>
      </c>
      <c r="AO150" s="106">
        <v>0</v>
      </c>
      <c r="AP150" s="112" t="str">
        <f>IF(OR(ISBLANK(AI150),AI150=0),"INSERT LIKELIHOOD",IF(ABS(AI150)&lt;='Risk Matrices'!$D$22,'Risk Matrices'!$C$21,IF(ABS(AI150)&lt;='Risk Matrices'!$D$19,'Risk Matrices'!$C$18,IF(ABS(AI150)&lt;='Risk Matrices'!$D$16,'Risk Matrices'!$C$15,IF(ABS(AI150)&lt;='Risk Matrices'!$D$13,'Risk Matrices'!$C$12,'Risk Matrices'!$C$10)))))</f>
        <v>Moderate</v>
      </c>
      <c r="AQ150" s="112" t="str">
        <f>IF(OR(ISBLANK(AK150),AK150=0),"",IF(ABS(AK150)&lt;='Risk Matrices'!$E$7,'Risk Matrices'!$E$5,IF(ABS(AK150)&lt;='Risk Matrices'!$G$7,'Risk Matrices'!$G$5,IF(ABS(AK150)&lt;='Risk Matrices'!$H$7,'Risk Matrices'!$H$5,'Risk Matrices'!$I$5))))</f>
        <v>Significant</v>
      </c>
      <c r="AR150" s="112" t="str">
        <f>IF(AN150="","",IF(ABS(AN150)&lt;='Risk Matrices'!$E$8,"Negligible",IF(ABS(AN150)&lt;='Risk Matrices'!$F$8,"Marginal",IF(ABS(AN150)&lt;='Risk Matrices'!$G$8,"Significant",IF(ABS(AN150)&lt;='Risk Matrices'!$H$8,"Critical","Crisis")))))</f>
        <v>Negligible</v>
      </c>
      <c r="AS150" s="102" t="s">
        <v>280</v>
      </c>
      <c r="AT150" s="298">
        <f>IF(OR(ISBLANK(AI150),AI150=0),0,VLOOKUP(AP150,'Risk Matrices'!$B$30:$C$34,2,0))</f>
        <v>3</v>
      </c>
      <c r="AU150" s="298">
        <f>IF(OR(ISBLANK(AK150),AK150=0),0,HLOOKUP(AQ150,'Risk Matrices'!$D$28:$H$29,2,0))</f>
        <v>3</v>
      </c>
      <c r="AV150" s="298">
        <f>IF(OR(ISBLANK(AR150),AR150=0),0,HLOOKUP(AR150,'Risk Matrices'!$D$28:$H$29,2,0))</f>
        <v>1</v>
      </c>
      <c r="AW150" s="298">
        <f>IF(OR(ISBLANK(AS150),AS150=0),0,HLOOKUP(AS150,'Risk Matrices'!$D$28:$H$29,2,0))</f>
        <v>2</v>
      </c>
      <c r="AX150" s="106">
        <f t="shared" si="110"/>
        <v>3</v>
      </c>
      <c r="AY150" s="106">
        <f t="shared" si="118"/>
        <v>9</v>
      </c>
      <c r="AZ150" s="107" t="str">
        <f>IF(B150="Retired","Retired",IF(OR(ISBLANK(AY150),AY150=0),"TBD",IF(AY150&lt;='Risk Matrices'!$D$40,'Risk Matrices'!$B$40,IF(AY150&lt;='Risk Matrices'!$D$39,'Risk Matrices'!$B$39,'Risk Matrices'!$B$38))))</f>
        <v>Retired</v>
      </c>
      <c r="BA150" s="112"/>
      <c r="BB150" s="113"/>
      <c r="BC150" s="109" t="str">
        <f t="shared" si="112"/>
        <v>Retired</v>
      </c>
      <c r="BD150" s="113"/>
      <c r="BE150" s="114"/>
      <c r="BF150" s="188"/>
      <c r="BG150" s="115" t="s">
        <v>1062</v>
      </c>
      <c r="BH150" s="115"/>
      <c r="BI150" s="115"/>
      <c r="BJ150" s="874">
        <f t="shared" si="123"/>
        <v>150</v>
      </c>
      <c r="BK150" s="101" t="s">
        <v>311</v>
      </c>
      <c r="BL150" s="116">
        <v>44533</v>
      </c>
      <c r="BM150" s="116">
        <v>44012</v>
      </c>
      <c r="BN150" s="330">
        <v>44134</v>
      </c>
      <c r="BO150" s="332"/>
      <c r="BP150" s="94">
        <f t="shared" si="137"/>
        <v>199.99999999999997</v>
      </c>
      <c r="BQ150" s="97" t="str">
        <f t="shared" si="120"/>
        <v>500 - 500 - 500</v>
      </c>
      <c r="BR150" s="97" t="str">
        <f t="shared" si="121"/>
        <v>0 - 0 - 0</v>
      </c>
      <c r="BS150" s="715">
        <f t="shared" si="138"/>
        <v>150</v>
      </c>
      <c r="BT150" s="736">
        <f t="shared" si="122"/>
        <v>0</v>
      </c>
      <c r="BU150" s="735" t="s">
        <v>1086</v>
      </c>
    </row>
    <row r="151" spans="2:75" customFormat="1" ht="60" hidden="1" x14ac:dyDescent="0.2">
      <c r="B151" s="101" t="str">
        <f t="shared" si="124"/>
        <v>Retired</v>
      </c>
      <c r="C151" s="780">
        <v>57</v>
      </c>
      <c r="D151" s="101" t="s">
        <v>151</v>
      </c>
      <c r="E151" s="103" t="s">
        <v>1004</v>
      </c>
      <c r="F151" s="186" t="s">
        <v>124</v>
      </c>
      <c r="G151" s="103" t="s">
        <v>797</v>
      </c>
      <c r="H151" s="103"/>
      <c r="I151" s="103" t="s">
        <v>797</v>
      </c>
      <c r="J151" s="102"/>
      <c r="K151" s="103" t="s">
        <v>1087</v>
      </c>
      <c r="L151" s="104" t="s">
        <v>1088</v>
      </c>
      <c r="M151" s="103" t="s">
        <v>164</v>
      </c>
      <c r="N151" s="105">
        <v>250</v>
      </c>
      <c r="O151" s="106" t="str" cm="1">
        <f t="array" ref="O151">_xlfn.IFS(N151="","",ABS(N151)&lt;='Risk Matrices'!$E$7,'Risk Matrices'!$E$5,ABS(N151)&lt;='Risk Matrices'!$F$7,'Risk Matrices'!$F$5,ABS(N151)&lt;='Risk Matrices'!$G$7,'Risk Matrices'!$G$5,ABS(N151)&lt;='Risk Matrices'!$H$7,'Risk Matrices'!$H$5,ABS(N151)&gt;'Risk Matrices'!$H$7,'Risk Matrices'!$I$5)</f>
        <v>Negligible</v>
      </c>
      <c r="P151" s="106">
        <v>0</v>
      </c>
      <c r="Q151" s="102" t="s">
        <v>280</v>
      </c>
      <c r="R151" s="102" t="s">
        <v>280</v>
      </c>
      <c r="S151" s="106">
        <f t="shared" si="126"/>
        <v>2</v>
      </c>
      <c r="T151" s="106" cm="1">
        <f t="array" ref="T151">_xlfn.IFS(O151='Risk Matrices'!$D$28,'Risk Matrices'!$D$29,O151='Risk Matrices'!$E$28,'Risk Matrices'!$E$29,O151='Risk Matrices'!$F$28,'Risk Matrices'!$F$29,O151='Risk Matrices'!$G$28,'Risk Matrices'!$G$29,O151='Risk Matrices'!$H$28,'Risk Matrices'!$H$29)</f>
        <v>1</v>
      </c>
      <c r="U151" s="106">
        <f t="shared" si="127"/>
        <v>2</v>
      </c>
      <c r="V151" s="106">
        <f t="shared" si="136"/>
        <v>2</v>
      </c>
      <c r="W151" s="106">
        <f t="shared" si="129"/>
        <v>2</v>
      </c>
      <c r="X151" s="106">
        <f t="shared" si="130"/>
        <v>4</v>
      </c>
      <c r="Y151" s="107" t="str">
        <f t="shared" si="131"/>
        <v>Low</v>
      </c>
      <c r="Z151" s="104"/>
      <c r="AA151" s="108">
        <f t="shared" si="132"/>
        <v>0.17</v>
      </c>
      <c r="AB151" s="109">
        <f t="shared" si="133"/>
        <v>42.5</v>
      </c>
      <c r="AC151" s="109" t="s">
        <v>155</v>
      </c>
      <c r="AD151" s="104" t="s">
        <v>1089</v>
      </c>
      <c r="AE151" s="104"/>
      <c r="AF151" s="104"/>
      <c r="AG151" s="104"/>
      <c r="AH151" s="104"/>
      <c r="AI151" s="112">
        <v>0.2</v>
      </c>
      <c r="AJ151" s="106">
        <v>250</v>
      </c>
      <c r="AK151" s="106">
        <v>250</v>
      </c>
      <c r="AL151" s="106">
        <v>250</v>
      </c>
      <c r="AM151" s="106">
        <v>0</v>
      </c>
      <c r="AN151" s="106">
        <v>0</v>
      </c>
      <c r="AO151" s="106">
        <v>0</v>
      </c>
      <c r="AP151" s="112" t="str">
        <f>IF(OR(ISBLANK(AI151),AI151=0),"INSERT LIKELIHOOD",IF(ABS(AI151)&lt;='Risk Matrices'!$D$22,'Risk Matrices'!$C$21,IF(ABS(AI151)&lt;='Risk Matrices'!$D$19,'Risk Matrices'!$C$18,IF(ABS(AI151)&lt;='Risk Matrices'!$D$16,'Risk Matrices'!$C$15,IF(ABS(AI151)&lt;='Risk Matrices'!$D$13,'Risk Matrices'!$C$12,'Risk Matrices'!$C$10)))))</f>
        <v>Low</v>
      </c>
      <c r="AQ151" s="112" t="str">
        <f>IF(OR(ISBLANK(AK151),AK151=0),"",IF(ABS(AK151)&lt;='Risk Matrices'!$E$7,'Risk Matrices'!$E$5,IF(ABS(AK151)&lt;='Risk Matrices'!$G$7,'Risk Matrices'!$G$5,IF(ABS(AK151)&lt;='Risk Matrices'!$H$7,'Risk Matrices'!$H$5,'Risk Matrices'!$I$5))))</f>
        <v>Negligible</v>
      </c>
      <c r="AR151" s="112" t="str">
        <f>IF(AN151="","",IF(ABS(AN151)&lt;='Risk Matrices'!$E$8,"Negligible",IF(ABS(AN151)&lt;='Risk Matrices'!$F$8,"Marginal",IF(ABS(AN151)&lt;='Risk Matrices'!$G$8,"Significant",IF(ABS(AN151)&lt;='Risk Matrices'!$H$8,"Critical","Crisis")))))</f>
        <v>Negligible</v>
      </c>
      <c r="AS151" s="102" t="s">
        <v>280</v>
      </c>
      <c r="AT151" s="298">
        <f>IF(OR(ISBLANK(AI151),AI151=0),0,VLOOKUP(AP151,'Risk Matrices'!$B$30:$C$34,2,0))</f>
        <v>2</v>
      </c>
      <c r="AU151" s="298">
        <f>IF(OR(ISBLANK(AK151),AK151=0),0,HLOOKUP(AQ151,'Risk Matrices'!$D$28:$H$29,2,0))</f>
        <v>1</v>
      </c>
      <c r="AV151" s="298">
        <f>IF(OR(ISBLANK(AR151),AR151=0),0,HLOOKUP(AR151,'Risk Matrices'!$D$28:$H$29,2,0))</f>
        <v>1</v>
      </c>
      <c r="AW151" s="298">
        <f>IF(OR(ISBLANK(AS151),AS151=0),0,HLOOKUP(AS151,'Risk Matrices'!$D$28:$H$29,2,0))</f>
        <v>2</v>
      </c>
      <c r="AX151" s="106">
        <f t="shared" si="110"/>
        <v>2</v>
      </c>
      <c r="AY151" s="106">
        <f t="shared" si="118"/>
        <v>4</v>
      </c>
      <c r="AZ151" s="107" t="str">
        <f>IF(B151="Retired","Retired",IF(OR(ISBLANK(AY151),AY151=0),"TBD",IF(AY151&lt;='Risk Matrices'!$D$40,'Risk Matrices'!$B$40,IF(AY151&lt;='Risk Matrices'!$D$39,'Risk Matrices'!$B$39,'Risk Matrices'!$B$38))))</f>
        <v>Retired</v>
      </c>
      <c r="BA151" s="112"/>
      <c r="BB151" s="113"/>
      <c r="BC151" s="109" t="str">
        <f t="shared" si="112"/>
        <v>Retired</v>
      </c>
      <c r="BD151" s="113"/>
      <c r="BE151" s="114"/>
      <c r="BF151" s="115"/>
      <c r="BG151" s="115" t="s">
        <v>1062</v>
      </c>
      <c r="BH151" s="115"/>
      <c r="BI151" s="115"/>
      <c r="BJ151" s="874">
        <f t="shared" si="123"/>
        <v>50</v>
      </c>
      <c r="BK151" s="101" t="s">
        <v>311</v>
      </c>
      <c r="BL151" s="116">
        <v>44533</v>
      </c>
      <c r="BM151" s="116">
        <v>44012</v>
      </c>
      <c r="BN151" s="330">
        <v>44134</v>
      </c>
      <c r="BO151" s="332"/>
      <c r="BP151" s="94">
        <f t="shared" si="137"/>
        <v>66.666666666666671</v>
      </c>
      <c r="BQ151" s="97" t="str">
        <f t="shared" si="120"/>
        <v>250 - 250 - 250</v>
      </c>
      <c r="BR151" s="97" t="str">
        <f t="shared" si="121"/>
        <v>0 - 0 - 0</v>
      </c>
      <c r="BS151" s="715">
        <f t="shared" si="138"/>
        <v>50</v>
      </c>
      <c r="BT151" s="736">
        <f t="shared" si="122"/>
        <v>0</v>
      </c>
      <c r="BU151" s="735" t="s">
        <v>1090</v>
      </c>
    </row>
    <row r="152" spans="2:75" customFormat="1" ht="60" hidden="1" x14ac:dyDescent="0.2">
      <c r="B152" s="101" t="str">
        <f t="shared" si="124"/>
        <v>Retired</v>
      </c>
      <c r="C152" s="780">
        <v>59</v>
      </c>
      <c r="D152" s="101" t="s">
        <v>151</v>
      </c>
      <c r="E152" s="103" t="s">
        <v>1004</v>
      </c>
      <c r="F152" s="186" t="s">
        <v>124</v>
      </c>
      <c r="G152" s="103" t="s">
        <v>797</v>
      </c>
      <c r="H152" s="103"/>
      <c r="I152" s="103" t="s">
        <v>797</v>
      </c>
      <c r="J152" s="102"/>
      <c r="K152" s="103" t="s">
        <v>1091</v>
      </c>
      <c r="L152" s="104" t="s">
        <v>1092</v>
      </c>
      <c r="M152" s="103" t="s">
        <v>164</v>
      </c>
      <c r="N152" s="105">
        <v>250</v>
      </c>
      <c r="O152" s="106" t="str" cm="1">
        <f t="array" ref="O152">_xlfn.IFS(N152="","",ABS(N152)&lt;='Risk Matrices'!$E$7,'Risk Matrices'!$E$5,ABS(N152)&lt;='Risk Matrices'!$F$7,'Risk Matrices'!$F$5,ABS(N152)&lt;='Risk Matrices'!$G$7,'Risk Matrices'!$G$5,ABS(N152)&lt;='Risk Matrices'!$H$7,'Risk Matrices'!$H$5,ABS(N152)&gt;'Risk Matrices'!$H$7,'Risk Matrices'!$I$5)</f>
        <v>Negligible</v>
      </c>
      <c r="P152" s="106">
        <v>0</v>
      </c>
      <c r="Q152" s="102" t="s">
        <v>280</v>
      </c>
      <c r="R152" s="102" t="s">
        <v>207</v>
      </c>
      <c r="S152" s="106">
        <f t="shared" si="126"/>
        <v>2</v>
      </c>
      <c r="T152" s="106" cm="1">
        <f t="array" ref="T152">_xlfn.IFS(O152='Risk Matrices'!$D$28,'Risk Matrices'!$D$29,O152='Risk Matrices'!$E$28,'Risk Matrices'!$E$29,O152='Risk Matrices'!$F$28,'Risk Matrices'!$F$29,O152='Risk Matrices'!$G$28,'Risk Matrices'!$G$29,O152='Risk Matrices'!$H$28,'Risk Matrices'!$H$29)</f>
        <v>1</v>
      </c>
      <c r="U152" s="106">
        <f t="shared" si="127"/>
        <v>2</v>
      </c>
      <c r="V152" s="106">
        <f t="shared" si="136"/>
        <v>1</v>
      </c>
      <c r="W152" s="106">
        <f t="shared" si="129"/>
        <v>2</v>
      </c>
      <c r="X152" s="106">
        <f t="shared" si="130"/>
        <v>4</v>
      </c>
      <c r="Y152" s="107" t="str">
        <f t="shared" si="131"/>
        <v>Low</v>
      </c>
      <c r="Z152" s="104"/>
      <c r="AA152" s="108">
        <f t="shared" si="132"/>
        <v>0.17</v>
      </c>
      <c r="AB152" s="109">
        <f t="shared" si="133"/>
        <v>42.5</v>
      </c>
      <c r="AC152" s="109" t="s">
        <v>155</v>
      </c>
      <c r="AD152" s="104" t="s">
        <v>1093</v>
      </c>
      <c r="AE152" s="104"/>
      <c r="AF152" s="104"/>
      <c r="AG152" s="104"/>
      <c r="AH152" s="104"/>
      <c r="AI152" s="112">
        <v>0.2</v>
      </c>
      <c r="AJ152" s="106">
        <v>250</v>
      </c>
      <c r="AK152" s="106">
        <v>250</v>
      </c>
      <c r="AL152" s="106">
        <v>250</v>
      </c>
      <c r="AM152" s="106">
        <v>0</v>
      </c>
      <c r="AN152" s="106">
        <v>0</v>
      </c>
      <c r="AO152" s="106">
        <v>0</v>
      </c>
      <c r="AP152" s="112" t="str">
        <f>IF(OR(ISBLANK(AI152),AI152=0),"INSERT LIKELIHOOD",IF(ABS(AI152)&lt;='Risk Matrices'!$D$22,'Risk Matrices'!$C$21,IF(ABS(AI152)&lt;='Risk Matrices'!$D$19,'Risk Matrices'!$C$18,IF(ABS(AI152)&lt;='Risk Matrices'!$D$16,'Risk Matrices'!$C$15,IF(ABS(AI152)&lt;='Risk Matrices'!$D$13,'Risk Matrices'!$C$12,'Risk Matrices'!$C$10)))))</f>
        <v>Low</v>
      </c>
      <c r="AQ152" s="112" t="str">
        <f>IF(OR(ISBLANK(AK152),AK152=0),"",IF(ABS(AK152)&lt;='Risk Matrices'!$E$7,'Risk Matrices'!$E$5,IF(ABS(AK152)&lt;='Risk Matrices'!$G$7,'Risk Matrices'!$G$5,IF(ABS(AK152)&lt;='Risk Matrices'!$H$7,'Risk Matrices'!$H$5,'Risk Matrices'!$I$5))))</f>
        <v>Negligible</v>
      </c>
      <c r="AR152" s="112" t="str">
        <f>IF(AN152="","",IF(ABS(AN152)&lt;='Risk Matrices'!$E$8,"Negligible",IF(ABS(AN152)&lt;='Risk Matrices'!$F$8,"Marginal",IF(ABS(AN152)&lt;='Risk Matrices'!$G$8,"Significant",IF(ABS(AN152)&lt;='Risk Matrices'!$H$8,"Critical","Crisis")))))</f>
        <v>Negligible</v>
      </c>
      <c r="AS152" s="102" t="s">
        <v>207</v>
      </c>
      <c r="AT152" s="298">
        <f>IF(OR(ISBLANK(AI152),AI152=0),0,VLOOKUP(AP152,'Risk Matrices'!$B$30:$C$34,2,0))</f>
        <v>2</v>
      </c>
      <c r="AU152" s="298">
        <f>IF(OR(ISBLANK(AK152),AK152=0),0,HLOOKUP(AQ152,'Risk Matrices'!$D$28:$H$29,2,0))</f>
        <v>1</v>
      </c>
      <c r="AV152" s="298">
        <f>IF(OR(ISBLANK(AR152),AR152=0),0,HLOOKUP(AR152,'Risk Matrices'!$D$28:$H$29,2,0))</f>
        <v>1</v>
      </c>
      <c r="AW152" s="298">
        <f>IF(OR(ISBLANK(AS152),AS152=0),0,HLOOKUP(AS152,'Risk Matrices'!$D$28:$H$29,2,0))</f>
        <v>1</v>
      </c>
      <c r="AX152" s="106">
        <f t="shared" si="110"/>
        <v>1</v>
      </c>
      <c r="AY152" s="106">
        <f t="shared" si="118"/>
        <v>2</v>
      </c>
      <c r="AZ152" s="107" t="str">
        <f>IF(B152="Retired","Retired",IF(OR(ISBLANK(AY152),AY152=0),"TBD",IF(AY152&lt;='Risk Matrices'!$D$40,'Risk Matrices'!$B$40,IF(AY152&lt;='Risk Matrices'!$D$39,'Risk Matrices'!$B$39,'Risk Matrices'!$B$38))))</f>
        <v>Retired</v>
      </c>
      <c r="BA152" s="112"/>
      <c r="BB152" s="113"/>
      <c r="BC152" s="109" t="str">
        <f t="shared" si="112"/>
        <v>Retired</v>
      </c>
      <c r="BD152" s="113"/>
      <c r="BE152" s="114"/>
      <c r="BF152" s="115"/>
      <c r="BG152" s="115" t="s">
        <v>1062</v>
      </c>
      <c r="BH152" s="115"/>
      <c r="BI152" s="115"/>
      <c r="BJ152" s="874">
        <f t="shared" si="123"/>
        <v>50</v>
      </c>
      <c r="BK152" s="101" t="s">
        <v>311</v>
      </c>
      <c r="BL152" s="116">
        <v>44533</v>
      </c>
      <c r="BM152" s="116">
        <v>44012</v>
      </c>
      <c r="BN152" s="330">
        <v>44134</v>
      </c>
      <c r="BO152" s="332"/>
      <c r="BP152" s="94">
        <f t="shared" si="137"/>
        <v>66.666666666666671</v>
      </c>
      <c r="BQ152" s="97" t="str">
        <f t="shared" si="120"/>
        <v>250 - 250 - 250</v>
      </c>
      <c r="BR152" s="97" t="str">
        <f t="shared" si="121"/>
        <v>0 - 0 - 0</v>
      </c>
      <c r="BS152" s="715">
        <f t="shared" si="138"/>
        <v>50</v>
      </c>
      <c r="BT152" s="736">
        <f t="shared" si="122"/>
        <v>0</v>
      </c>
      <c r="BU152" s="735" t="s">
        <v>1094</v>
      </c>
    </row>
    <row r="153" spans="2:75" customFormat="1" ht="45" hidden="1" x14ac:dyDescent="0.2">
      <c r="B153" s="101" t="str">
        <f t="shared" si="124"/>
        <v>Active</v>
      </c>
      <c r="C153" s="785" t="s">
        <v>1095</v>
      </c>
      <c r="D153" s="101" t="s">
        <v>151</v>
      </c>
      <c r="E153" s="103" t="s">
        <v>1096</v>
      </c>
      <c r="F153" s="143" t="s">
        <v>580</v>
      </c>
      <c r="G153" s="106" t="s">
        <v>1097</v>
      </c>
      <c r="H153" s="103" t="str">
        <f t="shared" ref="H153:H171" si="139">C153</f>
        <v>RT-6-008-001</v>
      </c>
      <c r="I153" s="106" t="s">
        <v>545</v>
      </c>
      <c r="J153" s="101" t="s">
        <v>1098</v>
      </c>
      <c r="K153" s="144" t="s">
        <v>1099</v>
      </c>
      <c r="L153" s="104" t="s">
        <v>1100</v>
      </c>
      <c r="M153" s="104" t="s">
        <v>164</v>
      </c>
      <c r="N153" s="105">
        <v>10000</v>
      </c>
      <c r="O153" s="106" t="str" cm="1">
        <f t="array" ref="O153">_xlfn.IFS(N153="","",ABS(N153)&lt;='Risk Matrices'!$E$7,'Risk Matrices'!$E$5,ABS(N153)&lt;='Risk Matrices'!$F$7,'Risk Matrices'!$F$5,ABS(N153)&lt;='Risk Matrices'!$G$7,'Risk Matrices'!$G$5,ABS(N153)&lt;='Risk Matrices'!$H$7,'Risk Matrices'!$H$5,ABS(N153)&gt;'Risk Matrices'!$H$7,'Risk Matrices'!$I$5)</f>
        <v>Critical</v>
      </c>
      <c r="P153" s="106">
        <v>6</v>
      </c>
      <c r="Q153" s="101" t="str" cm="1">
        <f t="array" ref="Q153">_xlfn.IFS(P153="","",ABS(P153)&lt;='Risk Matrices'!$E$8,'Risk Matrices'!$E$5,ABS(P153)&lt;='Risk Matrices'!$F$8,'Risk Matrices'!$F$5,ABS(P153)&lt;='Risk Matrices'!$G$8,'Risk Matrices'!$G$5,ABS(P153)&lt;='Risk Matrices'!$H$8,'Risk Matrices'!$H$5,ABS(P153)&gt;'Risk Matrices'!$H$8,'Risk Matrices'!$I$5)</f>
        <v>Marginal</v>
      </c>
      <c r="R153" s="106" t="s">
        <v>280</v>
      </c>
      <c r="S153" s="106">
        <f t="shared" si="126"/>
        <v>2</v>
      </c>
      <c r="T153" s="106" cm="1">
        <f t="array" ref="T153">_xlfn.IFS(O153='Risk Matrices'!$D$28,'Risk Matrices'!$D$29,O153='Risk Matrices'!$E$28,'Risk Matrices'!$E$29,O153='Risk Matrices'!$F$28,'Risk Matrices'!$F$29,O153='Risk Matrices'!$G$28,'Risk Matrices'!$G$29,O153='Risk Matrices'!$H$28,'Risk Matrices'!$H$29)</f>
        <v>4</v>
      </c>
      <c r="U153" s="106">
        <f t="shared" si="127"/>
        <v>2</v>
      </c>
      <c r="V153" s="106">
        <f t="shared" ref="V153:V171" si="140">IF(R153="None",0,IF(R153="Negligible",1,IF(R153="Marginal",2,IF(R153="Significant",3,IF(R153="Critical",4,IF(R153="Crisis",5))))))</f>
        <v>2</v>
      </c>
      <c r="W153" s="106">
        <f t="shared" si="129"/>
        <v>4</v>
      </c>
      <c r="X153" s="106">
        <f t="shared" si="130"/>
        <v>8</v>
      </c>
      <c r="Y153" s="107" t="str">
        <f t="shared" si="131"/>
        <v>Moderate</v>
      </c>
      <c r="Z153" s="104"/>
      <c r="AA153" s="108">
        <f t="shared" si="132"/>
        <v>0.17</v>
      </c>
      <c r="AB153" s="109">
        <f t="shared" si="133"/>
        <v>1700.0000000000002</v>
      </c>
      <c r="AC153" s="109" t="s">
        <v>155</v>
      </c>
      <c r="AD153" s="104" t="s">
        <v>1101</v>
      </c>
      <c r="AE153" s="104"/>
      <c r="AF153" s="103" t="s">
        <v>175</v>
      </c>
      <c r="AG153" s="103"/>
      <c r="AH153" s="101" t="s">
        <v>175</v>
      </c>
      <c r="AI153" s="878">
        <v>0.05</v>
      </c>
      <c r="AJ153" s="101">
        <v>7000</v>
      </c>
      <c r="AK153" s="101">
        <v>10000</v>
      </c>
      <c r="AL153" s="101">
        <v>15000</v>
      </c>
      <c r="AM153" s="106">
        <v>4</v>
      </c>
      <c r="AN153" s="106">
        <v>6</v>
      </c>
      <c r="AO153" s="106">
        <v>12</v>
      </c>
      <c r="AP153" s="112" t="str">
        <f>IF(OR(ISBLANK(AI153),AI153=0),"INSERT LIKELIHOOD",IF(ABS(AI153)&lt;='Risk Matrices'!$D$22,'Risk Matrices'!$C$21,IF(ABS(AI153)&lt;='Risk Matrices'!$D$19,'Risk Matrices'!$C$18,IF(ABS(AI153)&lt;='Risk Matrices'!$D$16,'Risk Matrices'!$C$15,IF(ABS(AI153)&lt;='Risk Matrices'!$D$13,'Risk Matrices'!$C$12,'Risk Matrices'!$C$10)))))</f>
        <v>Very Low</v>
      </c>
      <c r="AQ153" s="112" t="str">
        <f>IF(OR(ISBLANK(AK153),AK153=0),"None",IF(ABS(AK153)&lt;='Risk Matrices'!$E$7,'Risk Matrices'!$E$5,IF(ABS(AK153)&lt;='Risk Matrices'!$G$7,'Risk Matrices'!$G$5,IF(ABS(AK153)&lt;='Risk Matrices'!$H$7,'Risk Matrices'!$H$5,'Risk Matrices'!$I$5))))</f>
        <v>Critical</v>
      </c>
      <c r="AR153" s="112" t="str">
        <f>IF(AN153="","",IF(ABS(AN153)&lt;='Risk Matrices'!$E$8,"Negligible",IF(ABS(AN153)&lt;='Risk Matrices'!$F$8,"Marginal",IF(ABS(AN153)&lt;='Risk Matrices'!$G$8,"Significant",IF(ABS(AN153)&lt;='Risk Matrices'!$H$8,"Critical","Crisis")))))</f>
        <v>Marginal</v>
      </c>
      <c r="AS153" s="103" t="s">
        <v>280</v>
      </c>
      <c r="AT153" s="298">
        <f>IF(OR(ISBLANK(AI153),AI153=0),0,VLOOKUP(AP153,'Risk Matrices'!$B$30:$C$34,2,0))</f>
        <v>1</v>
      </c>
      <c r="AU153" s="298">
        <f>IF(OR(ISBLANK(AK153),AK153=0),0,HLOOKUP(AQ153,'Risk Matrices'!$D$28:$H$29,2,0))</f>
        <v>4</v>
      </c>
      <c r="AV153" s="298">
        <f>IF(OR(ISBLANK(AR153),AR153=0),0,HLOOKUP(AR153,'Risk Matrices'!$D$28:$H$29,2,0))</f>
        <v>2</v>
      </c>
      <c r="AW153" s="298">
        <f>IF(OR(ISBLANK(AS153),AS153=0),0,HLOOKUP(AS153,'Risk Matrices'!$D$28:$H$29,2,0))</f>
        <v>2</v>
      </c>
      <c r="AX153" s="106">
        <f t="shared" si="110"/>
        <v>4</v>
      </c>
      <c r="AY153" s="106">
        <f t="shared" si="118"/>
        <v>4</v>
      </c>
      <c r="AZ153" s="107" t="str">
        <f>IF(B153="Retired","Retired",IF(OR(ISBLANK(AY153),AY153=0),"TBD",IF(AY153&lt;='Risk Matrices'!$D$40,'Risk Matrices'!$B$40,IF(AY153&lt;='Risk Matrices'!$D$39,'Risk Matrices'!$B$39,'Risk Matrices'!$B$38))))</f>
        <v>Low</v>
      </c>
      <c r="BA153" s="104"/>
      <c r="BB153" s="101" t="s">
        <v>366</v>
      </c>
      <c r="BC153" s="109">
        <f t="shared" si="112"/>
        <v>500</v>
      </c>
      <c r="BD153" s="929">
        <v>45322</v>
      </c>
      <c r="BE153" s="104"/>
      <c r="BF153" s="104"/>
      <c r="BG153" s="104"/>
      <c r="BH153" s="104"/>
      <c r="BI153" s="104"/>
      <c r="BJ153" s="874">
        <f t="shared" si="123"/>
        <v>533.33333333333337</v>
      </c>
      <c r="BK153" s="101"/>
      <c r="BL153" s="101"/>
      <c r="BM153" s="116">
        <v>44012</v>
      </c>
      <c r="BN153" s="330">
        <v>44134</v>
      </c>
      <c r="BO153" s="332"/>
      <c r="BP153" s="94">
        <f t="shared" ref="BP153:BP171" si="141">AI153*((AJ153+4*AK153+AL153)/6)</f>
        <v>516.66666666666674</v>
      </c>
      <c r="BQ153" s="97" t="str">
        <f t="shared" si="120"/>
        <v>7000 - 10000 - 15000</v>
      </c>
      <c r="BR153" s="97" t="str">
        <f t="shared" si="121"/>
        <v>4 - 6 - 12</v>
      </c>
      <c r="BS153" s="715">
        <f t="shared" si="138"/>
        <v>533.33333333333337</v>
      </c>
      <c r="BT153" s="736">
        <f t="shared" si="122"/>
        <v>0.3666666666666667</v>
      </c>
      <c r="BU153" s="735" t="s">
        <v>1102</v>
      </c>
      <c r="BV153" s="873">
        <v>45382</v>
      </c>
      <c r="BW153">
        <f t="shared" ref="BW153:BW171" si="142">BV153-BN153</f>
        <v>1248</v>
      </c>
    </row>
    <row r="154" spans="2:75" customFormat="1" ht="55.25" hidden="1" customHeight="1" x14ac:dyDescent="0.2">
      <c r="B154" s="101" t="str">
        <f t="shared" si="124"/>
        <v>Active</v>
      </c>
      <c r="C154" s="785" t="s">
        <v>1103</v>
      </c>
      <c r="D154" s="101" t="s">
        <v>151</v>
      </c>
      <c r="E154" s="103" t="s">
        <v>1096</v>
      </c>
      <c r="F154" s="101" t="s">
        <v>580</v>
      </c>
      <c r="G154" s="106" t="s">
        <v>1097</v>
      </c>
      <c r="H154" s="103" t="str">
        <f t="shared" si="139"/>
        <v>RT-6-008-002</v>
      </c>
      <c r="I154" s="106" t="s">
        <v>545</v>
      </c>
      <c r="J154" s="101" t="s">
        <v>1098</v>
      </c>
      <c r="K154" s="101" t="s">
        <v>1104</v>
      </c>
      <c r="L154" s="104" t="s">
        <v>1105</v>
      </c>
      <c r="M154" s="103" t="s">
        <v>129</v>
      </c>
      <c r="N154" s="105">
        <v>300</v>
      </c>
      <c r="O154" s="106" t="str" cm="1">
        <f t="array" ref="O154">_xlfn.IFS(N154="","",ABS(N154)&lt;='Risk Matrices'!$E$7,'Risk Matrices'!$E$5,ABS(N154)&lt;='Risk Matrices'!$F$7,'Risk Matrices'!$F$5,ABS(N154)&lt;='Risk Matrices'!$G$7,'Risk Matrices'!$G$5,ABS(N154)&lt;='Risk Matrices'!$H$7,'Risk Matrices'!$H$5,ABS(N154)&gt;'Risk Matrices'!$H$7,'Risk Matrices'!$I$5)</f>
        <v>Marginal</v>
      </c>
      <c r="P154" s="101">
        <v>12</v>
      </c>
      <c r="Q154" s="101" t="str" cm="1">
        <f t="array" ref="Q154">_xlfn.IFS(P154="","",ABS(P154)&lt;='Risk Matrices'!$E$8,'Risk Matrices'!$E$5,ABS(P154)&lt;='Risk Matrices'!$F$8,'Risk Matrices'!$F$5,ABS(P154)&lt;='Risk Matrices'!$G$8,'Risk Matrices'!$G$5,ABS(P154)&lt;='Risk Matrices'!$H$8,'Risk Matrices'!$H$5,ABS(P154)&gt;'Risk Matrices'!$H$8,'Risk Matrices'!$I$5)</f>
        <v>Significant</v>
      </c>
      <c r="R154" s="104" t="s">
        <v>207</v>
      </c>
      <c r="S154" s="106">
        <f t="shared" si="126"/>
        <v>4</v>
      </c>
      <c r="T154" s="106" cm="1">
        <f t="array" ref="T154">_xlfn.IFS(O154='Risk Matrices'!$D$28,'Risk Matrices'!$D$29,O154='Risk Matrices'!$E$28,'Risk Matrices'!$E$29,O154='Risk Matrices'!$F$28,'Risk Matrices'!$F$29,O154='Risk Matrices'!$G$28,'Risk Matrices'!$G$29,O154='Risk Matrices'!$H$28,'Risk Matrices'!$H$29)</f>
        <v>2</v>
      </c>
      <c r="U154" s="106">
        <f t="shared" si="127"/>
        <v>3</v>
      </c>
      <c r="V154" s="106">
        <f t="shared" si="140"/>
        <v>1</v>
      </c>
      <c r="W154" s="106">
        <f t="shared" si="129"/>
        <v>3</v>
      </c>
      <c r="X154" s="106">
        <f t="shared" si="130"/>
        <v>12</v>
      </c>
      <c r="Y154" s="107" t="str">
        <f t="shared" si="131"/>
        <v>Moderate</v>
      </c>
      <c r="Z154" s="104"/>
      <c r="AA154" s="108">
        <f t="shared" si="132"/>
        <v>0.52</v>
      </c>
      <c r="AB154" s="109">
        <f t="shared" si="133"/>
        <v>156</v>
      </c>
      <c r="AC154" s="101" t="s">
        <v>155</v>
      </c>
      <c r="AD154" s="104" t="s">
        <v>1106</v>
      </c>
      <c r="AE154" s="104"/>
      <c r="AF154" s="116" t="s">
        <v>134</v>
      </c>
      <c r="AG154" s="116"/>
      <c r="AH154" s="157" t="s">
        <v>1107</v>
      </c>
      <c r="AI154" s="112">
        <v>0.5</v>
      </c>
      <c r="AJ154" s="106">
        <v>300</v>
      </c>
      <c r="AK154" s="106">
        <v>300</v>
      </c>
      <c r="AL154" s="106">
        <v>300</v>
      </c>
      <c r="AM154" s="106">
        <v>0</v>
      </c>
      <c r="AN154" s="106">
        <v>0</v>
      </c>
      <c r="AO154" s="106">
        <v>0</v>
      </c>
      <c r="AP154" s="112" t="str">
        <f>IF(OR(ISBLANK(AI154),AI154=0),"INSERT LIKELIHOOD",IF(ABS(AI154)&lt;='Risk Matrices'!$D$22,'Risk Matrices'!$C$21,IF(ABS(AI154)&lt;='Risk Matrices'!$D$19,'Risk Matrices'!$C$18,IF(ABS(AI154)&lt;='Risk Matrices'!$D$16,'Risk Matrices'!$C$15,IF(ABS(AI154)&lt;='Risk Matrices'!$D$13,'Risk Matrices'!$C$12,'Risk Matrices'!$C$10)))))</f>
        <v>High</v>
      </c>
      <c r="AQ154" s="112" t="str">
        <f>IF(OR(ISBLANK(AK154),AK154=0),"None",IF(ABS(AK154)&lt;='Risk Matrices'!$E$7,'Risk Matrices'!$E$5,IF(ABS(AK154)&lt;='Risk Matrices'!$G$7,'Risk Matrices'!$G$5,IF(ABS(AK154)&lt;='Risk Matrices'!$H$7,'Risk Matrices'!$H$5,'Risk Matrices'!$I$5))))</f>
        <v>Significant</v>
      </c>
      <c r="AR154" s="112" t="str">
        <f>IF(AN154="","",IF(ABS(AN154)&lt;='Risk Matrices'!$E$8,"Negligible",IF(ABS(AN154)&lt;='Risk Matrices'!$F$8,"Marginal",IF(ABS(AN154)&lt;='Risk Matrices'!$G$8,"Significant",IF(ABS(AN154)&lt;='Risk Matrices'!$H$8,"Critical","Crisis")))))</f>
        <v>Negligible</v>
      </c>
      <c r="AS154" s="103" t="s">
        <v>130</v>
      </c>
      <c r="AT154" s="298">
        <f>IF(OR(ISBLANK(AI154),AI154=0),0,VLOOKUP(AP154,'Risk Matrices'!$B$30:$C$34,2,0))</f>
        <v>4</v>
      </c>
      <c r="AU154" s="298">
        <f>IF(OR(ISBLANK(AK154),AK154=0),0,HLOOKUP(AQ154,'Risk Matrices'!$D$28:$H$29,2,0))</f>
        <v>3</v>
      </c>
      <c r="AV154" s="298">
        <f>IF(OR(ISBLANK(AR154),AR154=0),0,HLOOKUP(AR154,'Risk Matrices'!$D$28:$H$29,2,0))</f>
        <v>1</v>
      </c>
      <c r="AW154" s="298">
        <f>IF(AS154="None",0,HLOOKUP(AS154,'Risk Matrices'!$D$28:$H$29,2,0))</f>
        <v>0</v>
      </c>
      <c r="AX154" s="106">
        <f t="shared" si="110"/>
        <v>3</v>
      </c>
      <c r="AY154" s="106">
        <f t="shared" si="118"/>
        <v>12</v>
      </c>
      <c r="AZ154" s="107" t="str">
        <f>IF(B154="Retired","Retired",IF(OR(ISBLANK(AY154),AY154=0),"TBD",IF(AY154&lt;='Risk Matrices'!$D$40,'Risk Matrices'!$B$40,IF(AY154&lt;='Risk Matrices'!$D$39,'Risk Matrices'!$B$39,'Risk Matrices'!$B$38))))</f>
        <v>Moderate</v>
      </c>
      <c r="BA154" s="112"/>
      <c r="BB154" s="101" t="s">
        <v>366</v>
      </c>
      <c r="BC154" s="109">
        <f t="shared" si="112"/>
        <v>150</v>
      </c>
      <c r="BD154" s="929">
        <v>45322</v>
      </c>
      <c r="BE154" s="114"/>
      <c r="BF154" s="115"/>
      <c r="BG154" s="115"/>
      <c r="BH154" s="115"/>
      <c r="BI154" s="115"/>
      <c r="BJ154" s="874">
        <f t="shared" si="123"/>
        <v>150</v>
      </c>
      <c r="BK154" s="101"/>
      <c r="BL154" s="101"/>
      <c r="BM154" s="116">
        <v>44463</v>
      </c>
      <c r="BN154" s="330">
        <v>44466</v>
      </c>
      <c r="BO154" s="332"/>
      <c r="BP154" s="94">
        <f t="shared" si="141"/>
        <v>150</v>
      </c>
      <c r="BQ154" s="97" t="str">
        <f t="shared" si="120"/>
        <v>300 - 300 - 300</v>
      </c>
      <c r="BR154" s="97" t="str">
        <f t="shared" si="121"/>
        <v>0 - 0 - 0</v>
      </c>
      <c r="BS154" s="715">
        <f t="shared" si="138"/>
        <v>150</v>
      </c>
      <c r="BT154" s="736">
        <f t="shared" si="122"/>
        <v>0</v>
      </c>
      <c r="BU154" s="735" t="s">
        <v>1108</v>
      </c>
      <c r="BV154" s="873">
        <v>45382</v>
      </c>
      <c r="BW154">
        <f t="shared" si="142"/>
        <v>916</v>
      </c>
    </row>
    <row r="155" spans="2:75" customFormat="1" ht="48" hidden="1" customHeight="1" x14ac:dyDescent="0.2">
      <c r="B155" s="101" t="str">
        <f t="shared" si="124"/>
        <v>Active</v>
      </c>
      <c r="C155" s="785" t="s">
        <v>1109</v>
      </c>
      <c r="D155" s="101" t="s">
        <v>151</v>
      </c>
      <c r="E155" s="103" t="s">
        <v>1096</v>
      </c>
      <c r="F155" s="101" t="s">
        <v>580</v>
      </c>
      <c r="G155" s="106" t="s">
        <v>1097</v>
      </c>
      <c r="H155" s="103" t="str">
        <f t="shared" si="139"/>
        <v>RT-6-008-003</v>
      </c>
      <c r="I155" s="106" t="s">
        <v>545</v>
      </c>
      <c r="J155" s="103" t="s">
        <v>351</v>
      </c>
      <c r="K155" s="101" t="s">
        <v>1110</v>
      </c>
      <c r="L155" s="104" t="s">
        <v>1111</v>
      </c>
      <c r="M155" s="104" t="s">
        <v>141</v>
      </c>
      <c r="N155" s="105">
        <v>5000</v>
      </c>
      <c r="O155" s="106" t="str" cm="1">
        <f t="array" ref="O155">_xlfn.IFS(N155="","",ABS(N155)&lt;='Risk Matrices'!$E$7,'Risk Matrices'!$E$5,ABS(N155)&lt;='Risk Matrices'!$F$7,'Risk Matrices'!$F$5,ABS(N155)&lt;='Risk Matrices'!$G$7,'Risk Matrices'!$G$5,ABS(N155)&lt;='Risk Matrices'!$H$7,'Risk Matrices'!$H$5,ABS(N155)&gt;'Risk Matrices'!$H$7,'Risk Matrices'!$I$5)</f>
        <v>Significant</v>
      </c>
      <c r="P155" s="101">
        <v>12</v>
      </c>
      <c r="Q155" s="101" t="str" cm="1">
        <f t="array" ref="Q155">_xlfn.IFS(P155="","",ABS(P155)&lt;='Risk Matrices'!$E$8,'Risk Matrices'!$E$5,ABS(P155)&lt;='Risk Matrices'!$F$8,'Risk Matrices'!$F$5,ABS(P155)&lt;='Risk Matrices'!$G$8,'Risk Matrices'!$G$5,ABS(P155)&lt;='Risk Matrices'!$H$8,'Risk Matrices'!$H$5,ABS(P155)&gt;'Risk Matrices'!$H$8,'Risk Matrices'!$I$5)</f>
        <v>Significant</v>
      </c>
      <c r="R155" s="101" t="s">
        <v>130</v>
      </c>
      <c r="S155" s="106">
        <f t="shared" si="126"/>
        <v>3</v>
      </c>
      <c r="T155" s="106" cm="1">
        <f t="array" ref="T155">_xlfn.IFS(O155='Risk Matrices'!$D$28,'Risk Matrices'!$D$29,O155='Risk Matrices'!$E$28,'Risk Matrices'!$E$29,O155='Risk Matrices'!$F$28,'Risk Matrices'!$F$29,O155='Risk Matrices'!$G$28,'Risk Matrices'!$G$29,O155='Risk Matrices'!$H$28,'Risk Matrices'!$H$29)</f>
        <v>3</v>
      </c>
      <c r="U155" s="106">
        <f t="shared" si="127"/>
        <v>3</v>
      </c>
      <c r="V155" s="106">
        <f t="shared" si="140"/>
        <v>0</v>
      </c>
      <c r="W155" s="106">
        <f t="shared" si="129"/>
        <v>3</v>
      </c>
      <c r="X155" s="106">
        <f t="shared" si="130"/>
        <v>9</v>
      </c>
      <c r="Y155" s="107" t="str">
        <f t="shared" si="131"/>
        <v>Moderate</v>
      </c>
      <c r="Z155" s="104"/>
      <c r="AA155" s="108">
        <f t="shared" si="132"/>
        <v>0.32</v>
      </c>
      <c r="AB155" s="109">
        <f t="shared" si="133"/>
        <v>1600</v>
      </c>
      <c r="AC155" s="101" t="s">
        <v>155</v>
      </c>
      <c r="AD155" s="101" t="s">
        <v>1112</v>
      </c>
      <c r="AE155" s="104"/>
      <c r="AF155" s="116" t="s">
        <v>134</v>
      </c>
      <c r="AG155" s="116"/>
      <c r="AH155" s="157" t="s">
        <v>1107</v>
      </c>
      <c r="AI155" s="112">
        <v>0.3</v>
      </c>
      <c r="AJ155" s="106">
        <v>5000</v>
      </c>
      <c r="AK155" s="106">
        <v>5000</v>
      </c>
      <c r="AL155" s="106">
        <v>5000</v>
      </c>
      <c r="AM155" s="106">
        <v>0</v>
      </c>
      <c r="AN155" s="106">
        <v>0</v>
      </c>
      <c r="AO155" s="106">
        <v>0</v>
      </c>
      <c r="AP155" s="112" t="str">
        <f>IF(OR(ISBLANK(AI155),AI155=0),"INSERT LIKELIHOOD",IF(ABS(AI155)&lt;='Risk Matrices'!$D$22,'Risk Matrices'!$C$21,IF(ABS(AI155)&lt;='Risk Matrices'!$D$19,'Risk Matrices'!$C$18,IF(ABS(AI155)&lt;='Risk Matrices'!$D$16,'Risk Matrices'!$C$15,IF(ABS(AI155)&lt;='Risk Matrices'!$D$13,'Risk Matrices'!$C$12,'Risk Matrices'!$C$10)))))</f>
        <v>Moderate</v>
      </c>
      <c r="AQ155" s="112" t="str">
        <f>IF(OR(ISBLANK(AK155),AK155=0),"None",IF(ABS(AK155)&lt;='Risk Matrices'!$E$7,'Risk Matrices'!$E$5,IF(ABS(AK155)&lt;='Risk Matrices'!$G$7,'Risk Matrices'!$G$5,IF(ABS(AK155)&lt;='Risk Matrices'!$H$7,'Risk Matrices'!$H$5,'Risk Matrices'!$I$5))))</f>
        <v>Significant</v>
      </c>
      <c r="AR155" s="112" t="str">
        <f>IF(AN155="","",IF(ABS(AN155)&lt;='Risk Matrices'!$E$8,"Negligible",IF(ABS(AN155)&lt;='Risk Matrices'!$F$8,"Marginal",IF(ABS(AN155)&lt;='Risk Matrices'!$G$8,"Significant",IF(ABS(AN155)&lt;='Risk Matrices'!$H$8,"Critical","Crisis")))))</f>
        <v>Negligible</v>
      </c>
      <c r="AS155" s="103" t="s">
        <v>280</v>
      </c>
      <c r="AT155" s="298">
        <f>IF(OR(ISBLANK(AI155),AI155=0),0,VLOOKUP(AP155,'Risk Matrices'!$B$30:$C$34,2,0))</f>
        <v>3</v>
      </c>
      <c r="AU155" s="298">
        <f>IF(OR(ISBLANK(AK155),AK155=0),0,HLOOKUP(AQ155,'Risk Matrices'!$D$28:$H$29,2,0))</f>
        <v>3</v>
      </c>
      <c r="AV155" s="298">
        <f>IF(OR(ISBLANK(AR155),AR155=0),0,HLOOKUP(AR155,'Risk Matrices'!$D$28:$H$29,2,0))</f>
        <v>1</v>
      </c>
      <c r="AW155" s="298">
        <f>IF(AS155="None",0,HLOOKUP(AS155,'Risk Matrices'!$D$28:$H$29,2,0))</f>
        <v>2</v>
      </c>
      <c r="AX155" s="106">
        <f t="shared" ref="AX155:AX186" si="143">MAX(AU155,AV155,AW155)</f>
        <v>3</v>
      </c>
      <c r="AY155" s="106">
        <f t="shared" si="118"/>
        <v>9</v>
      </c>
      <c r="AZ155" s="107" t="str">
        <f>IF(B155="Retired","Retired",IF(OR(ISBLANK(AY155),AY155=0),"TBD",IF(AY155&lt;='Risk Matrices'!$D$40,'Risk Matrices'!$B$40,IF(AY155&lt;='Risk Matrices'!$D$39,'Risk Matrices'!$B$39,'Risk Matrices'!$B$38))))</f>
        <v>Moderate</v>
      </c>
      <c r="BA155" s="112"/>
      <c r="BB155" s="101" t="s">
        <v>366</v>
      </c>
      <c r="BC155" s="109">
        <f t="shared" ref="BC155:BC188" si="144">IF(B155="Active",AI155*AK155,B155)</f>
        <v>1500</v>
      </c>
      <c r="BD155" s="929">
        <v>45322</v>
      </c>
      <c r="BE155" s="114"/>
      <c r="BF155" s="115"/>
      <c r="BG155" s="115"/>
      <c r="BH155" s="115"/>
      <c r="BI155" s="115"/>
      <c r="BJ155" s="874">
        <f t="shared" si="123"/>
        <v>1500</v>
      </c>
      <c r="BK155" s="101"/>
      <c r="BL155" s="101"/>
      <c r="BM155" s="116">
        <v>44463</v>
      </c>
      <c r="BN155" s="330">
        <v>44466</v>
      </c>
      <c r="BO155" s="332"/>
      <c r="BP155" s="94">
        <f t="shared" si="141"/>
        <v>1500</v>
      </c>
      <c r="BQ155" s="97" t="str">
        <f t="shared" si="120"/>
        <v>5000 - 5000 - 5000</v>
      </c>
      <c r="BR155" s="97" t="str">
        <f t="shared" si="121"/>
        <v>0 - 0 - 0</v>
      </c>
      <c r="BS155" s="715">
        <f t="shared" si="138"/>
        <v>1500</v>
      </c>
      <c r="BT155" s="736">
        <f t="shared" si="122"/>
        <v>0</v>
      </c>
      <c r="BU155" s="735" t="s">
        <v>1113</v>
      </c>
      <c r="BV155" s="873">
        <v>45382</v>
      </c>
      <c r="BW155">
        <f t="shared" si="142"/>
        <v>916</v>
      </c>
    </row>
    <row r="156" spans="2:75" customFormat="1" ht="55.25" hidden="1" customHeight="1" x14ac:dyDescent="0.2">
      <c r="B156" s="101" t="str">
        <f t="shared" si="124"/>
        <v>Active</v>
      </c>
      <c r="C156" s="785" t="s">
        <v>1114</v>
      </c>
      <c r="D156" s="101" t="s">
        <v>151</v>
      </c>
      <c r="E156" s="103" t="s">
        <v>1096</v>
      </c>
      <c r="F156" s="101" t="s">
        <v>580</v>
      </c>
      <c r="G156" s="106" t="s">
        <v>1097</v>
      </c>
      <c r="H156" s="103" t="str">
        <f t="shared" si="139"/>
        <v>RT-6-008-004</v>
      </c>
      <c r="I156" s="106" t="s">
        <v>350</v>
      </c>
      <c r="J156" s="101" t="s">
        <v>1098</v>
      </c>
      <c r="K156" s="101" t="s">
        <v>1115</v>
      </c>
      <c r="L156" s="104" t="s">
        <v>1116</v>
      </c>
      <c r="M156" s="104" t="s">
        <v>141</v>
      </c>
      <c r="N156" s="105">
        <v>3000</v>
      </c>
      <c r="O156" s="106" t="str" cm="1">
        <f t="array" ref="O156">_xlfn.IFS(N156="","",ABS(N156)&lt;='Risk Matrices'!$E$7,'Risk Matrices'!$E$5,ABS(N156)&lt;='Risk Matrices'!$F$7,'Risk Matrices'!$F$5,ABS(N156)&lt;='Risk Matrices'!$G$7,'Risk Matrices'!$G$5,ABS(N156)&lt;='Risk Matrices'!$H$7,'Risk Matrices'!$H$5,ABS(N156)&gt;'Risk Matrices'!$H$7,'Risk Matrices'!$I$5)</f>
        <v>Significant</v>
      </c>
      <c r="P156" s="101">
        <v>12</v>
      </c>
      <c r="Q156" s="101" t="str" cm="1">
        <f t="array" ref="Q156">_xlfn.IFS(P156="","",ABS(P156)&lt;='Risk Matrices'!$E$8,'Risk Matrices'!$E$5,ABS(P156)&lt;='Risk Matrices'!$F$8,'Risk Matrices'!$F$5,ABS(P156)&lt;='Risk Matrices'!$G$8,'Risk Matrices'!$G$5,ABS(P156)&lt;='Risk Matrices'!$H$8,'Risk Matrices'!$H$5,ABS(P156)&gt;'Risk Matrices'!$H$8,'Risk Matrices'!$I$5)</f>
        <v>Significant</v>
      </c>
      <c r="R156" s="101" t="s">
        <v>307</v>
      </c>
      <c r="S156" s="106">
        <f t="shared" si="126"/>
        <v>3</v>
      </c>
      <c r="T156" s="106" cm="1">
        <f t="array" ref="T156">_xlfn.IFS(O156='Risk Matrices'!$D$28,'Risk Matrices'!$D$29,O156='Risk Matrices'!$E$28,'Risk Matrices'!$E$29,O156='Risk Matrices'!$F$28,'Risk Matrices'!$F$29,O156='Risk Matrices'!$G$28,'Risk Matrices'!$G$29,O156='Risk Matrices'!$H$28,'Risk Matrices'!$H$29)</f>
        <v>3</v>
      </c>
      <c r="U156" s="106">
        <f t="shared" si="127"/>
        <v>3</v>
      </c>
      <c r="V156" s="106">
        <f t="shared" si="140"/>
        <v>3</v>
      </c>
      <c r="W156" s="106">
        <f t="shared" si="129"/>
        <v>3</v>
      </c>
      <c r="X156" s="106">
        <f t="shared" si="130"/>
        <v>9</v>
      </c>
      <c r="Y156" s="107" t="str">
        <f t="shared" si="131"/>
        <v>Moderate</v>
      </c>
      <c r="Z156" s="104"/>
      <c r="AA156" s="108">
        <f t="shared" si="132"/>
        <v>0.32</v>
      </c>
      <c r="AB156" s="109">
        <f t="shared" si="133"/>
        <v>960</v>
      </c>
      <c r="AC156" s="109" t="s">
        <v>155</v>
      </c>
      <c r="AD156" s="104" t="s">
        <v>1117</v>
      </c>
      <c r="AE156" s="104"/>
      <c r="AF156" s="103" t="s">
        <v>200</v>
      </c>
      <c r="AG156" s="103"/>
      <c r="AH156" s="101" t="s">
        <v>1118</v>
      </c>
      <c r="AI156" s="878">
        <v>0.3</v>
      </c>
      <c r="AJ156" s="101">
        <v>1000</v>
      </c>
      <c r="AK156" s="101">
        <v>3000</v>
      </c>
      <c r="AL156" s="101">
        <v>5000</v>
      </c>
      <c r="AM156" s="101">
        <v>6</v>
      </c>
      <c r="AN156" s="101">
        <v>12</v>
      </c>
      <c r="AO156" s="101">
        <v>18</v>
      </c>
      <c r="AP156" s="112" t="str">
        <f>IF(OR(ISBLANK(AI156),AI156=0),"INSERT LIKELIHOOD",IF(ABS(AI156)&lt;='Risk Matrices'!$D$22,'Risk Matrices'!$C$21,IF(ABS(AI156)&lt;='Risk Matrices'!$D$19,'Risk Matrices'!$C$18,IF(ABS(AI156)&lt;='Risk Matrices'!$D$16,'Risk Matrices'!$C$15,IF(ABS(AI156)&lt;='Risk Matrices'!$D$13,'Risk Matrices'!$C$12,'Risk Matrices'!$C$10)))))</f>
        <v>Moderate</v>
      </c>
      <c r="AQ156" s="112" t="str">
        <f>IF(OR(ISBLANK(AK156),AK156=0),"None",IF(ABS(AK156)&lt;='Risk Matrices'!$E$7,'Risk Matrices'!$E$5,IF(ABS(AK156)&lt;='Risk Matrices'!$G$7,'Risk Matrices'!$G$5,IF(ABS(AK156)&lt;='Risk Matrices'!$H$7,'Risk Matrices'!$H$5,'Risk Matrices'!$I$5))))</f>
        <v>Significant</v>
      </c>
      <c r="AR156" s="112" t="str">
        <f>IF(AN156="","",IF(ABS(AN156)&lt;='Risk Matrices'!$E$8,"Negligible",IF(ABS(AN156)&lt;='Risk Matrices'!$F$8,"Marginal",IF(ABS(AN156)&lt;='Risk Matrices'!$G$8,"Significant",IF(ABS(AN156)&lt;='Risk Matrices'!$H$8,"Critical","Crisis")))))</f>
        <v>Significant</v>
      </c>
      <c r="AS156" s="103" t="s">
        <v>307</v>
      </c>
      <c r="AT156" s="298">
        <f>IF(OR(ISBLANK(AI156),AI156=0),0,VLOOKUP(AP156,'Risk Matrices'!$B$30:$C$34,2,0))</f>
        <v>3</v>
      </c>
      <c r="AU156" s="298">
        <f>IF(OR(ISBLANK(AK156),AK156=0),0,HLOOKUP(AQ156,'Risk Matrices'!$D$28:$H$29,2,0))</f>
        <v>3</v>
      </c>
      <c r="AV156" s="298">
        <f>IF(OR(ISBLANK(AR156),AR156=0),0,HLOOKUP(AR156,'Risk Matrices'!$D$28:$H$29,2,0))</f>
        <v>3</v>
      </c>
      <c r="AW156" s="298">
        <f>IF(OR(ISBLANK(AS156),AS156=0),0,HLOOKUP(AS156,'Risk Matrices'!$D$28:$H$29,2,0))</f>
        <v>3</v>
      </c>
      <c r="AX156" s="106">
        <f t="shared" si="143"/>
        <v>3</v>
      </c>
      <c r="AY156" s="106">
        <f t="shared" si="118"/>
        <v>9</v>
      </c>
      <c r="AZ156" s="107" t="str">
        <f>IF(B156="Retired","Retired",IF(OR(ISBLANK(AY156),AY156=0),"TBD",IF(AY156&lt;='Risk Matrices'!$D$40,'Risk Matrices'!$B$40,IF(AY156&lt;='Risk Matrices'!$D$39,'Risk Matrices'!$B$39,'Risk Matrices'!$B$38))))</f>
        <v>Moderate</v>
      </c>
      <c r="BA156" s="104"/>
      <c r="BB156" s="101" t="s">
        <v>366</v>
      </c>
      <c r="BC156" s="109">
        <f t="shared" si="144"/>
        <v>900</v>
      </c>
      <c r="BD156" s="116">
        <v>45398</v>
      </c>
      <c r="BE156" s="104"/>
      <c r="BF156" s="104"/>
      <c r="BG156" s="104"/>
      <c r="BH156" s="104"/>
      <c r="BI156" s="104"/>
      <c r="BJ156" s="874">
        <f t="shared" si="123"/>
        <v>900</v>
      </c>
      <c r="BK156" s="101"/>
      <c r="BL156" s="101"/>
      <c r="BM156" s="116">
        <v>44012</v>
      </c>
      <c r="BN156" s="330">
        <v>44134</v>
      </c>
      <c r="BO156" s="332"/>
      <c r="BP156" s="94">
        <f t="shared" si="141"/>
        <v>900</v>
      </c>
      <c r="BQ156" s="97" t="str">
        <f t="shared" si="120"/>
        <v>1000 - 3000 - 5000</v>
      </c>
      <c r="BR156" s="97" t="str">
        <f t="shared" si="121"/>
        <v>6 - 12 - 18</v>
      </c>
      <c r="BS156" s="715">
        <f t="shared" si="138"/>
        <v>900</v>
      </c>
      <c r="BT156" s="736">
        <f t="shared" si="122"/>
        <v>3.5999999999999996</v>
      </c>
      <c r="BU156" s="735" t="s">
        <v>1119</v>
      </c>
      <c r="BV156" s="873">
        <v>45382</v>
      </c>
      <c r="BW156">
        <f t="shared" si="142"/>
        <v>1248</v>
      </c>
    </row>
    <row r="157" spans="2:75" customFormat="1" ht="55.25" hidden="1" customHeight="1" x14ac:dyDescent="0.2">
      <c r="B157" s="101" t="str">
        <f t="shared" si="124"/>
        <v>Active</v>
      </c>
      <c r="C157" s="785" t="s">
        <v>1120</v>
      </c>
      <c r="D157" s="101" t="s">
        <v>151</v>
      </c>
      <c r="E157" s="103" t="s">
        <v>1096</v>
      </c>
      <c r="F157" s="127" t="s">
        <v>580</v>
      </c>
      <c r="G157" s="106" t="s">
        <v>1097</v>
      </c>
      <c r="H157" s="103" t="str">
        <f t="shared" si="139"/>
        <v>RT-6-008-005</v>
      </c>
      <c r="I157" s="106" t="s">
        <v>545</v>
      </c>
      <c r="J157" s="101" t="s">
        <v>1098</v>
      </c>
      <c r="K157" s="101" t="s">
        <v>1121</v>
      </c>
      <c r="L157" s="104" t="s">
        <v>1122</v>
      </c>
      <c r="M157" s="103" t="s">
        <v>141</v>
      </c>
      <c r="N157" s="105">
        <v>1</v>
      </c>
      <c r="O157" s="106" t="str" cm="1">
        <f t="array" ref="O157">_xlfn.IFS(N157="","",ABS(N157)&lt;='Risk Matrices'!$E$7,'Risk Matrices'!$E$5,ABS(N157)&lt;='Risk Matrices'!$F$7,'Risk Matrices'!$F$5,ABS(N157)&lt;='Risk Matrices'!$G$7,'Risk Matrices'!$G$5,ABS(N157)&lt;='Risk Matrices'!$H$7,'Risk Matrices'!$H$5,ABS(N157)&gt;'Risk Matrices'!$H$7,'Risk Matrices'!$I$5)</f>
        <v>Negligible</v>
      </c>
      <c r="P157" s="106">
        <v>12</v>
      </c>
      <c r="Q157" s="101" t="str" cm="1">
        <f t="array" ref="Q157">_xlfn.IFS(P157="","",ABS(P157)&lt;='Risk Matrices'!$E$8,'Risk Matrices'!$E$5,ABS(P157)&lt;='Risk Matrices'!$F$8,'Risk Matrices'!$F$5,ABS(P157)&lt;='Risk Matrices'!$G$8,'Risk Matrices'!$G$5,ABS(P157)&lt;='Risk Matrices'!$H$8,'Risk Matrices'!$H$5,ABS(P157)&gt;'Risk Matrices'!$H$8,'Risk Matrices'!$I$5)</f>
        <v>Significant</v>
      </c>
      <c r="R157" s="101" t="s">
        <v>130</v>
      </c>
      <c r="S157" s="106">
        <f t="shared" si="126"/>
        <v>3</v>
      </c>
      <c r="T157" s="106" cm="1">
        <f t="array" ref="T157">_xlfn.IFS(O157='Risk Matrices'!$D$28,'Risk Matrices'!$D$29,O157='Risk Matrices'!$E$28,'Risk Matrices'!$E$29,O157='Risk Matrices'!$F$28,'Risk Matrices'!$F$29,O157='Risk Matrices'!$G$28,'Risk Matrices'!$G$29,O157='Risk Matrices'!$H$28,'Risk Matrices'!$H$29)</f>
        <v>1</v>
      </c>
      <c r="U157" s="106">
        <f t="shared" si="127"/>
        <v>3</v>
      </c>
      <c r="V157" s="106">
        <f t="shared" si="140"/>
        <v>0</v>
      </c>
      <c r="W157" s="106">
        <f t="shared" si="129"/>
        <v>3</v>
      </c>
      <c r="X157" s="106">
        <f t="shared" si="130"/>
        <v>9</v>
      </c>
      <c r="Y157" s="107" t="str">
        <f t="shared" si="131"/>
        <v>Moderate</v>
      </c>
      <c r="Z157" s="104"/>
      <c r="AA157" s="108">
        <f t="shared" si="132"/>
        <v>0.32</v>
      </c>
      <c r="AB157" s="109">
        <f t="shared" si="133"/>
        <v>0.32</v>
      </c>
      <c r="AC157" s="109" t="s">
        <v>155</v>
      </c>
      <c r="AD157" s="101" t="s">
        <v>175</v>
      </c>
      <c r="AE157" s="104"/>
      <c r="AF157" s="103" t="s">
        <v>175</v>
      </c>
      <c r="AG157" s="103"/>
      <c r="AH157" s="157" t="s">
        <v>175</v>
      </c>
      <c r="AI157" s="112">
        <v>0.3</v>
      </c>
      <c r="AJ157" s="106">
        <v>0</v>
      </c>
      <c r="AK157" s="106">
        <v>0</v>
      </c>
      <c r="AL157" s="106">
        <v>0</v>
      </c>
      <c r="AM157" s="106">
        <v>12</v>
      </c>
      <c r="AN157" s="106">
        <v>12</v>
      </c>
      <c r="AO157" s="106">
        <v>12</v>
      </c>
      <c r="AP157" s="112" t="str">
        <f>IF(OR(ISBLANK(AI157),AI157=0),"INSERT LIKELIHOOD",IF(ABS(AI157)&lt;='Risk Matrices'!$D$22,'Risk Matrices'!$C$21,IF(ABS(AI157)&lt;='Risk Matrices'!$D$19,'Risk Matrices'!$C$18,IF(ABS(AI157)&lt;='Risk Matrices'!$D$16,'Risk Matrices'!$C$15,IF(ABS(AI157)&lt;='Risk Matrices'!$D$13,'Risk Matrices'!$C$12,'Risk Matrices'!$C$10)))))</f>
        <v>Moderate</v>
      </c>
      <c r="AQ157" s="112" t="str">
        <f>IF(OR(ISBLANK(AK157),AK157=0),"None",IF(ABS(AK157)&lt;='Risk Matrices'!$E$7,'Risk Matrices'!$E$5,IF(ABS(AK157)&lt;='Risk Matrices'!$G$7,'Risk Matrices'!$G$5,IF(ABS(AK157)&lt;='Risk Matrices'!$H$7,'Risk Matrices'!$H$5,'Risk Matrices'!$I$5))))</f>
        <v>None</v>
      </c>
      <c r="AR157" s="112" t="str">
        <f>IF(AN157="","",IF(ABS(AN157)&lt;='Risk Matrices'!$E$8,"Negligible",IF(ABS(AN157)&lt;='Risk Matrices'!$F$8,"Marginal",IF(ABS(AN157)&lt;='Risk Matrices'!$G$8,"Significant",IF(ABS(AN157)&lt;='Risk Matrices'!$H$8,"Critical","Crisis")))))</f>
        <v>Significant</v>
      </c>
      <c r="AS157" s="103" t="s">
        <v>280</v>
      </c>
      <c r="AT157" s="298">
        <f>IF(OR(ISBLANK(AI157),AI157=0),0,VLOOKUP(AP157,'Risk Matrices'!$B$30:$C$34,2,0))</f>
        <v>3</v>
      </c>
      <c r="AU157" s="298">
        <f>IF(OR(ISBLANK(AK157),AK157=0),0,HLOOKUP(AQ157,'Risk Matrices'!$D$28:$H$29,2,0))</f>
        <v>0</v>
      </c>
      <c r="AV157" s="298">
        <f>IF(OR(ISBLANK(AR157),AR157=0),0,HLOOKUP(AR157,'Risk Matrices'!$D$28:$H$29,2,0))</f>
        <v>3</v>
      </c>
      <c r="AW157" s="298">
        <f>IF(AS157="None",0,HLOOKUP(AS157,'Risk Matrices'!$D$28:$H$29,2,0))</f>
        <v>2</v>
      </c>
      <c r="AX157" s="106">
        <f t="shared" si="143"/>
        <v>3</v>
      </c>
      <c r="AY157" s="106">
        <f t="shared" si="118"/>
        <v>9</v>
      </c>
      <c r="AZ157" s="107" t="str">
        <f>IF(B157="Retired","Retired",IF(OR(ISBLANK(AY157),AY157=0),"TBD",IF(AY157&lt;='Risk Matrices'!$D$40,'Risk Matrices'!$B$40,IF(AY157&lt;='Risk Matrices'!$D$39,'Risk Matrices'!$B$39,'Risk Matrices'!$B$38))))</f>
        <v>Moderate</v>
      </c>
      <c r="BA157" s="112"/>
      <c r="BB157" s="101" t="s">
        <v>366</v>
      </c>
      <c r="BC157" s="109">
        <f t="shared" si="144"/>
        <v>0</v>
      </c>
      <c r="BD157" s="929">
        <v>45322</v>
      </c>
      <c r="BE157" s="187"/>
      <c r="BF157" s="115"/>
      <c r="BG157" s="115"/>
      <c r="BH157" s="115"/>
      <c r="BI157" s="115"/>
      <c r="BJ157" s="874">
        <f t="shared" si="123"/>
        <v>0</v>
      </c>
      <c r="BK157" s="101"/>
      <c r="BL157" s="101"/>
      <c r="BM157" s="116">
        <v>44012</v>
      </c>
      <c r="BN157" s="330">
        <v>44134</v>
      </c>
      <c r="BO157" s="332"/>
      <c r="BP157" s="94">
        <f t="shared" si="141"/>
        <v>0</v>
      </c>
      <c r="BQ157" s="97" t="str">
        <f t="shared" si="120"/>
        <v>0 - 0 - 0</v>
      </c>
      <c r="BR157" s="97" t="str">
        <f t="shared" si="121"/>
        <v>12 - 12 - 12</v>
      </c>
      <c r="BS157" s="715">
        <f t="shared" si="138"/>
        <v>0</v>
      </c>
      <c r="BT157" s="736">
        <f t="shared" si="122"/>
        <v>3.5999999999999996</v>
      </c>
      <c r="BU157" s="735" t="s">
        <v>1123</v>
      </c>
      <c r="BV157" s="873">
        <v>45382</v>
      </c>
      <c r="BW157">
        <f t="shared" si="142"/>
        <v>1248</v>
      </c>
    </row>
    <row r="158" spans="2:75" customFormat="1" ht="55.25" hidden="1" customHeight="1" x14ac:dyDescent="0.2">
      <c r="B158" s="101" t="str">
        <f t="shared" si="124"/>
        <v>Active</v>
      </c>
      <c r="C158" s="785" t="s">
        <v>1124</v>
      </c>
      <c r="D158" s="101" t="s">
        <v>151</v>
      </c>
      <c r="E158" s="103" t="s">
        <v>1096</v>
      </c>
      <c r="F158" s="127" t="s">
        <v>580</v>
      </c>
      <c r="G158" s="106" t="s">
        <v>1097</v>
      </c>
      <c r="H158" s="101" t="str">
        <f t="shared" si="139"/>
        <v>RT-6-008-006</v>
      </c>
      <c r="I158" s="106" t="s">
        <v>1125</v>
      </c>
      <c r="J158" s="101" t="s">
        <v>1098</v>
      </c>
      <c r="K158" s="101" t="s">
        <v>1126</v>
      </c>
      <c r="L158" s="104" t="s">
        <v>1127</v>
      </c>
      <c r="M158" s="104" t="s">
        <v>129</v>
      </c>
      <c r="N158" s="105">
        <v>5000</v>
      </c>
      <c r="O158" s="106" t="str" cm="1">
        <f t="array" ref="O158">_xlfn.IFS(N158="","",ABS(N158)&lt;='Risk Matrices'!$E$7,'Risk Matrices'!$E$5,ABS(N158)&lt;='Risk Matrices'!$F$7,'Risk Matrices'!$F$5,ABS(N158)&lt;='Risk Matrices'!$G$7,'Risk Matrices'!$G$5,ABS(N158)&lt;='Risk Matrices'!$H$7,'Risk Matrices'!$H$5,ABS(N158)&gt;'Risk Matrices'!$H$7,'Risk Matrices'!$I$5)</f>
        <v>Significant</v>
      </c>
      <c r="P158" s="101">
        <v>0</v>
      </c>
      <c r="Q158" s="101" t="str" cm="1">
        <f t="array" ref="Q158">_xlfn.IFS(P158="","",ABS(P158)&lt;='Risk Matrices'!$E$8,'Risk Matrices'!$E$5,ABS(P158)&lt;='Risk Matrices'!$F$8,'Risk Matrices'!$F$5,ABS(P158)&lt;='Risk Matrices'!$G$8,'Risk Matrices'!$G$5,ABS(P158)&lt;='Risk Matrices'!$H$8,'Risk Matrices'!$H$5,ABS(P158)&gt;'Risk Matrices'!$H$8,'Risk Matrices'!$I$5)</f>
        <v>Negligible</v>
      </c>
      <c r="R158" s="101" t="s">
        <v>207</v>
      </c>
      <c r="S158" s="106">
        <f t="shared" si="126"/>
        <v>4</v>
      </c>
      <c r="T158" s="106" cm="1">
        <f t="array" ref="T158">_xlfn.IFS(O158='Risk Matrices'!$D$28,'Risk Matrices'!$D$29,O158='Risk Matrices'!$E$28,'Risk Matrices'!$E$29,O158='Risk Matrices'!$F$28,'Risk Matrices'!$F$29,O158='Risk Matrices'!$G$28,'Risk Matrices'!$G$29,O158='Risk Matrices'!$H$28,'Risk Matrices'!$H$29)</f>
        <v>3</v>
      </c>
      <c r="U158" s="106">
        <f t="shared" si="127"/>
        <v>1</v>
      </c>
      <c r="V158" s="106">
        <f t="shared" si="140"/>
        <v>1</v>
      </c>
      <c r="W158" s="106">
        <f t="shared" si="129"/>
        <v>3</v>
      </c>
      <c r="X158" s="106">
        <f t="shared" si="130"/>
        <v>12</v>
      </c>
      <c r="Y158" s="107" t="str">
        <f t="shared" si="131"/>
        <v>Moderate</v>
      </c>
      <c r="Z158" s="104"/>
      <c r="AA158" s="108">
        <f t="shared" si="132"/>
        <v>0.52</v>
      </c>
      <c r="AB158" s="109">
        <f t="shared" si="133"/>
        <v>2600</v>
      </c>
      <c r="AC158" s="109" t="s">
        <v>155</v>
      </c>
      <c r="AD158" s="104" t="s">
        <v>1128</v>
      </c>
      <c r="AE158" s="104"/>
      <c r="AF158" s="157" t="s">
        <v>1129</v>
      </c>
      <c r="AG158" s="157"/>
      <c r="AH158" s="101" t="s">
        <v>1118</v>
      </c>
      <c r="AI158" s="878">
        <v>0.5</v>
      </c>
      <c r="AJ158" s="101">
        <v>5000</v>
      </c>
      <c r="AK158" s="101">
        <v>5000</v>
      </c>
      <c r="AL158" s="101">
        <v>5000</v>
      </c>
      <c r="AM158" s="106">
        <v>0</v>
      </c>
      <c r="AN158" s="106">
        <v>0</v>
      </c>
      <c r="AO158" s="106">
        <v>0</v>
      </c>
      <c r="AP158" s="112" t="str">
        <f>IF(OR(ISBLANK(AI158),AI158=0),"INSERT LIKELIHOOD",IF(ABS(AI158)&lt;='Risk Matrices'!$D$22,'Risk Matrices'!$C$21,IF(ABS(AI158)&lt;='Risk Matrices'!$D$19,'Risk Matrices'!$C$18,IF(ABS(AI158)&lt;='Risk Matrices'!$D$16,'Risk Matrices'!$C$15,IF(ABS(AI158)&lt;='Risk Matrices'!$D$13,'Risk Matrices'!$C$12,'Risk Matrices'!$C$10)))))</f>
        <v>High</v>
      </c>
      <c r="AQ158" s="112" t="str">
        <f>IF(OR(ISBLANK(AK158),AK158=0),"None",IF(ABS(AK158)&lt;='Risk Matrices'!$E$7,'Risk Matrices'!$E$5,IF(ABS(AK158)&lt;='Risk Matrices'!$G$7,'Risk Matrices'!$G$5,IF(ABS(AK158)&lt;='Risk Matrices'!$H$7,'Risk Matrices'!$H$5,'Risk Matrices'!$I$5))))</f>
        <v>Significant</v>
      </c>
      <c r="AR158" s="112" t="str">
        <f>IF(AN158="","",IF(ABS(AN158)&lt;='Risk Matrices'!$E$8,"Negligible",IF(ABS(AN158)&lt;='Risk Matrices'!$F$8,"Marginal",IF(ABS(AN158)&lt;='Risk Matrices'!$G$8,"Significant",IF(ABS(AN158)&lt;='Risk Matrices'!$H$8,"Critical","Crisis")))))</f>
        <v>Negligible</v>
      </c>
      <c r="AS158" s="102" t="s">
        <v>130</v>
      </c>
      <c r="AT158" s="298">
        <f>IF(OR(ISBLANK(AI158),AI158=0),0,VLOOKUP(AP158,'Risk Matrices'!$B$30:$C$34,2,0))</f>
        <v>4</v>
      </c>
      <c r="AU158" s="298">
        <f>IF(OR(ISBLANK(AK158),AK158=0),0,HLOOKUP(AQ158,'Risk Matrices'!$D$28:$H$29,2,0))</f>
        <v>3</v>
      </c>
      <c r="AV158" s="298">
        <f>IF(OR(ISBLANK(AR158),AR158=0),0,HLOOKUP(AR158,'Risk Matrices'!$D$28:$H$29,2,0))</f>
        <v>1</v>
      </c>
      <c r="AW158" s="298">
        <f>IF(AS158="None",0,HLOOKUP(AS158,'Risk Matrices'!$D$28:$H$29,2,0))</f>
        <v>0</v>
      </c>
      <c r="AX158" s="106">
        <f t="shared" si="143"/>
        <v>3</v>
      </c>
      <c r="AY158" s="106">
        <f t="shared" si="118"/>
        <v>12</v>
      </c>
      <c r="AZ158" s="107" t="str">
        <f>IF(B158="Retired","Retired",IF(OR(ISBLANK(AY158),AY158=0),"TBD",IF(AY158&lt;='Risk Matrices'!$D$40,'Risk Matrices'!$B$40,IF(AY158&lt;='Risk Matrices'!$D$39,'Risk Matrices'!$B$39,'Risk Matrices'!$B$38))))</f>
        <v>Moderate</v>
      </c>
      <c r="BA158" s="104"/>
      <c r="BB158" s="101" t="s">
        <v>366</v>
      </c>
      <c r="BC158" s="109">
        <f t="shared" si="144"/>
        <v>2500</v>
      </c>
      <c r="BD158" s="932">
        <v>45316</v>
      </c>
      <c r="BE158" s="104"/>
      <c r="BF158" s="104"/>
      <c r="BG158" s="104"/>
      <c r="BH158" s="104"/>
      <c r="BI158" s="104"/>
      <c r="BJ158" s="874">
        <f t="shared" si="123"/>
        <v>2500</v>
      </c>
      <c r="BK158" s="101"/>
      <c r="BL158" s="101"/>
      <c r="BM158" s="116">
        <v>44012</v>
      </c>
      <c r="BN158" s="330">
        <v>44134</v>
      </c>
      <c r="BO158" s="332"/>
      <c r="BP158" s="94">
        <f t="shared" si="141"/>
        <v>2500</v>
      </c>
      <c r="BQ158" s="97" t="str">
        <f t="shared" si="120"/>
        <v>5000 - 5000 - 5000</v>
      </c>
      <c r="BR158" s="97" t="str">
        <f t="shared" si="121"/>
        <v>0 - 0 - 0</v>
      </c>
      <c r="BS158" s="715">
        <f t="shared" si="138"/>
        <v>2500</v>
      </c>
      <c r="BT158" s="736">
        <f t="shared" si="122"/>
        <v>0</v>
      </c>
      <c r="BU158" s="735" t="s">
        <v>1130</v>
      </c>
      <c r="BV158" s="873">
        <v>45382</v>
      </c>
      <c r="BW158">
        <f t="shared" si="142"/>
        <v>1248</v>
      </c>
    </row>
    <row r="159" spans="2:75" customFormat="1" ht="55.25" hidden="1" customHeight="1" x14ac:dyDescent="0.2">
      <c r="B159" s="101" t="str">
        <f t="shared" si="124"/>
        <v>Active</v>
      </c>
      <c r="C159" s="785" t="s">
        <v>1131</v>
      </c>
      <c r="D159" s="101" t="s">
        <v>151</v>
      </c>
      <c r="E159" s="103" t="s">
        <v>1096</v>
      </c>
      <c r="F159" s="127" t="s">
        <v>580</v>
      </c>
      <c r="G159" s="106" t="s">
        <v>1097</v>
      </c>
      <c r="H159" s="103" t="str">
        <f t="shared" si="139"/>
        <v>RT-6-008-007</v>
      </c>
      <c r="I159" s="106" t="s">
        <v>545</v>
      </c>
      <c r="J159" s="101" t="s">
        <v>1098</v>
      </c>
      <c r="K159" s="101" t="s">
        <v>1132</v>
      </c>
      <c r="L159" s="104" t="s">
        <v>1133</v>
      </c>
      <c r="M159" s="103" t="s">
        <v>164</v>
      </c>
      <c r="N159" s="105">
        <v>3000</v>
      </c>
      <c r="O159" s="106" t="str" cm="1">
        <f t="array" ref="O159">_xlfn.IFS(N159="","",ABS(N159)&lt;='Risk Matrices'!$E$7,'Risk Matrices'!$E$5,ABS(N159)&lt;='Risk Matrices'!$F$7,'Risk Matrices'!$F$5,ABS(N159)&lt;='Risk Matrices'!$G$7,'Risk Matrices'!$G$5,ABS(N159)&lt;='Risk Matrices'!$H$7,'Risk Matrices'!$H$5,ABS(N159)&gt;'Risk Matrices'!$H$7,'Risk Matrices'!$I$5)</f>
        <v>Significant</v>
      </c>
      <c r="P159" s="101">
        <v>24</v>
      </c>
      <c r="Q159" s="101" t="str" cm="1">
        <f t="array" ref="Q159">_xlfn.IFS(P159="","",ABS(P159)&lt;='Risk Matrices'!$E$8,'Risk Matrices'!$E$5,ABS(P159)&lt;='Risk Matrices'!$F$8,'Risk Matrices'!$F$5,ABS(P159)&lt;='Risk Matrices'!$G$8,'Risk Matrices'!$G$5,ABS(P159)&lt;='Risk Matrices'!$H$8,'Risk Matrices'!$H$5,ABS(P159)&gt;'Risk Matrices'!$H$8,'Risk Matrices'!$I$5)</f>
        <v>Critical</v>
      </c>
      <c r="R159" s="104" t="s">
        <v>600</v>
      </c>
      <c r="S159" s="106">
        <f t="shared" si="126"/>
        <v>2</v>
      </c>
      <c r="T159" s="106" cm="1">
        <f t="array" ref="T159">_xlfn.IFS(O159='Risk Matrices'!$D$28,'Risk Matrices'!$D$29,O159='Risk Matrices'!$E$28,'Risk Matrices'!$E$29,O159='Risk Matrices'!$F$28,'Risk Matrices'!$F$29,O159='Risk Matrices'!$G$28,'Risk Matrices'!$G$29,O159='Risk Matrices'!$H$28,'Risk Matrices'!$H$29)</f>
        <v>3</v>
      </c>
      <c r="U159" s="106">
        <f t="shared" si="127"/>
        <v>4</v>
      </c>
      <c r="V159" s="106">
        <f t="shared" si="140"/>
        <v>5</v>
      </c>
      <c r="W159" s="106">
        <f t="shared" si="129"/>
        <v>5</v>
      </c>
      <c r="X159" s="106">
        <f t="shared" si="130"/>
        <v>10</v>
      </c>
      <c r="Y159" s="107" t="str">
        <f t="shared" si="131"/>
        <v>Moderate</v>
      </c>
      <c r="Z159" s="104"/>
      <c r="AA159" s="108">
        <f t="shared" si="132"/>
        <v>0.17</v>
      </c>
      <c r="AB159" s="109">
        <f t="shared" si="133"/>
        <v>510.00000000000006</v>
      </c>
      <c r="AC159" s="101" t="s">
        <v>155</v>
      </c>
      <c r="AD159" s="104" t="s">
        <v>1134</v>
      </c>
      <c r="AE159" s="104"/>
      <c r="AF159" s="116" t="s">
        <v>134</v>
      </c>
      <c r="AG159" s="116"/>
      <c r="AH159" s="157" t="s">
        <v>1107</v>
      </c>
      <c r="AI159" s="112">
        <v>0.2</v>
      </c>
      <c r="AJ159" s="106">
        <v>3000</v>
      </c>
      <c r="AK159" s="106">
        <v>3000</v>
      </c>
      <c r="AL159" s="106">
        <v>3000</v>
      </c>
      <c r="AM159" s="106">
        <v>18</v>
      </c>
      <c r="AN159" s="106">
        <v>18</v>
      </c>
      <c r="AO159" s="106">
        <v>18</v>
      </c>
      <c r="AP159" s="112" t="str">
        <f>IF(OR(ISBLANK(AI159),AI159=0),"INSERT LIKELIHOOD",IF(ABS(AI159)&lt;='Risk Matrices'!$D$22,'Risk Matrices'!$C$21,IF(ABS(AI159)&lt;='Risk Matrices'!$D$19,'Risk Matrices'!$C$18,IF(ABS(AI159)&lt;='Risk Matrices'!$D$16,'Risk Matrices'!$C$15,IF(ABS(AI159)&lt;='Risk Matrices'!$D$13,'Risk Matrices'!$C$12,'Risk Matrices'!$C$10)))))</f>
        <v>Low</v>
      </c>
      <c r="AQ159" s="112" t="str">
        <f>IF(OR(ISBLANK(AK159),AK159=0),"None",IF(ABS(AK159)&lt;='Risk Matrices'!$E$7,'Risk Matrices'!$E$5,IF(ABS(AK159)&lt;='Risk Matrices'!$G$7,'Risk Matrices'!$G$5,IF(ABS(AK159)&lt;='Risk Matrices'!$H$7,'Risk Matrices'!$H$5,'Risk Matrices'!$I$5))))</f>
        <v>Significant</v>
      </c>
      <c r="AR159" s="112" t="str">
        <f>IF(AN159="","",IF(ABS(AN159)&lt;='Risk Matrices'!$E$8,"Negligible",IF(ABS(AN159)&lt;='Risk Matrices'!$F$8,"Marginal",IF(ABS(AN159)&lt;='Risk Matrices'!$G$8,"Significant",IF(ABS(AN159)&lt;='Risk Matrices'!$H$8,"Critical","Crisis")))))</f>
        <v>Critical</v>
      </c>
      <c r="AS159" s="103" t="s">
        <v>130</v>
      </c>
      <c r="AT159" s="298">
        <f>IF(OR(ISBLANK(AI159),AI159=0),0,VLOOKUP(AP159,'Risk Matrices'!$B$30:$C$34,2,0))</f>
        <v>2</v>
      </c>
      <c r="AU159" s="298">
        <f>IF(OR(ISBLANK(AK159),AK159=0),0,HLOOKUP(AQ159,'Risk Matrices'!$D$28:$H$29,2,0))</f>
        <v>3</v>
      </c>
      <c r="AV159" s="298">
        <f>IF(OR(ISBLANK(AR159),AR159=0),0,HLOOKUP(AR159,'Risk Matrices'!$D$28:$H$29,2,0))</f>
        <v>4</v>
      </c>
      <c r="AW159" s="298">
        <f>IF(AS159="None",0,HLOOKUP(AS159,'Risk Matrices'!$D$28:$H$29,2,0))</f>
        <v>0</v>
      </c>
      <c r="AX159" s="106">
        <f t="shared" si="143"/>
        <v>4</v>
      </c>
      <c r="AY159" s="106">
        <f t="shared" si="118"/>
        <v>8</v>
      </c>
      <c r="AZ159" s="107" t="str">
        <f>IF(B159="Retired","Retired",IF(OR(ISBLANK(AY159),AY159=0),"TBD",IF(AY159&lt;='Risk Matrices'!$D$40,'Risk Matrices'!$B$40,IF(AY159&lt;='Risk Matrices'!$D$39,'Risk Matrices'!$B$39,'Risk Matrices'!$B$38))))</f>
        <v>Moderate</v>
      </c>
      <c r="BA159" s="112"/>
      <c r="BB159" s="101" t="s">
        <v>366</v>
      </c>
      <c r="BC159" s="109">
        <f t="shared" si="144"/>
        <v>600</v>
      </c>
      <c r="BD159" s="929">
        <v>45322</v>
      </c>
      <c r="BE159" s="114"/>
      <c r="BF159" s="115"/>
      <c r="BG159" s="115"/>
      <c r="BH159" s="115"/>
      <c r="BI159" s="115"/>
      <c r="BJ159" s="874">
        <f t="shared" si="123"/>
        <v>600</v>
      </c>
      <c r="BK159" s="101"/>
      <c r="BL159" s="101"/>
      <c r="BM159" s="116">
        <v>44463</v>
      </c>
      <c r="BN159" s="330">
        <v>44466</v>
      </c>
      <c r="BO159" s="332"/>
      <c r="BP159" s="94">
        <f t="shared" si="141"/>
        <v>600</v>
      </c>
      <c r="BQ159" s="97" t="str">
        <f t="shared" si="120"/>
        <v>3000 - 3000 - 3000</v>
      </c>
      <c r="BR159" s="97" t="str">
        <f t="shared" si="121"/>
        <v>18 - 18 - 18</v>
      </c>
      <c r="BS159" s="715">
        <f t="shared" si="138"/>
        <v>600</v>
      </c>
      <c r="BT159" s="736">
        <f t="shared" si="122"/>
        <v>3.6</v>
      </c>
      <c r="BU159" s="735" t="s">
        <v>1135</v>
      </c>
      <c r="BV159" s="873">
        <v>45382</v>
      </c>
      <c r="BW159">
        <f t="shared" si="142"/>
        <v>916</v>
      </c>
    </row>
    <row r="160" spans="2:75" customFormat="1" ht="48" hidden="1" customHeight="1" x14ac:dyDescent="0.2">
      <c r="B160" s="101" t="str">
        <f t="shared" si="124"/>
        <v>Active</v>
      </c>
      <c r="C160" s="785" t="s">
        <v>1136</v>
      </c>
      <c r="D160" s="101" t="s">
        <v>151</v>
      </c>
      <c r="E160" s="103" t="s">
        <v>1096</v>
      </c>
      <c r="F160" s="127" t="s">
        <v>580</v>
      </c>
      <c r="G160" s="106" t="s">
        <v>1097</v>
      </c>
      <c r="H160" s="103" t="str">
        <f t="shared" si="139"/>
        <v>RT-6-008-008</v>
      </c>
      <c r="I160" s="106" t="s">
        <v>545</v>
      </c>
      <c r="J160" s="101" t="s">
        <v>1098</v>
      </c>
      <c r="K160" s="101" t="s">
        <v>1137</v>
      </c>
      <c r="L160" s="104" t="s">
        <v>1138</v>
      </c>
      <c r="M160" s="103" t="s">
        <v>164</v>
      </c>
      <c r="N160" s="105">
        <v>1000</v>
      </c>
      <c r="O160" s="106" t="str" cm="1">
        <f t="array" ref="O160">_xlfn.IFS(N160="","",ABS(N160)&lt;='Risk Matrices'!$E$7,'Risk Matrices'!$E$5,ABS(N160)&lt;='Risk Matrices'!$F$7,'Risk Matrices'!$F$5,ABS(N160)&lt;='Risk Matrices'!$G$7,'Risk Matrices'!$G$5,ABS(N160)&lt;='Risk Matrices'!$H$7,'Risk Matrices'!$H$5,ABS(N160)&gt;'Risk Matrices'!$H$7,'Risk Matrices'!$I$5)</f>
        <v>Marginal</v>
      </c>
      <c r="P160" s="101">
        <v>12</v>
      </c>
      <c r="Q160" s="101" t="str" cm="1">
        <f t="array" ref="Q160">_xlfn.IFS(P160="","",ABS(P160)&lt;='Risk Matrices'!$E$8,'Risk Matrices'!$E$5,ABS(P160)&lt;='Risk Matrices'!$F$8,'Risk Matrices'!$F$5,ABS(P160)&lt;='Risk Matrices'!$G$8,'Risk Matrices'!$G$5,ABS(P160)&lt;='Risk Matrices'!$H$8,'Risk Matrices'!$H$5,ABS(P160)&gt;'Risk Matrices'!$H$8,'Risk Matrices'!$I$5)</f>
        <v>Significant</v>
      </c>
      <c r="R160" s="104" t="s">
        <v>280</v>
      </c>
      <c r="S160" s="106">
        <f t="shared" si="126"/>
        <v>2</v>
      </c>
      <c r="T160" s="106" cm="1">
        <f t="array" ref="T160">_xlfn.IFS(O160='Risk Matrices'!$D$28,'Risk Matrices'!$D$29,O160='Risk Matrices'!$E$28,'Risk Matrices'!$E$29,O160='Risk Matrices'!$F$28,'Risk Matrices'!$F$29,O160='Risk Matrices'!$G$28,'Risk Matrices'!$G$29,O160='Risk Matrices'!$H$28,'Risk Matrices'!$H$29)</f>
        <v>2</v>
      </c>
      <c r="U160" s="106">
        <f t="shared" si="127"/>
        <v>3</v>
      </c>
      <c r="V160" s="106">
        <f t="shared" si="140"/>
        <v>2</v>
      </c>
      <c r="W160" s="106">
        <f t="shared" si="129"/>
        <v>3</v>
      </c>
      <c r="X160" s="106">
        <f t="shared" si="130"/>
        <v>6</v>
      </c>
      <c r="Y160" s="107" t="str">
        <f t="shared" si="131"/>
        <v>Low</v>
      </c>
      <c r="Z160" s="104"/>
      <c r="AA160" s="108">
        <f t="shared" si="132"/>
        <v>0.17</v>
      </c>
      <c r="AB160" s="109">
        <f t="shared" si="133"/>
        <v>170</v>
      </c>
      <c r="AC160" s="101" t="s">
        <v>155</v>
      </c>
      <c r="AD160" s="751" t="s">
        <v>1139</v>
      </c>
      <c r="AE160" s="751"/>
      <c r="AF160" s="116" t="s">
        <v>134</v>
      </c>
      <c r="AG160" s="116"/>
      <c r="AH160" s="157" t="s">
        <v>1107</v>
      </c>
      <c r="AI160" s="112">
        <v>0.2</v>
      </c>
      <c r="AJ160" s="106">
        <v>1000</v>
      </c>
      <c r="AK160" s="106">
        <v>1000</v>
      </c>
      <c r="AL160" s="106">
        <v>1000</v>
      </c>
      <c r="AM160" s="143">
        <v>0</v>
      </c>
      <c r="AN160" s="143">
        <v>0</v>
      </c>
      <c r="AO160" s="143">
        <v>0</v>
      </c>
      <c r="AP160" s="112" t="str">
        <f>IF(OR(ISBLANK(AI160),AI160=0),"INSERT LIKELIHOOD",IF(ABS(AI160)&lt;='Risk Matrices'!$D$22,'Risk Matrices'!$C$21,IF(ABS(AI160)&lt;='Risk Matrices'!$D$19,'Risk Matrices'!$C$18,IF(ABS(AI160)&lt;='Risk Matrices'!$D$16,'Risk Matrices'!$C$15,IF(ABS(AI160)&lt;='Risk Matrices'!$D$13,'Risk Matrices'!$C$12,'Risk Matrices'!$C$10)))))</f>
        <v>Low</v>
      </c>
      <c r="AQ160" s="112" t="str">
        <f>IF(OR(ISBLANK(AK160),AK160=0),"None",IF(ABS(AK160)&lt;='Risk Matrices'!$E$7,'Risk Matrices'!$E$5,IF(ABS(AK160)&lt;='Risk Matrices'!$G$7,'Risk Matrices'!$G$5,IF(ABS(AK160)&lt;='Risk Matrices'!$H$7,'Risk Matrices'!$H$5,'Risk Matrices'!$I$5))))</f>
        <v>Significant</v>
      </c>
      <c r="AR160" s="112" t="str">
        <f>IF(AN160="","",IF(ABS(AN160)&lt;='Risk Matrices'!$E$8,"Negligible",IF(ABS(AN160)&lt;='Risk Matrices'!$F$8,"Marginal",IF(ABS(AN160)&lt;='Risk Matrices'!$G$8,"Significant",IF(ABS(AN160)&lt;='Risk Matrices'!$H$8,"Critical","Crisis")))))</f>
        <v>Negligible</v>
      </c>
      <c r="AS160" s="103" t="s">
        <v>130</v>
      </c>
      <c r="AT160" s="298">
        <f>IF(OR(ISBLANK(AI160),AI160=0),0,VLOOKUP(AP160,'Risk Matrices'!$B$30:$C$34,2,0))</f>
        <v>2</v>
      </c>
      <c r="AU160" s="298">
        <f>IF(OR(ISBLANK(AK160),AK160=0),0,HLOOKUP(AQ160,'Risk Matrices'!$D$28:$H$29,2,0))</f>
        <v>3</v>
      </c>
      <c r="AV160" s="298">
        <f>IF(OR(ISBLANK(AR160),AR160=0),0,HLOOKUP(AR160,'Risk Matrices'!$D$28:$H$29,2,0))</f>
        <v>1</v>
      </c>
      <c r="AW160" s="298">
        <f>IF(AS160="None",0,HLOOKUP(AS160,'Risk Matrices'!$D$28:$H$29,2,0))</f>
        <v>0</v>
      </c>
      <c r="AX160" s="106">
        <f t="shared" si="143"/>
        <v>3</v>
      </c>
      <c r="AY160" s="106">
        <f t="shared" si="118"/>
        <v>6</v>
      </c>
      <c r="AZ160" s="107" t="str">
        <f>IF(B160="Retired","Retired",IF(OR(ISBLANK(AY160),AY160=0),"TBD",IF(AY160&lt;='Risk Matrices'!$D$40,'Risk Matrices'!$B$40,IF(AY160&lt;='Risk Matrices'!$D$39,'Risk Matrices'!$B$39,'Risk Matrices'!$B$38))))</f>
        <v>Low</v>
      </c>
      <c r="BA160" s="112"/>
      <c r="BB160" s="101" t="s">
        <v>366</v>
      </c>
      <c r="BC160" s="109">
        <f t="shared" si="144"/>
        <v>200</v>
      </c>
      <c r="BD160" s="929">
        <v>45322</v>
      </c>
      <c r="BE160" s="114"/>
      <c r="BF160" s="115"/>
      <c r="BG160" s="115"/>
      <c r="BH160" s="115"/>
      <c r="BI160" s="115"/>
      <c r="BJ160" s="874">
        <f t="shared" si="123"/>
        <v>200</v>
      </c>
      <c r="BK160" s="101"/>
      <c r="BL160" s="101"/>
      <c r="BM160" s="116">
        <v>44463</v>
      </c>
      <c r="BN160" s="116">
        <v>44466</v>
      </c>
      <c r="BO160" s="332"/>
      <c r="BP160" s="94">
        <f t="shared" si="141"/>
        <v>200</v>
      </c>
      <c r="BQ160" s="97" t="str">
        <f t="shared" si="120"/>
        <v>1000 - 1000 - 1000</v>
      </c>
      <c r="BR160" s="97" t="str">
        <f t="shared" si="121"/>
        <v>0 - 0 - 0</v>
      </c>
      <c r="BS160" s="715">
        <f t="shared" si="138"/>
        <v>200</v>
      </c>
      <c r="BT160" s="736">
        <f t="shared" si="122"/>
        <v>0</v>
      </c>
      <c r="BU160" s="735" t="s">
        <v>1140</v>
      </c>
      <c r="BV160" s="873">
        <v>45382</v>
      </c>
      <c r="BW160">
        <f t="shared" si="142"/>
        <v>916</v>
      </c>
    </row>
    <row r="161" spans="2:75" customFormat="1" ht="48" hidden="1" customHeight="1" x14ac:dyDescent="0.2">
      <c r="B161" s="101" t="str">
        <f t="shared" si="124"/>
        <v>Active</v>
      </c>
      <c r="C161" s="785" t="s">
        <v>1141</v>
      </c>
      <c r="D161" s="101" t="s">
        <v>151</v>
      </c>
      <c r="E161" s="103" t="s">
        <v>1096</v>
      </c>
      <c r="F161" s="127" t="s">
        <v>580</v>
      </c>
      <c r="G161" s="106" t="s">
        <v>1097</v>
      </c>
      <c r="H161" s="103" t="str">
        <f t="shared" si="139"/>
        <v>RT-6-008-009</v>
      </c>
      <c r="I161" s="106" t="s">
        <v>545</v>
      </c>
      <c r="J161" s="101" t="s">
        <v>1098</v>
      </c>
      <c r="K161" s="101" t="s">
        <v>1142</v>
      </c>
      <c r="L161" s="113" t="s">
        <v>1143</v>
      </c>
      <c r="M161" s="103" t="s">
        <v>164</v>
      </c>
      <c r="N161" s="105">
        <v>500</v>
      </c>
      <c r="O161" s="106" t="str" cm="1">
        <f t="array" ref="O161">_xlfn.IFS(N161="","",ABS(N161)&lt;='Risk Matrices'!$E$7,'Risk Matrices'!$E$5,ABS(N161)&lt;='Risk Matrices'!$F$7,'Risk Matrices'!$F$5,ABS(N161)&lt;='Risk Matrices'!$G$7,'Risk Matrices'!$G$5,ABS(N161)&lt;='Risk Matrices'!$H$7,'Risk Matrices'!$H$5,ABS(N161)&gt;'Risk Matrices'!$H$7,'Risk Matrices'!$I$5)</f>
        <v>Marginal</v>
      </c>
      <c r="P161" s="101">
        <v>9</v>
      </c>
      <c r="Q161" s="101" t="str" cm="1">
        <f t="array" ref="Q161">_xlfn.IFS(P161="","",ABS(P161)&lt;='Risk Matrices'!$E$8,'Risk Matrices'!$E$5,ABS(P161)&lt;='Risk Matrices'!$F$8,'Risk Matrices'!$F$5,ABS(P161)&lt;='Risk Matrices'!$G$8,'Risk Matrices'!$G$5,ABS(P161)&lt;='Risk Matrices'!$H$8,'Risk Matrices'!$H$5,ABS(P161)&gt;'Risk Matrices'!$H$8,'Risk Matrices'!$I$5)</f>
        <v>Significant</v>
      </c>
      <c r="R161" s="101" t="s">
        <v>130</v>
      </c>
      <c r="S161" s="106">
        <f t="shared" si="126"/>
        <v>2</v>
      </c>
      <c r="T161" s="106" cm="1">
        <f t="array" ref="T161">_xlfn.IFS(O161='Risk Matrices'!$D$28,'Risk Matrices'!$D$29,O161='Risk Matrices'!$E$28,'Risk Matrices'!$E$29,O161='Risk Matrices'!$F$28,'Risk Matrices'!$F$29,O161='Risk Matrices'!$G$28,'Risk Matrices'!$G$29,O161='Risk Matrices'!$H$28,'Risk Matrices'!$H$29)</f>
        <v>2</v>
      </c>
      <c r="U161" s="106">
        <f t="shared" si="127"/>
        <v>3</v>
      </c>
      <c r="V161" s="106">
        <f t="shared" si="140"/>
        <v>0</v>
      </c>
      <c r="W161" s="106">
        <f t="shared" si="129"/>
        <v>3</v>
      </c>
      <c r="X161" s="106">
        <f t="shared" si="130"/>
        <v>6</v>
      </c>
      <c r="Y161" s="107" t="str">
        <f t="shared" si="131"/>
        <v>Low</v>
      </c>
      <c r="Z161" s="104"/>
      <c r="AA161" s="108">
        <f t="shared" si="132"/>
        <v>0.17</v>
      </c>
      <c r="AB161" s="109">
        <f t="shared" si="133"/>
        <v>85</v>
      </c>
      <c r="AC161" s="101" t="s">
        <v>155</v>
      </c>
      <c r="AD161" s="746" t="s">
        <v>1144</v>
      </c>
      <c r="AE161" s="746"/>
      <c r="AF161" s="116" t="s">
        <v>134</v>
      </c>
      <c r="AG161" s="116"/>
      <c r="AH161" s="101" t="s">
        <v>1107</v>
      </c>
      <c r="AI161" s="112">
        <v>0.2</v>
      </c>
      <c r="AJ161" s="106">
        <v>500</v>
      </c>
      <c r="AK161" s="106">
        <v>500</v>
      </c>
      <c r="AL161" s="106">
        <v>500</v>
      </c>
      <c r="AM161" s="143">
        <v>0</v>
      </c>
      <c r="AN161" s="143">
        <v>0</v>
      </c>
      <c r="AO161" s="143">
        <v>0</v>
      </c>
      <c r="AP161" s="112" t="str">
        <f>IF(OR(ISBLANK(AI161),AI161=0),"INSERT LIKELIHOOD",IF(ABS(AI161)&lt;='Risk Matrices'!$D$22,'Risk Matrices'!$C$21,IF(ABS(AI161)&lt;='Risk Matrices'!$D$19,'Risk Matrices'!$C$18,IF(ABS(AI161)&lt;='Risk Matrices'!$D$16,'Risk Matrices'!$C$15,IF(ABS(AI161)&lt;='Risk Matrices'!$D$13,'Risk Matrices'!$C$12,'Risk Matrices'!$C$10)))))</f>
        <v>Low</v>
      </c>
      <c r="AQ161" s="112" t="str">
        <f>IF(OR(ISBLANK(AK161),AK161=0),"None",IF(ABS(AK161)&lt;='Risk Matrices'!$E$7,'Risk Matrices'!$E$5,IF(ABS(AK161)&lt;='Risk Matrices'!$G$7,'Risk Matrices'!$G$5,IF(ABS(AK161)&lt;='Risk Matrices'!$H$7,'Risk Matrices'!$H$5,'Risk Matrices'!$I$5))))</f>
        <v>Significant</v>
      </c>
      <c r="AR161" s="112" t="str">
        <f>IF(AN161="","",IF(ABS(AN161)&lt;='Risk Matrices'!$E$8,"Negligible",IF(ABS(AN161)&lt;='Risk Matrices'!$F$8,"Marginal",IF(ABS(AN161)&lt;='Risk Matrices'!$G$8,"Significant",IF(ABS(AN161)&lt;='Risk Matrices'!$H$8,"Critical","Crisis")))))</f>
        <v>Negligible</v>
      </c>
      <c r="AS161" s="103" t="s">
        <v>130</v>
      </c>
      <c r="AT161" s="298">
        <f>IF(OR(ISBLANK(AI161),AI161=0),0,VLOOKUP(AP161,'Risk Matrices'!$B$30:$C$34,2,0))</f>
        <v>2</v>
      </c>
      <c r="AU161" s="298">
        <f>IF(OR(ISBLANK(AK161),AK161=0),0,HLOOKUP(AQ161,'Risk Matrices'!$D$28:$H$29,2,0))</f>
        <v>3</v>
      </c>
      <c r="AV161" s="298">
        <f>IF(OR(ISBLANK(AR161),AR161=0),0,HLOOKUP(AR161,'Risk Matrices'!$D$28:$H$29,2,0))</f>
        <v>1</v>
      </c>
      <c r="AW161" s="298">
        <f>IF(AS161="None",0,HLOOKUP(AS161,'Risk Matrices'!$D$28:$H$29,2,0))</f>
        <v>0</v>
      </c>
      <c r="AX161" s="106">
        <f t="shared" si="143"/>
        <v>3</v>
      </c>
      <c r="AY161" s="106">
        <f t="shared" ref="AY161:AY188" si="145">AT161*AX161</f>
        <v>6</v>
      </c>
      <c r="AZ161" s="107" t="str">
        <f>IF(B161="Retired","Retired",IF(OR(ISBLANK(AY161),AY161=0),"TBD",IF(AY161&lt;='Risk Matrices'!$D$40,'Risk Matrices'!$B$40,IF(AY161&lt;='Risk Matrices'!$D$39,'Risk Matrices'!$B$39,'Risk Matrices'!$B$38))))</f>
        <v>Low</v>
      </c>
      <c r="BA161" s="112"/>
      <c r="BB161" s="101" t="s">
        <v>366</v>
      </c>
      <c r="BC161" s="109">
        <f t="shared" si="144"/>
        <v>100</v>
      </c>
      <c r="BD161" s="929">
        <v>45322</v>
      </c>
      <c r="BE161" s="114"/>
      <c r="BF161" s="115"/>
      <c r="BG161" s="115"/>
      <c r="BH161" s="115"/>
      <c r="BI161" s="115"/>
      <c r="BJ161" s="874">
        <f t="shared" si="123"/>
        <v>100</v>
      </c>
      <c r="BK161" s="101"/>
      <c r="BL161" s="101"/>
      <c r="BM161" s="116">
        <v>44463</v>
      </c>
      <c r="BN161" s="116">
        <v>44466</v>
      </c>
      <c r="BO161" s="332"/>
      <c r="BP161" s="94">
        <f t="shared" si="141"/>
        <v>100</v>
      </c>
      <c r="BQ161" s="97" t="str">
        <f t="shared" ref="BQ161:BQ188" si="146">CONCATENATE(AJ161," - ",AK161," - ",AL161)</f>
        <v>500 - 500 - 500</v>
      </c>
      <c r="BR161" s="97" t="str">
        <f t="shared" ref="BR161:BR188" si="147">CONCATENATE(AM161," - ",AN161," - ",AO161)</f>
        <v>0 - 0 - 0</v>
      </c>
      <c r="BS161" s="715">
        <f t="shared" si="138"/>
        <v>100</v>
      </c>
      <c r="BT161" s="736">
        <f t="shared" ref="BT161:BT188" si="148">AI161*(AM161+AN161+AO161)/3</f>
        <v>0</v>
      </c>
      <c r="BU161" s="735" t="s">
        <v>1145</v>
      </c>
      <c r="BV161" s="873">
        <v>45382</v>
      </c>
      <c r="BW161">
        <f t="shared" si="142"/>
        <v>916</v>
      </c>
    </row>
    <row r="162" spans="2:75" customFormat="1" ht="68" hidden="1" customHeight="1" x14ac:dyDescent="0.2">
      <c r="B162" s="101" t="str">
        <f t="shared" si="124"/>
        <v>Active</v>
      </c>
      <c r="C162" s="814" t="s">
        <v>1146</v>
      </c>
      <c r="D162" s="101" t="s">
        <v>151</v>
      </c>
      <c r="E162" s="103" t="s">
        <v>1096</v>
      </c>
      <c r="F162" s="127" t="s">
        <v>580</v>
      </c>
      <c r="G162" s="106" t="s">
        <v>1097</v>
      </c>
      <c r="H162" s="103" t="str">
        <f t="shared" si="139"/>
        <v>RT-6-008-010-LLP-CD3A</v>
      </c>
      <c r="I162" s="106" t="s">
        <v>545</v>
      </c>
      <c r="J162" s="101" t="s">
        <v>1098</v>
      </c>
      <c r="K162" s="101" t="s">
        <v>1147</v>
      </c>
      <c r="L162" s="146" t="s">
        <v>1148</v>
      </c>
      <c r="M162" s="103" t="s">
        <v>129</v>
      </c>
      <c r="N162" s="105">
        <v>1500</v>
      </c>
      <c r="O162" s="106" t="str" cm="1">
        <f t="array" ref="O162">_xlfn.IFS(N162="","",ABS(N162)&lt;='Risk Matrices'!$E$7,'Risk Matrices'!$E$5,ABS(N162)&lt;='Risk Matrices'!$F$7,'Risk Matrices'!$F$5,ABS(N162)&lt;='Risk Matrices'!$G$7,'Risk Matrices'!$G$5,ABS(N162)&lt;='Risk Matrices'!$H$7,'Risk Matrices'!$H$5,ABS(N162)&gt;'Risk Matrices'!$H$7,'Risk Matrices'!$I$5)</f>
        <v>Significant</v>
      </c>
      <c r="P162" s="101">
        <v>12</v>
      </c>
      <c r="Q162" s="101" t="str" cm="1">
        <f t="array" ref="Q162">_xlfn.IFS(P162="","",ABS(P162)&lt;='Risk Matrices'!$E$8,'Risk Matrices'!$E$5,ABS(P162)&lt;='Risk Matrices'!$F$8,'Risk Matrices'!$F$5,ABS(P162)&lt;='Risk Matrices'!$G$8,'Risk Matrices'!$G$5,ABS(P162)&lt;='Risk Matrices'!$H$8,'Risk Matrices'!$H$5,ABS(P162)&gt;'Risk Matrices'!$H$8,'Risk Matrices'!$I$5)</f>
        <v>Significant</v>
      </c>
      <c r="R162" s="104" t="s">
        <v>406</v>
      </c>
      <c r="S162" s="106">
        <f t="shared" si="126"/>
        <v>4</v>
      </c>
      <c r="T162" s="106" cm="1">
        <f t="array" ref="T162">_xlfn.IFS(O162='Risk Matrices'!$D$28,'Risk Matrices'!$D$29,O162='Risk Matrices'!$E$28,'Risk Matrices'!$E$29,O162='Risk Matrices'!$F$28,'Risk Matrices'!$F$29,O162='Risk Matrices'!$G$28,'Risk Matrices'!$G$29,O162='Risk Matrices'!$H$28,'Risk Matrices'!$H$29)</f>
        <v>3</v>
      </c>
      <c r="U162" s="106">
        <f t="shared" si="127"/>
        <v>3</v>
      </c>
      <c r="V162" s="106">
        <f t="shared" si="140"/>
        <v>4</v>
      </c>
      <c r="W162" s="106">
        <f t="shared" si="129"/>
        <v>4</v>
      </c>
      <c r="X162" s="106">
        <f t="shared" si="130"/>
        <v>16</v>
      </c>
      <c r="Y162" s="107" t="str">
        <f t="shared" si="131"/>
        <v>High</v>
      </c>
      <c r="Z162" s="104"/>
      <c r="AA162" s="108">
        <f t="shared" si="132"/>
        <v>0.52</v>
      </c>
      <c r="AB162" s="109">
        <f t="shared" si="133"/>
        <v>780</v>
      </c>
      <c r="AC162" s="101" t="s">
        <v>155</v>
      </c>
      <c r="AD162" s="146" t="s">
        <v>1149</v>
      </c>
      <c r="AE162" s="146"/>
      <c r="AF162" s="116" t="s">
        <v>167</v>
      </c>
      <c r="AG162" s="116"/>
      <c r="AH162" s="101" t="s">
        <v>1150</v>
      </c>
      <c r="AI162" s="112">
        <v>0.6</v>
      </c>
      <c r="AJ162" s="106">
        <v>851</v>
      </c>
      <c r="AK162" s="106">
        <v>1134</v>
      </c>
      <c r="AL162" s="106">
        <v>1701</v>
      </c>
      <c r="AM162" s="143">
        <v>6</v>
      </c>
      <c r="AN162" s="143">
        <v>14</v>
      </c>
      <c r="AO162" s="143">
        <v>18</v>
      </c>
      <c r="AP162" s="112" t="str">
        <f>IF(OR(ISBLANK(AI162),AI162=0),"INSERT LIKELIHOOD",IF(ABS(AI162)&lt;='Risk Matrices'!$D$22,'Risk Matrices'!$C$21,IF(ABS(AI162)&lt;='Risk Matrices'!$D$19,'Risk Matrices'!$C$18,IF(ABS(AI162)&lt;='Risk Matrices'!$D$16,'Risk Matrices'!$C$15,IF(ABS(AI162)&lt;='Risk Matrices'!$D$13,'Risk Matrices'!$C$12,'Risk Matrices'!$C$10)))))</f>
        <v>High</v>
      </c>
      <c r="AQ162" s="112" t="str">
        <f>IF(OR(ISBLANK(AK162),AK162=0),"None",IF(ABS(AK162)&lt;='Risk Matrices'!$E$7,'Risk Matrices'!$E$5,IF(ABS(AK162)&lt;='Risk Matrices'!$G$7,'Risk Matrices'!$G$5,IF(ABS(AK162)&lt;='Risk Matrices'!$H$7,'Risk Matrices'!$H$5,'Risk Matrices'!$I$5))))</f>
        <v>Significant</v>
      </c>
      <c r="AR162" s="112" t="str">
        <f>IF(AN162="","",IF(ABS(AN162)&lt;='Risk Matrices'!$E$8,"Negligible",IF(ABS(AN162)&lt;='Risk Matrices'!$F$8,"Marginal",IF(ABS(AN162)&lt;='Risk Matrices'!$G$8,"Significant",IF(ABS(AN162)&lt;='Risk Matrices'!$H$8,"Critical","Crisis")))))</f>
        <v>Critical</v>
      </c>
      <c r="AS162" s="103" t="s">
        <v>307</v>
      </c>
      <c r="AT162" s="298">
        <f>IF(OR(ISBLANK(AI162),AI162=0),0,VLOOKUP(AP162,'Risk Matrices'!$B$30:$C$34,2,0))</f>
        <v>4</v>
      </c>
      <c r="AU162" s="298">
        <f>IF(OR(ISBLANK(AK162),AK162=0),0,HLOOKUP(AQ162,'Risk Matrices'!$D$28:$H$29,2,0))</f>
        <v>3</v>
      </c>
      <c r="AV162" s="298">
        <f>IF(OR(ISBLANK(AR162),AR162=0),0,HLOOKUP(AR162,'Risk Matrices'!$D$28:$H$29,2,0))</f>
        <v>4</v>
      </c>
      <c r="AW162" s="298">
        <f>IF(AS162="None",0,HLOOKUP(AS162,'Risk Matrices'!$D$28:$H$29,2,0))</f>
        <v>3</v>
      </c>
      <c r="AX162" s="106">
        <f t="shared" si="143"/>
        <v>4</v>
      </c>
      <c r="AY162" s="106">
        <f t="shared" si="145"/>
        <v>16</v>
      </c>
      <c r="AZ162" s="107" t="str">
        <f>IF(B162="Retired","Retired",IF(OR(ISBLANK(AY162),AY162=0),"TBD",IF(AY162&lt;='Risk Matrices'!$D$40,'Risk Matrices'!$B$40,IF(AY162&lt;='Risk Matrices'!$D$39,'Risk Matrices'!$B$39,'Risk Matrices'!$B$38))))</f>
        <v>High</v>
      </c>
      <c r="BA162" s="112"/>
      <c r="BB162" s="113" t="s">
        <v>1151</v>
      </c>
      <c r="BC162" s="109">
        <f t="shared" si="144"/>
        <v>680.4</v>
      </c>
      <c r="BD162" s="185">
        <v>45517</v>
      </c>
      <c r="BE162" s="114"/>
      <c r="BF162" s="115"/>
      <c r="BG162" s="115"/>
      <c r="BH162" s="115"/>
      <c r="BI162" s="115"/>
      <c r="BJ162" s="874">
        <f t="shared" ref="BJ162:BJ188" si="149">AI162*(SUM(AJ162:AL162)/3)</f>
        <v>737.2</v>
      </c>
      <c r="BK162" s="101"/>
      <c r="BL162" s="101"/>
      <c r="BM162" s="116">
        <v>44463</v>
      </c>
      <c r="BN162" s="330">
        <v>44466</v>
      </c>
      <c r="BO162" s="332"/>
      <c r="BP162" s="94">
        <f t="shared" si="141"/>
        <v>708.8</v>
      </c>
      <c r="BQ162" s="97" t="str">
        <f t="shared" si="146"/>
        <v>851 - 1134 - 1701</v>
      </c>
      <c r="BR162" s="97" t="str">
        <f t="shared" si="147"/>
        <v>6 - 14 - 18</v>
      </c>
      <c r="BS162" s="715">
        <f t="shared" si="138"/>
        <v>737.2</v>
      </c>
      <c r="BT162" s="736">
        <f t="shared" si="148"/>
        <v>7.6000000000000005</v>
      </c>
      <c r="BU162" s="735" t="s">
        <v>1152</v>
      </c>
      <c r="BV162" s="873">
        <v>45382</v>
      </c>
      <c r="BW162">
        <f t="shared" si="142"/>
        <v>916</v>
      </c>
    </row>
    <row r="163" spans="2:75" customFormat="1" ht="75" hidden="1" customHeight="1" x14ac:dyDescent="0.2">
      <c r="B163" s="101" t="str">
        <f t="shared" si="124"/>
        <v>Active</v>
      </c>
      <c r="C163" s="785" t="s">
        <v>1153</v>
      </c>
      <c r="D163" s="101" t="s">
        <v>151</v>
      </c>
      <c r="E163" s="103" t="s">
        <v>1096</v>
      </c>
      <c r="F163" s="127" t="s">
        <v>580</v>
      </c>
      <c r="G163" s="106" t="s">
        <v>1097</v>
      </c>
      <c r="H163" s="103" t="str">
        <f t="shared" si="139"/>
        <v>RT-6-008-011</v>
      </c>
      <c r="I163" s="106" t="s">
        <v>545</v>
      </c>
      <c r="J163" s="101" t="s">
        <v>1098</v>
      </c>
      <c r="K163" s="101" t="s">
        <v>1154</v>
      </c>
      <c r="L163" s="104" t="s">
        <v>1155</v>
      </c>
      <c r="M163" s="103" t="s">
        <v>197</v>
      </c>
      <c r="N163" s="105">
        <v>1500</v>
      </c>
      <c r="O163" s="106" t="str" cm="1">
        <f t="array" ref="O163">_xlfn.IFS(N163="","",ABS(N163)&lt;='Risk Matrices'!$E$7,'Risk Matrices'!$E$5,ABS(N163)&lt;='Risk Matrices'!$F$7,'Risk Matrices'!$F$5,ABS(N163)&lt;='Risk Matrices'!$G$7,'Risk Matrices'!$G$5,ABS(N163)&lt;='Risk Matrices'!$H$7,'Risk Matrices'!$H$5,ABS(N163)&gt;'Risk Matrices'!$H$7,'Risk Matrices'!$I$5)</f>
        <v>Significant</v>
      </c>
      <c r="P163" s="101">
        <v>12</v>
      </c>
      <c r="Q163" s="101" t="str" cm="1">
        <f t="array" ref="Q163">_xlfn.IFS(P163="","",ABS(P163)&lt;='Risk Matrices'!$E$8,'Risk Matrices'!$E$5,ABS(P163)&lt;='Risk Matrices'!$F$8,'Risk Matrices'!$F$5,ABS(P163)&lt;='Risk Matrices'!$G$8,'Risk Matrices'!$G$5,ABS(P163)&lt;='Risk Matrices'!$H$8,'Risk Matrices'!$H$5,ABS(P163)&gt;'Risk Matrices'!$H$8,'Risk Matrices'!$I$5)</f>
        <v>Significant</v>
      </c>
      <c r="R163" s="104" t="s">
        <v>307</v>
      </c>
      <c r="S163" s="106">
        <f t="shared" si="126"/>
        <v>5</v>
      </c>
      <c r="T163" s="106" cm="1">
        <f t="array" ref="T163">_xlfn.IFS(O163='Risk Matrices'!$D$28,'Risk Matrices'!$D$29,O163='Risk Matrices'!$E$28,'Risk Matrices'!$E$29,O163='Risk Matrices'!$F$28,'Risk Matrices'!$F$29,O163='Risk Matrices'!$G$28,'Risk Matrices'!$G$29,O163='Risk Matrices'!$H$28,'Risk Matrices'!$H$29)</f>
        <v>3</v>
      </c>
      <c r="U163" s="106">
        <f t="shared" si="127"/>
        <v>3</v>
      </c>
      <c r="V163" s="106">
        <f t="shared" si="140"/>
        <v>3</v>
      </c>
      <c r="W163" s="106">
        <f t="shared" si="129"/>
        <v>3</v>
      </c>
      <c r="X163" s="106">
        <f t="shared" si="130"/>
        <v>15</v>
      </c>
      <c r="Y163" s="107" t="str">
        <f t="shared" si="131"/>
        <v>High</v>
      </c>
      <c r="Z163" s="104"/>
      <c r="AA163" s="108">
        <f t="shared" si="132"/>
        <v>0.82</v>
      </c>
      <c r="AB163" s="109">
        <f t="shared" si="133"/>
        <v>1230</v>
      </c>
      <c r="AC163" s="101" t="s">
        <v>155</v>
      </c>
      <c r="AD163" s="104" t="s">
        <v>1156</v>
      </c>
      <c r="AE163" s="104"/>
      <c r="AF163" s="116" t="s">
        <v>134</v>
      </c>
      <c r="AG163" s="116"/>
      <c r="AH163" s="101" t="s">
        <v>1107</v>
      </c>
      <c r="AI163" s="112">
        <v>0.5</v>
      </c>
      <c r="AJ163" s="106">
        <v>1000</v>
      </c>
      <c r="AK163" s="106">
        <v>1500</v>
      </c>
      <c r="AL163" s="106">
        <v>2000</v>
      </c>
      <c r="AM163" s="143">
        <v>3</v>
      </c>
      <c r="AN163" s="143">
        <v>9</v>
      </c>
      <c r="AO163" s="143">
        <v>12</v>
      </c>
      <c r="AP163" s="112" t="str">
        <f>IF(OR(ISBLANK(AI163),AI163=0),"INSERT LIKELIHOOD",IF(ABS(AI163)&lt;='Risk Matrices'!$D$22,'Risk Matrices'!$C$21,IF(ABS(AI163)&lt;='Risk Matrices'!$D$19,'Risk Matrices'!$C$18,IF(ABS(AI163)&lt;='Risk Matrices'!$D$16,'Risk Matrices'!$C$15,IF(ABS(AI163)&lt;='Risk Matrices'!$D$13,'Risk Matrices'!$C$12,'Risk Matrices'!$C$10)))))</f>
        <v>High</v>
      </c>
      <c r="AQ163" s="112" t="str">
        <f>IF(OR(ISBLANK(AK163),AK163=0),"None",IF(ABS(AK163)&lt;='Risk Matrices'!$E$7,'Risk Matrices'!$E$5,IF(ABS(AK163)&lt;='Risk Matrices'!$G$7,'Risk Matrices'!$G$5,IF(ABS(AK163)&lt;='Risk Matrices'!$H$7,'Risk Matrices'!$H$5,'Risk Matrices'!$I$5))))</f>
        <v>Significant</v>
      </c>
      <c r="AR163" s="112" t="str">
        <f>IF(AN163="","",IF(ABS(AN163)&lt;='Risk Matrices'!$E$8,"Negligible",IF(ABS(AN163)&lt;='Risk Matrices'!$F$8,"Marginal",IF(ABS(AN163)&lt;='Risk Matrices'!$G$8,"Significant",IF(ABS(AN163)&lt;='Risk Matrices'!$H$8,"Critical","Crisis")))))</f>
        <v>Significant</v>
      </c>
      <c r="AS163" s="103" t="s">
        <v>406</v>
      </c>
      <c r="AT163" s="298">
        <f>IF(OR(ISBLANK(AI163),AI163=0),0,VLOOKUP(AP163,'Risk Matrices'!$B$30:$C$34,2,0))</f>
        <v>4</v>
      </c>
      <c r="AU163" s="298">
        <f>IF(OR(ISBLANK(AK163),AK163=0),0,HLOOKUP(AQ163,'Risk Matrices'!$D$28:$H$29,2,0))</f>
        <v>3</v>
      </c>
      <c r="AV163" s="298">
        <f>IF(OR(ISBLANK(AR163),AR163=0),0,HLOOKUP(AR163,'Risk Matrices'!$D$28:$H$29,2,0))</f>
        <v>3</v>
      </c>
      <c r="AW163" s="298">
        <f>IF(AS163="None",0,HLOOKUP(AS163,'Risk Matrices'!$D$28:$H$29,2,0))</f>
        <v>4</v>
      </c>
      <c r="AX163" s="106">
        <f t="shared" si="143"/>
        <v>4</v>
      </c>
      <c r="AY163" s="106">
        <f t="shared" si="145"/>
        <v>16</v>
      </c>
      <c r="AZ163" s="107" t="str">
        <f>IF(B163="Retired","Retired",IF(OR(ISBLANK(AY163),AY163=0),"TBD",IF(AY163&lt;='Risk Matrices'!$D$40,'Risk Matrices'!$B$40,IF(AY163&lt;='Risk Matrices'!$D$39,'Risk Matrices'!$B$39,'Risk Matrices'!$B$38))))</f>
        <v>High</v>
      </c>
      <c r="BA163" s="112"/>
      <c r="BB163" s="101" t="s">
        <v>366</v>
      </c>
      <c r="BC163" s="109">
        <f t="shared" si="144"/>
        <v>750</v>
      </c>
      <c r="BD163" s="929">
        <v>45565</v>
      </c>
      <c r="BE163" s="114"/>
      <c r="BF163" s="115"/>
      <c r="BG163" s="115"/>
      <c r="BH163" s="115"/>
      <c r="BI163" s="115"/>
      <c r="BJ163" s="874">
        <f t="shared" si="149"/>
        <v>750</v>
      </c>
      <c r="BK163" s="101"/>
      <c r="BL163" s="101"/>
      <c r="BM163" s="116">
        <v>44463</v>
      </c>
      <c r="BN163" s="330">
        <v>44466</v>
      </c>
      <c r="BO163" s="332"/>
      <c r="BP163" s="94">
        <f t="shared" si="141"/>
        <v>750</v>
      </c>
      <c r="BQ163" s="97" t="str">
        <f t="shared" si="146"/>
        <v>1000 - 1500 - 2000</v>
      </c>
      <c r="BR163" s="97" t="str">
        <f t="shared" si="147"/>
        <v>3 - 9 - 12</v>
      </c>
      <c r="BS163" s="715">
        <f t="shared" si="138"/>
        <v>750</v>
      </c>
      <c r="BT163" s="736">
        <f t="shared" si="148"/>
        <v>4</v>
      </c>
      <c r="BU163" s="735" t="s">
        <v>1157</v>
      </c>
      <c r="BV163" s="873">
        <v>45382</v>
      </c>
      <c r="BW163">
        <f t="shared" si="142"/>
        <v>916</v>
      </c>
    </row>
    <row r="164" spans="2:75" customFormat="1" ht="48" hidden="1" customHeight="1" x14ac:dyDescent="0.2">
      <c r="B164" s="101" t="str">
        <f t="shared" si="124"/>
        <v>Active</v>
      </c>
      <c r="C164" s="785" t="s">
        <v>1158</v>
      </c>
      <c r="D164" s="101" t="s">
        <v>151</v>
      </c>
      <c r="E164" s="103" t="s">
        <v>1096</v>
      </c>
      <c r="F164" s="127" t="s">
        <v>580</v>
      </c>
      <c r="G164" s="106" t="s">
        <v>1097</v>
      </c>
      <c r="H164" s="103" t="str">
        <f t="shared" si="139"/>
        <v>RT-6-008-012</v>
      </c>
      <c r="I164" s="106" t="s">
        <v>545</v>
      </c>
      <c r="J164" s="103" t="s">
        <v>351</v>
      </c>
      <c r="K164" s="101" t="s">
        <v>1159</v>
      </c>
      <c r="L164" s="104" t="s">
        <v>1160</v>
      </c>
      <c r="M164" s="103" t="s">
        <v>164</v>
      </c>
      <c r="N164" s="105">
        <v>2000</v>
      </c>
      <c r="O164" s="106" t="str" cm="1">
        <f t="array" ref="O164">_xlfn.IFS(N164="","",ABS(N164)&lt;='Risk Matrices'!$E$7,'Risk Matrices'!$E$5,ABS(N164)&lt;='Risk Matrices'!$F$7,'Risk Matrices'!$F$5,ABS(N164)&lt;='Risk Matrices'!$G$7,'Risk Matrices'!$G$5,ABS(N164)&lt;='Risk Matrices'!$H$7,'Risk Matrices'!$H$5,ABS(N164)&gt;'Risk Matrices'!$H$7,'Risk Matrices'!$I$5)</f>
        <v>Significant</v>
      </c>
      <c r="P164" s="101">
        <v>12</v>
      </c>
      <c r="Q164" s="101" t="str" cm="1">
        <f t="array" ref="Q164">_xlfn.IFS(P164="","",ABS(P164)&lt;='Risk Matrices'!$E$8,'Risk Matrices'!$E$5,ABS(P164)&lt;='Risk Matrices'!$F$8,'Risk Matrices'!$F$5,ABS(P164)&lt;='Risk Matrices'!$G$8,'Risk Matrices'!$G$5,ABS(P164)&lt;='Risk Matrices'!$H$8,'Risk Matrices'!$H$5,ABS(P164)&gt;'Risk Matrices'!$H$8,'Risk Matrices'!$I$5)</f>
        <v>Significant</v>
      </c>
      <c r="R164" s="104" t="s">
        <v>406</v>
      </c>
      <c r="S164" s="106">
        <f t="shared" si="126"/>
        <v>2</v>
      </c>
      <c r="T164" s="106" cm="1">
        <f t="array" ref="T164">_xlfn.IFS(O164='Risk Matrices'!$D$28,'Risk Matrices'!$D$29,O164='Risk Matrices'!$E$28,'Risk Matrices'!$E$29,O164='Risk Matrices'!$F$28,'Risk Matrices'!$F$29,O164='Risk Matrices'!$G$28,'Risk Matrices'!$G$29,O164='Risk Matrices'!$H$28,'Risk Matrices'!$H$29)</f>
        <v>3</v>
      </c>
      <c r="U164" s="106">
        <f t="shared" si="127"/>
        <v>3</v>
      </c>
      <c r="V164" s="106">
        <f t="shared" si="140"/>
        <v>4</v>
      </c>
      <c r="W164" s="106">
        <f t="shared" si="129"/>
        <v>4</v>
      </c>
      <c r="X164" s="106">
        <f t="shared" si="130"/>
        <v>8</v>
      </c>
      <c r="Y164" s="107" t="str">
        <f t="shared" si="131"/>
        <v>Moderate</v>
      </c>
      <c r="Z164" s="104"/>
      <c r="AA164" s="108">
        <f t="shared" si="132"/>
        <v>0.17</v>
      </c>
      <c r="AB164" s="109">
        <f t="shared" si="133"/>
        <v>340</v>
      </c>
      <c r="AC164" s="101" t="s">
        <v>155</v>
      </c>
      <c r="AD164" s="104" t="s">
        <v>1161</v>
      </c>
      <c r="AE164" s="104"/>
      <c r="AF164" s="116" t="s">
        <v>134</v>
      </c>
      <c r="AG164" s="116"/>
      <c r="AH164" s="101" t="s">
        <v>1107</v>
      </c>
      <c r="AI164" s="112">
        <v>0.2</v>
      </c>
      <c r="AJ164" s="106">
        <v>2000</v>
      </c>
      <c r="AK164" s="106">
        <v>2000</v>
      </c>
      <c r="AL164" s="106">
        <v>2000</v>
      </c>
      <c r="AM164" s="143">
        <v>0</v>
      </c>
      <c r="AN164" s="143">
        <v>0</v>
      </c>
      <c r="AO164" s="143">
        <v>0</v>
      </c>
      <c r="AP164" s="112" t="str">
        <f>IF(OR(ISBLANK(AI164),AI164=0),"INSERT LIKELIHOOD",IF(ABS(AI164)&lt;='Risk Matrices'!$D$22,'Risk Matrices'!$C$21,IF(ABS(AI164)&lt;='Risk Matrices'!$D$19,'Risk Matrices'!$C$18,IF(ABS(AI164)&lt;='Risk Matrices'!$D$16,'Risk Matrices'!$C$15,IF(ABS(AI164)&lt;='Risk Matrices'!$D$13,'Risk Matrices'!$C$12,'Risk Matrices'!$C$10)))))</f>
        <v>Low</v>
      </c>
      <c r="AQ164" s="112" t="str">
        <f>IF(OR(ISBLANK(AK164),AK164=0),"None",IF(ABS(AK164)&lt;='Risk Matrices'!$E$7,'Risk Matrices'!$E$5,IF(ABS(AK164)&lt;='Risk Matrices'!$G$7,'Risk Matrices'!$G$5,IF(ABS(AK164)&lt;='Risk Matrices'!$H$7,'Risk Matrices'!$H$5,'Risk Matrices'!$I$5))))</f>
        <v>Significant</v>
      </c>
      <c r="AR164" s="112" t="str">
        <f>IF(AN164="","",IF(ABS(AN164)&lt;='Risk Matrices'!$E$8,"Negligible",IF(ABS(AN164)&lt;='Risk Matrices'!$F$8,"Marginal",IF(ABS(AN164)&lt;='Risk Matrices'!$G$8,"Significant",IF(ABS(AN164)&lt;='Risk Matrices'!$H$8,"Critical","Crisis")))))</f>
        <v>Negligible</v>
      </c>
      <c r="AS164" s="103" t="s">
        <v>130</v>
      </c>
      <c r="AT164" s="298">
        <f>IF(OR(ISBLANK(AI164),AI164=0),0,VLOOKUP(AP164,'Risk Matrices'!$B$30:$C$34,2,0))</f>
        <v>2</v>
      </c>
      <c r="AU164" s="298">
        <f>IF(OR(ISBLANK(AK164),AK164=0),0,HLOOKUP(AQ164,'Risk Matrices'!$D$28:$H$29,2,0))</f>
        <v>3</v>
      </c>
      <c r="AV164" s="298">
        <f>IF(OR(ISBLANK(AR164),AR164=0),0,HLOOKUP(AR164,'Risk Matrices'!$D$28:$H$29,2,0))</f>
        <v>1</v>
      </c>
      <c r="AW164" s="298">
        <f>IF(AS164="None",0,HLOOKUP(AS164,'Risk Matrices'!$D$28:$H$29,2,0))</f>
        <v>0</v>
      </c>
      <c r="AX164" s="106">
        <f t="shared" si="143"/>
        <v>3</v>
      </c>
      <c r="AY164" s="106">
        <f t="shared" si="145"/>
        <v>6</v>
      </c>
      <c r="AZ164" s="107" t="str">
        <f>IF(B164="Retired","Retired",IF(OR(ISBLANK(AY164),AY164=0),"TBD",IF(AY164&lt;='Risk Matrices'!$D$40,'Risk Matrices'!$B$40,IF(AY164&lt;='Risk Matrices'!$D$39,'Risk Matrices'!$B$39,'Risk Matrices'!$B$38))))</f>
        <v>Low</v>
      </c>
      <c r="BA164" s="112"/>
      <c r="BB164" s="101" t="s">
        <v>366</v>
      </c>
      <c r="BC164" s="109">
        <f t="shared" si="144"/>
        <v>400</v>
      </c>
      <c r="BD164" s="929">
        <v>45322</v>
      </c>
      <c r="BE164" s="114"/>
      <c r="BF164" s="115"/>
      <c r="BG164" s="115"/>
      <c r="BH164" s="115"/>
      <c r="BI164" s="115"/>
      <c r="BJ164" s="874">
        <f t="shared" si="149"/>
        <v>400</v>
      </c>
      <c r="BK164" s="101"/>
      <c r="BL164" s="101"/>
      <c r="BM164" s="116">
        <v>44463</v>
      </c>
      <c r="BN164" s="330">
        <v>44466</v>
      </c>
      <c r="BO164" s="332"/>
      <c r="BP164" s="94">
        <f t="shared" si="141"/>
        <v>400</v>
      </c>
      <c r="BQ164" s="97" t="str">
        <f t="shared" si="146"/>
        <v>2000 - 2000 - 2000</v>
      </c>
      <c r="BR164" s="97" t="str">
        <f t="shared" si="147"/>
        <v>0 - 0 - 0</v>
      </c>
      <c r="BS164" s="715">
        <f t="shared" si="138"/>
        <v>400</v>
      </c>
      <c r="BT164" s="736">
        <f t="shared" si="148"/>
        <v>0</v>
      </c>
      <c r="BU164" s="735" t="s">
        <v>1162</v>
      </c>
      <c r="BV164" s="873">
        <v>45382</v>
      </c>
      <c r="BW164">
        <f t="shared" si="142"/>
        <v>916</v>
      </c>
    </row>
    <row r="165" spans="2:75" customFormat="1" ht="48" hidden="1" customHeight="1" x14ac:dyDescent="0.2">
      <c r="B165" s="101" t="str">
        <f t="shared" si="124"/>
        <v>Active</v>
      </c>
      <c r="C165" s="785" t="s">
        <v>1163</v>
      </c>
      <c r="D165" s="101" t="s">
        <v>151</v>
      </c>
      <c r="E165" s="103" t="s">
        <v>1096</v>
      </c>
      <c r="F165" s="127" t="s">
        <v>580</v>
      </c>
      <c r="G165" s="106" t="s">
        <v>1097</v>
      </c>
      <c r="H165" s="103" t="str">
        <f t="shared" si="139"/>
        <v>RT-6-008-013</v>
      </c>
      <c r="I165" s="106" t="s">
        <v>545</v>
      </c>
      <c r="J165" s="103" t="s">
        <v>351</v>
      </c>
      <c r="K165" s="101" t="s">
        <v>1164</v>
      </c>
      <c r="L165" s="104" t="s">
        <v>1165</v>
      </c>
      <c r="M165" s="103" t="s">
        <v>164</v>
      </c>
      <c r="N165" s="105">
        <v>4000</v>
      </c>
      <c r="O165" s="106" t="str" cm="1">
        <f t="array" ref="O165">_xlfn.IFS(N165="","",ABS(N165)&lt;='Risk Matrices'!$E$7,'Risk Matrices'!$E$5,ABS(N165)&lt;='Risk Matrices'!$F$7,'Risk Matrices'!$F$5,ABS(N165)&lt;='Risk Matrices'!$G$7,'Risk Matrices'!$G$5,ABS(N165)&lt;='Risk Matrices'!$H$7,'Risk Matrices'!$H$5,ABS(N165)&gt;'Risk Matrices'!$H$7,'Risk Matrices'!$I$5)</f>
        <v>Significant</v>
      </c>
      <c r="P165" s="101">
        <v>0</v>
      </c>
      <c r="Q165" s="101" t="str" cm="1">
        <f t="array" ref="Q165">_xlfn.IFS(P165="","",ABS(P165)&lt;='Risk Matrices'!$E$8,'Risk Matrices'!$E$5,ABS(P165)&lt;='Risk Matrices'!$F$8,'Risk Matrices'!$F$5,ABS(P165)&lt;='Risk Matrices'!$G$8,'Risk Matrices'!$G$5,ABS(P165)&lt;='Risk Matrices'!$H$8,'Risk Matrices'!$H$5,ABS(P165)&gt;'Risk Matrices'!$H$8,'Risk Matrices'!$I$5)</f>
        <v>Negligible</v>
      </c>
      <c r="R165" s="104" t="s">
        <v>406</v>
      </c>
      <c r="S165" s="106">
        <f t="shared" si="126"/>
        <v>2</v>
      </c>
      <c r="T165" s="106" cm="1">
        <f t="array" ref="T165">_xlfn.IFS(O165='Risk Matrices'!$D$28,'Risk Matrices'!$D$29,O165='Risk Matrices'!$E$28,'Risk Matrices'!$E$29,O165='Risk Matrices'!$F$28,'Risk Matrices'!$F$29,O165='Risk Matrices'!$G$28,'Risk Matrices'!$G$29,O165='Risk Matrices'!$H$28,'Risk Matrices'!$H$29)</f>
        <v>3</v>
      </c>
      <c r="U165" s="106">
        <f t="shared" si="127"/>
        <v>1</v>
      </c>
      <c r="V165" s="106">
        <f t="shared" si="140"/>
        <v>4</v>
      </c>
      <c r="W165" s="106">
        <f t="shared" si="129"/>
        <v>4</v>
      </c>
      <c r="X165" s="106">
        <f t="shared" si="130"/>
        <v>8</v>
      </c>
      <c r="Y165" s="107" t="str">
        <f t="shared" si="131"/>
        <v>Moderate</v>
      </c>
      <c r="Z165" s="104"/>
      <c r="AA165" s="108">
        <f t="shared" si="132"/>
        <v>0.17</v>
      </c>
      <c r="AB165" s="109">
        <f t="shared" si="133"/>
        <v>680</v>
      </c>
      <c r="AC165" s="101" t="s">
        <v>155</v>
      </c>
      <c r="AD165" s="104" t="s">
        <v>1166</v>
      </c>
      <c r="AE165" s="104"/>
      <c r="AF165" s="116" t="s">
        <v>134</v>
      </c>
      <c r="AG165" s="116"/>
      <c r="AH165" s="101" t="s">
        <v>1107</v>
      </c>
      <c r="AI165" s="112">
        <v>0.2</v>
      </c>
      <c r="AJ165" s="106">
        <v>4000</v>
      </c>
      <c r="AK165" s="106">
        <v>4000</v>
      </c>
      <c r="AL165" s="106">
        <v>4000</v>
      </c>
      <c r="AM165" s="143">
        <v>0</v>
      </c>
      <c r="AN165" s="143">
        <v>0</v>
      </c>
      <c r="AO165" s="143">
        <v>0</v>
      </c>
      <c r="AP165" s="112" t="str">
        <f>IF(OR(ISBLANK(AI165),AI165=0),"INSERT LIKELIHOOD",IF(ABS(AI165)&lt;='Risk Matrices'!$D$22,'Risk Matrices'!$C$21,IF(ABS(AI165)&lt;='Risk Matrices'!$D$19,'Risk Matrices'!$C$18,IF(ABS(AI165)&lt;='Risk Matrices'!$D$16,'Risk Matrices'!$C$15,IF(ABS(AI165)&lt;='Risk Matrices'!$D$13,'Risk Matrices'!$C$12,'Risk Matrices'!$C$10)))))</f>
        <v>Low</v>
      </c>
      <c r="AQ165" s="112" t="str">
        <f>IF(OR(ISBLANK(AK165),AK165=0),"None",IF(ABS(AK165)&lt;='Risk Matrices'!$E$7,'Risk Matrices'!$E$5,IF(ABS(AK165)&lt;='Risk Matrices'!$G$7,'Risk Matrices'!$G$5,IF(ABS(AK165)&lt;='Risk Matrices'!$H$7,'Risk Matrices'!$H$5,'Risk Matrices'!$I$5))))</f>
        <v>Significant</v>
      </c>
      <c r="AR165" s="112" t="str">
        <f>IF(AN165="","",IF(ABS(AN165)&lt;='Risk Matrices'!$E$8,"Negligible",IF(ABS(AN165)&lt;='Risk Matrices'!$F$8,"Marginal",IF(ABS(AN165)&lt;='Risk Matrices'!$G$8,"Significant",IF(ABS(AN165)&lt;='Risk Matrices'!$H$8,"Critical","Crisis")))))</f>
        <v>Negligible</v>
      </c>
      <c r="AS165" s="103" t="s">
        <v>130</v>
      </c>
      <c r="AT165" s="298">
        <f>IF(OR(ISBLANK(AI165),AI165=0),0,VLOOKUP(AP165,'Risk Matrices'!$B$30:$C$34,2,0))</f>
        <v>2</v>
      </c>
      <c r="AU165" s="298">
        <f>IF(OR(ISBLANK(AK165),AK165=0),0,HLOOKUP(AQ165,'Risk Matrices'!$D$28:$H$29,2,0))</f>
        <v>3</v>
      </c>
      <c r="AV165" s="298">
        <f>IF(OR(ISBLANK(AR165),AR165=0),0,HLOOKUP(AR165,'Risk Matrices'!$D$28:$H$29,2,0))</f>
        <v>1</v>
      </c>
      <c r="AW165" s="298">
        <f>IF(AS165="None",0,HLOOKUP(AS165,'Risk Matrices'!$D$28:$H$29,2,0))</f>
        <v>0</v>
      </c>
      <c r="AX165" s="106">
        <f t="shared" si="143"/>
        <v>3</v>
      </c>
      <c r="AY165" s="106">
        <f t="shared" si="145"/>
        <v>6</v>
      </c>
      <c r="AZ165" s="107" t="str">
        <f>IF(B165="Retired","Retired",IF(OR(ISBLANK(AY165),AY165=0),"TBD",IF(AY165&lt;='Risk Matrices'!$D$40,'Risk Matrices'!$B$40,IF(AY165&lt;='Risk Matrices'!$D$39,'Risk Matrices'!$B$39,'Risk Matrices'!$B$38))))</f>
        <v>Low</v>
      </c>
      <c r="BA165" s="112"/>
      <c r="BB165" s="101" t="s">
        <v>366</v>
      </c>
      <c r="BC165" s="109">
        <f t="shared" si="144"/>
        <v>800</v>
      </c>
      <c r="BD165" s="929">
        <v>45322</v>
      </c>
      <c r="BE165" s="114"/>
      <c r="BF165" s="115"/>
      <c r="BG165" s="115"/>
      <c r="BH165" s="115"/>
      <c r="BI165" s="115"/>
      <c r="BJ165" s="874">
        <f t="shared" si="149"/>
        <v>800</v>
      </c>
      <c r="BK165" s="101"/>
      <c r="BL165" s="101"/>
      <c r="BM165" s="116">
        <v>44463</v>
      </c>
      <c r="BN165" s="330">
        <v>44466</v>
      </c>
      <c r="BO165" s="332"/>
      <c r="BP165" s="94">
        <f t="shared" si="141"/>
        <v>800</v>
      </c>
      <c r="BQ165" s="97" t="str">
        <f t="shared" si="146"/>
        <v>4000 - 4000 - 4000</v>
      </c>
      <c r="BR165" s="97" t="str">
        <f t="shared" si="147"/>
        <v>0 - 0 - 0</v>
      </c>
      <c r="BS165" s="715">
        <f t="shared" si="138"/>
        <v>800</v>
      </c>
      <c r="BT165" s="736">
        <f t="shared" si="148"/>
        <v>0</v>
      </c>
      <c r="BU165" s="735" t="s">
        <v>1167</v>
      </c>
      <c r="BV165" s="873">
        <v>45382</v>
      </c>
      <c r="BW165">
        <f t="shared" si="142"/>
        <v>916</v>
      </c>
    </row>
    <row r="166" spans="2:75" customFormat="1" ht="48" hidden="1" customHeight="1" x14ac:dyDescent="0.2">
      <c r="B166" s="101" t="str">
        <f t="shared" si="124"/>
        <v>Active</v>
      </c>
      <c r="C166" s="785" t="s">
        <v>1168</v>
      </c>
      <c r="D166" s="101" t="s">
        <v>151</v>
      </c>
      <c r="E166" s="103" t="s">
        <v>1096</v>
      </c>
      <c r="F166" s="127" t="s">
        <v>580</v>
      </c>
      <c r="G166" s="106" t="s">
        <v>1097</v>
      </c>
      <c r="H166" s="128" t="str">
        <f t="shared" si="139"/>
        <v>RT-6-008-014</v>
      </c>
      <c r="I166" s="132" t="s">
        <v>179</v>
      </c>
      <c r="J166" s="126" t="s">
        <v>1098</v>
      </c>
      <c r="K166" s="148" t="s">
        <v>1169</v>
      </c>
      <c r="L166" s="104" t="s">
        <v>1170</v>
      </c>
      <c r="M166" s="103" t="s">
        <v>164</v>
      </c>
      <c r="N166" s="105">
        <v>2000</v>
      </c>
      <c r="O166" s="106" t="str" cm="1">
        <f t="array" ref="O166">_xlfn.IFS(N166="","",ABS(N166)&lt;='Risk Matrices'!$E$7,'Risk Matrices'!$E$5,ABS(N166)&lt;='Risk Matrices'!$F$7,'Risk Matrices'!$F$5,ABS(N166)&lt;='Risk Matrices'!$G$7,'Risk Matrices'!$G$5,ABS(N166)&lt;='Risk Matrices'!$H$7,'Risk Matrices'!$H$5,ABS(N166)&gt;'Risk Matrices'!$H$7,'Risk Matrices'!$I$5)</f>
        <v>Significant</v>
      </c>
      <c r="P166" s="106">
        <v>0</v>
      </c>
      <c r="Q166" s="101" t="str" cm="1">
        <f t="array" ref="Q166">_xlfn.IFS(P166="","",ABS(P166)&lt;='Risk Matrices'!$E$8,'Risk Matrices'!$E$5,ABS(P166)&lt;='Risk Matrices'!$F$8,'Risk Matrices'!$F$5,ABS(P166)&lt;='Risk Matrices'!$G$8,'Risk Matrices'!$G$5,ABS(P166)&lt;='Risk Matrices'!$H$8,'Risk Matrices'!$H$5,ABS(P166)&gt;'Risk Matrices'!$H$8,'Risk Matrices'!$I$5)</f>
        <v>Negligible</v>
      </c>
      <c r="R166" s="102" t="s">
        <v>280</v>
      </c>
      <c r="S166" s="106">
        <f t="shared" si="126"/>
        <v>2</v>
      </c>
      <c r="T166" s="106" cm="1">
        <f t="array" ref="T166">_xlfn.IFS(O166='Risk Matrices'!$D$28,'Risk Matrices'!$D$29,O166='Risk Matrices'!$E$28,'Risk Matrices'!$E$29,O166='Risk Matrices'!$F$28,'Risk Matrices'!$F$29,O166='Risk Matrices'!$G$28,'Risk Matrices'!$G$29,O166='Risk Matrices'!$H$28,'Risk Matrices'!$H$29)</f>
        <v>3</v>
      </c>
      <c r="U166" s="106">
        <f t="shared" si="127"/>
        <v>1</v>
      </c>
      <c r="V166" s="106">
        <f t="shared" si="140"/>
        <v>2</v>
      </c>
      <c r="W166" s="106">
        <f t="shared" si="129"/>
        <v>3</v>
      </c>
      <c r="X166" s="106">
        <f t="shared" si="130"/>
        <v>6</v>
      </c>
      <c r="Y166" s="107" t="str">
        <f t="shared" si="131"/>
        <v>Low</v>
      </c>
      <c r="Z166" s="104"/>
      <c r="AA166" s="108">
        <f t="shared" si="132"/>
        <v>0.17</v>
      </c>
      <c r="AB166" s="109">
        <f t="shared" si="133"/>
        <v>340</v>
      </c>
      <c r="AC166" s="109" t="s">
        <v>155</v>
      </c>
      <c r="AD166" s="113" t="s">
        <v>1171</v>
      </c>
      <c r="AE166" s="113"/>
      <c r="AF166" s="116" t="s">
        <v>134</v>
      </c>
      <c r="AG166" s="116"/>
      <c r="AH166" s="101" t="s">
        <v>1118</v>
      </c>
      <c r="AI166" s="112">
        <v>0.2</v>
      </c>
      <c r="AJ166" s="127">
        <v>2000</v>
      </c>
      <c r="AK166" s="127">
        <v>2000</v>
      </c>
      <c r="AL166" s="127">
        <v>2000</v>
      </c>
      <c r="AM166" s="143">
        <v>0</v>
      </c>
      <c r="AN166" s="143">
        <v>0</v>
      </c>
      <c r="AO166" s="143">
        <v>0</v>
      </c>
      <c r="AP166" s="112" t="str">
        <f>IF(OR(ISBLANK(AI166),AI166=0),"INSERT LIKELIHOOD",IF(ABS(AI166)&lt;='Risk Matrices'!$D$22,'Risk Matrices'!$C$21,IF(ABS(AI166)&lt;='Risk Matrices'!$D$19,'Risk Matrices'!$C$18,IF(ABS(AI166)&lt;='Risk Matrices'!$D$16,'Risk Matrices'!$C$15,IF(ABS(AI166)&lt;='Risk Matrices'!$D$13,'Risk Matrices'!$C$12,'Risk Matrices'!$C$10)))))</f>
        <v>Low</v>
      </c>
      <c r="AQ166" s="112" t="str">
        <f>IF(OR(ISBLANK(AK166),AK166=0),"None",IF(ABS(AK166)&lt;='Risk Matrices'!$E$7,'Risk Matrices'!$E$5,IF(ABS(AK166)&lt;='Risk Matrices'!$G$7,'Risk Matrices'!$G$5,IF(ABS(AK166)&lt;='Risk Matrices'!$H$7,'Risk Matrices'!$H$5,'Risk Matrices'!$I$5))))</f>
        <v>Significant</v>
      </c>
      <c r="AR166" s="112" t="str">
        <f>IF(AN166="","",IF(ABS(AN166)&lt;='Risk Matrices'!$E$8,"Negligible",IF(ABS(AN166)&lt;='Risk Matrices'!$F$8,"Marginal",IF(ABS(AN166)&lt;='Risk Matrices'!$G$8,"Significant",IF(ABS(AN166)&lt;='Risk Matrices'!$H$8,"Critical","Crisis")))))</f>
        <v>Negligible</v>
      </c>
      <c r="AS166" s="102" t="s">
        <v>280</v>
      </c>
      <c r="AT166" s="298">
        <f>IF(OR(ISBLANK(AI166),AI166=0),0,VLOOKUP(AP166,'Risk Matrices'!$B$30:$C$34,2,0))</f>
        <v>2</v>
      </c>
      <c r="AU166" s="298">
        <f>IF(OR(ISBLANK(AK166),AK166=0),0,HLOOKUP(AQ166,'Risk Matrices'!$D$28:$H$29,2,0))</f>
        <v>3</v>
      </c>
      <c r="AV166" s="298">
        <f>IF(OR(ISBLANK(AR166),AR166=0),0,HLOOKUP(AR166,'Risk Matrices'!$D$28:$H$29,2,0))</f>
        <v>1</v>
      </c>
      <c r="AW166" s="298">
        <f>IF(OR(ISBLANK(AS166),AS166=0),0,HLOOKUP(AS166,'Risk Matrices'!$D$28:$H$29,2,0))</f>
        <v>2</v>
      </c>
      <c r="AX166" s="106">
        <f t="shared" si="143"/>
        <v>3</v>
      </c>
      <c r="AY166" s="106">
        <f t="shared" si="145"/>
        <v>6</v>
      </c>
      <c r="AZ166" s="107" t="str">
        <f>IF(B166="Retired","Retired",IF(OR(ISBLANK(AY166),AY166=0),"TBD",IF(AY166&lt;='Risk Matrices'!$D$40,'Risk Matrices'!$B$40,IF(AY166&lt;='Risk Matrices'!$D$39,'Risk Matrices'!$B$39,'Risk Matrices'!$B$38))))</f>
        <v>Low</v>
      </c>
      <c r="BA166" s="112"/>
      <c r="BB166" s="101" t="s">
        <v>366</v>
      </c>
      <c r="BC166" s="109">
        <f t="shared" si="144"/>
        <v>400</v>
      </c>
      <c r="BD166" s="929">
        <v>45315</v>
      </c>
      <c r="BE166" s="114"/>
      <c r="BF166" s="115"/>
      <c r="BG166" s="115"/>
      <c r="BH166" s="115"/>
      <c r="BI166" s="115"/>
      <c r="BJ166" s="874">
        <f t="shared" si="149"/>
        <v>400</v>
      </c>
      <c r="BK166" s="101"/>
      <c r="BL166" s="101"/>
      <c r="BM166" s="116">
        <v>44012</v>
      </c>
      <c r="BN166" s="330">
        <v>44134</v>
      </c>
      <c r="BO166" s="332"/>
      <c r="BP166" s="94">
        <f t="shared" si="141"/>
        <v>400</v>
      </c>
      <c r="BQ166" s="97" t="str">
        <f t="shared" si="146"/>
        <v>2000 - 2000 - 2000</v>
      </c>
      <c r="BR166" s="97" t="str">
        <f t="shared" si="147"/>
        <v>0 - 0 - 0</v>
      </c>
      <c r="BS166" s="715">
        <f t="shared" si="138"/>
        <v>400</v>
      </c>
      <c r="BT166" s="736">
        <f t="shared" si="148"/>
        <v>0</v>
      </c>
      <c r="BU166" s="735" t="s">
        <v>1172</v>
      </c>
      <c r="BV166" s="873">
        <v>45382</v>
      </c>
      <c r="BW166">
        <f t="shared" si="142"/>
        <v>1248</v>
      </c>
    </row>
    <row r="167" spans="2:75" customFormat="1" ht="48" hidden="1" customHeight="1" x14ac:dyDescent="0.2">
      <c r="B167" s="101" t="str">
        <f t="shared" si="124"/>
        <v>Active</v>
      </c>
      <c r="C167" s="785" t="s">
        <v>1173</v>
      </c>
      <c r="D167" s="101" t="s">
        <v>151</v>
      </c>
      <c r="E167" s="103" t="s">
        <v>1096</v>
      </c>
      <c r="F167" s="127" t="s">
        <v>580</v>
      </c>
      <c r="G167" s="106" t="s">
        <v>1097</v>
      </c>
      <c r="H167" s="128" t="str">
        <f t="shared" si="139"/>
        <v>RT-6-008-015</v>
      </c>
      <c r="I167" s="126" t="s">
        <v>179</v>
      </c>
      <c r="J167" s="126" t="s">
        <v>1098</v>
      </c>
      <c r="K167" s="126" t="s">
        <v>1174</v>
      </c>
      <c r="L167" s="104" t="s">
        <v>1175</v>
      </c>
      <c r="M167" s="103" t="s">
        <v>206</v>
      </c>
      <c r="N167" s="105">
        <v>2000</v>
      </c>
      <c r="O167" s="106" t="str" cm="1">
        <f t="array" ref="O167">_xlfn.IFS(N167="","",ABS(N167)&lt;='Risk Matrices'!$E$7,'Risk Matrices'!$E$5,ABS(N167)&lt;='Risk Matrices'!$F$7,'Risk Matrices'!$F$5,ABS(N167)&lt;='Risk Matrices'!$G$7,'Risk Matrices'!$G$5,ABS(N167)&lt;='Risk Matrices'!$H$7,'Risk Matrices'!$H$5,ABS(N167)&gt;'Risk Matrices'!$H$7,'Risk Matrices'!$I$5)</f>
        <v>Significant</v>
      </c>
      <c r="P167" s="106">
        <v>0</v>
      </c>
      <c r="Q167" s="101" t="str" cm="1">
        <f t="array" ref="Q167">_xlfn.IFS(P167="","",ABS(P167)&lt;='Risk Matrices'!$E$8,'Risk Matrices'!$E$5,ABS(P167)&lt;='Risk Matrices'!$F$8,'Risk Matrices'!$F$5,ABS(P167)&lt;='Risk Matrices'!$G$8,'Risk Matrices'!$G$5,ABS(P167)&lt;='Risk Matrices'!$H$8,'Risk Matrices'!$H$5,ABS(P167)&gt;'Risk Matrices'!$H$8,'Risk Matrices'!$I$5)</f>
        <v>Negligible</v>
      </c>
      <c r="R167" s="102" t="s">
        <v>280</v>
      </c>
      <c r="S167" s="106">
        <f t="shared" si="126"/>
        <v>2</v>
      </c>
      <c r="T167" s="106" cm="1">
        <f t="array" ref="T167">_xlfn.IFS(O167='Risk Matrices'!$D$28,'Risk Matrices'!$D$29,O167='Risk Matrices'!$E$28,'Risk Matrices'!$E$29,O167='Risk Matrices'!$F$28,'Risk Matrices'!$F$29,O167='Risk Matrices'!$G$28,'Risk Matrices'!$G$29,O167='Risk Matrices'!$H$28,'Risk Matrices'!$H$29)</f>
        <v>3</v>
      </c>
      <c r="U167" s="106">
        <f t="shared" si="127"/>
        <v>1</v>
      </c>
      <c r="V167" s="106">
        <f t="shared" si="140"/>
        <v>2</v>
      </c>
      <c r="W167" s="106">
        <f t="shared" si="129"/>
        <v>3</v>
      </c>
      <c r="X167" s="106">
        <f t="shared" si="130"/>
        <v>6</v>
      </c>
      <c r="Y167" s="107" t="str">
        <f t="shared" si="131"/>
        <v>Low</v>
      </c>
      <c r="Z167" s="104"/>
      <c r="AA167" s="108">
        <f t="shared" si="132"/>
        <v>0.17</v>
      </c>
      <c r="AB167" s="109">
        <f t="shared" si="133"/>
        <v>340</v>
      </c>
      <c r="AC167" s="109" t="s">
        <v>155</v>
      </c>
      <c r="AD167" s="110" t="s">
        <v>1176</v>
      </c>
      <c r="AE167" s="110"/>
      <c r="AF167" s="116" t="s">
        <v>134</v>
      </c>
      <c r="AG167" s="116"/>
      <c r="AH167" s="101" t="s">
        <v>1118</v>
      </c>
      <c r="AI167" s="112">
        <v>0.2</v>
      </c>
      <c r="AJ167" s="106">
        <v>2000</v>
      </c>
      <c r="AK167" s="106">
        <v>2000</v>
      </c>
      <c r="AL167" s="106">
        <v>2000</v>
      </c>
      <c r="AM167" s="143">
        <v>0</v>
      </c>
      <c r="AN167" s="143">
        <v>0</v>
      </c>
      <c r="AO167" s="143">
        <v>0</v>
      </c>
      <c r="AP167" s="112" t="str">
        <f>IF(OR(ISBLANK(AI167),AI167=0),"INSERT LIKELIHOOD",IF(ABS(AI167)&lt;='Risk Matrices'!$D$22,'Risk Matrices'!$C$21,IF(ABS(AI167)&lt;='Risk Matrices'!$D$19,'Risk Matrices'!$C$18,IF(ABS(AI167)&lt;='Risk Matrices'!$D$16,'Risk Matrices'!$C$15,IF(ABS(AI167)&lt;='Risk Matrices'!$D$13,'Risk Matrices'!$C$12,'Risk Matrices'!$C$10)))))</f>
        <v>Low</v>
      </c>
      <c r="AQ167" s="112" t="str">
        <f>IF(OR(ISBLANK(AK167),AK167=0),"None",IF(ABS(AK167)&lt;='Risk Matrices'!$E$7,'Risk Matrices'!$E$5,IF(ABS(AK167)&lt;='Risk Matrices'!$G$7,'Risk Matrices'!$G$5,IF(ABS(AK167)&lt;='Risk Matrices'!$H$7,'Risk Matrices'!$H$5,'Risk Matrices'!$I$5))))</f>
        <v>Significant</v>
      </c>
      <c r="AR167" s="112" t="str">
        <f>IF(AN167="","",IF(ABS(AN167)&lt;='Risk Matrices'!$E$8,"Negligible",IF(ABS(AN167)&lt;='Risk Matrices'!$F$8,"Marginal",IF(ABS(AN167)&lt;='Risk Matrices'!$G$8,"Significant",IF(ABS(AN167)&lt;='Risk Matrices'!$H$8,"Critical","Crisis")))))</f>
        <v>Negligible</v>
      </c>
      <c r="AS167" s="102" t="s">
        <v>280</v>
      </c>
      <c r="AT167" s="298">
        <f>IF(OR(ISBLANK(AI167),AI167=0),0,VLOOKUP(AP167,'Risk Matrices'!$B$30:$C$34,2,0))</f>
        <v>2</v>
      </c>
      <c r="AU167" s="298">
        <f>IF(OR(ISBLANK(AK167),AK167=0),0,HLOOKUP(AQ167,'Risk Matrices'!$D$28:$H$29,2,0))</f>
        <v>3</v>
      </c>
      <c r="AV167" s="298">
        <f>IF(OR(ISBLANK(AR167),AR167=0),0,HLOOKUP(AR167,'Risk Matrices'!$D$28:$H$29,2,0))</f>
        <v>1</v>
      </c>
      <c r="AW167" s="298">
        <f>IF(OR(ISBLANK(AS167),AS167=0),0,HLOOKUP(AS167,'Risk Matrices'!$D$28:$H$29,2,0))</f>
        <v>2</v>
      </c>
      <c r="AX167" s="106">
        <f t="shared" si="143"/>
        <v>3</v>
      </c>
      <c r="AY167" s="106">
        <f t="shared" si="145"/>
        <v>6</v>
      </c>
      <c r="AZ167" s="107" t="str">
        <f>IF(B167="Retired","Retired",IF(OR(ISBLANK(AY167),AY167=0),"TBD",IF(AY167&lt;='Risk Matrices'!$D$40,'Risk Matrices'!$B$40,IF(AY167&lt;='Risk Matrices'!$D$39,'Risk Matrices'!$B$39,'Risk Matrices'!$B$38))))</f>
        <v>Low</v>
      </c>
      <c r="BA167" s="112"/>
      <c r="BB167" s="101" t="s">
        <v>366</v>
      </c>
      <c r="BC167" s="109">
        <f t="shared" si="144"/>
        <v>400</v>
      </c>
      <c r="BD167" s="929">
        <v>45315</v>
      </c>
      <c r="BE167" s="114"/>
      <c r="BF167" s="170"/>
      <c r="BG167" s="115"/>
      <c r="BH167" s="115"/>
      <c r="BI167" s="115"/>
      <c r="BJ167" s="874">
        <f t="shared" si="149"/>
        <v>400</v>
      </c>
      <c r="BK167" s="101"/>
      <c r="BL167" s="101"/>
      <c r="BM167" s="116">
        <v>44012</v>
      </c>
      <c r="BN167" s="330">
        <v>44134</v>
      </c>
      <c r="BO167" s="332"/>
      <c r="BP167" s="94">
        <f t="shared" si="141"/>
        <v>400</v>
      </c>
      <c r="BQ167" s="97" t="str">
        <f t="shared" si="146"/>
        <v>2000 - 2000 - 2000</v>
      </c>
      <c r="BR167" s="97" t="str">
        <f t="shared" si="147"/>
        <v>0 - 0 - 0</v>
      </c>
      <c r="BS167" s="715">
        <f t="shared" si="138"/>
        <v>400</v>
      </c>
      <c r="BT167" s="736">
        <f t="shared" si="148"/>
        <v>0</v>
      </c>
      <c r="BU167" s="735" t="s">
        <v>1177</v>
      </c>
      <c r="BV167" s="873">
        <v>45382</v>
      </c>
      <c r="BW167">
        <f t="shared" si="142"/>
        <v>1248</v>
      </c>
    </row>
    <row r="168" spans="2:75" customFormat="1" ht="90" hidden="1" x14ac:dyDescent="0.2">
      <c r="B168" s="101" t="str">
        <f t="shared" si="124"/>
        <v>Active</v>
      </c>
      <c r="C168" s="785" t="s">
        <v>1178</v>
      </c>
      <c r="D168" s="101" t="s">
        <v>151</v>
      </c>
      <c r="E168" s="103" t="s">
        <v>1096</v>
      </c>
      <c r="F168" s="127" t="s">
        <v>580</v>
      </c>
      <c r="G168" s="106" t="s">
        <v>1097</v>
      </c>
      <c r="H168" s="103" t="str">
        <f t="shared" si="139"/>
        <v>RT-6-008-016</v>
      </c>
      <c r="I168" s="106" t="s">
        <v>545</v>
      </c>
      <c r="J168" s="101" t="s">
        <v>1098</v>
      </c>
      <c r="K168" s="101" t="s">
        <v>1179</v>
      </c>
      <c r="L168" s="146" t="s">
        <v>1180</v>
      </c>
      <c r="M168" s="103" t="s">
        <v>164</v>
      </c>
      <c r="N168" s="105">
        <v>5000</v>
      </c>
      <c r="O168" s="106" t="str" cm="1">
        <f t="array" ref="O168">_xlfn.IFS(N168="","",ABS(N168)&lt;='Risk Matrices'!$E$7,'Risk Matrices'!$E$5,ABS(N168)&lt;='Risk Matrices'!$F$7,'Risk Matrices'!$F$5,ABS(N168)&lt;='Risk Matrices'!$G$7,'Risk Matrices'!$G$5,ABS(N168)&lt;='Risk Matrices'!$H$7,'Risk Matrices'!$H$5,ABS(N168)&gt;'Risk Matrices'!$H$7,'Risk Matrices'!$I$5)</f>
        <v>Significant</v>
      </c>
      <c r="P168" s="106">
        <v>12</v>
      </c>
      <c r="Q168" s="101" t="str" cm="1">
        <f t="array" ref="Q168">_xlfn.IFS(P168="","",ABS(P168)&lt;='Risk Matrices'!$E$8,'Risk Matrices'!$E$5,ABS(P168)&lt;='Risk Matrices'!$F$8,'Risk Matrices'!$F$5,ABS(P168)&lt;='Risk Matrices'!$G$8,'Risk Matrices'!$G$5,ABS(P168)&lt;='Risk Matrices'!$H$8,'Risk Matrices'!$H$5,ABS(P168)&gt;'Risk Matrices'!$H$8,'Risk Matrices'!$I$5)</f>
        <v>Significant</v>
      </c>
      <c r="R168" s="102" t="s">
        <v>280</v>
      </c>
      <c r="S168" s="106">
        <f t="shared" si="126"/>
        <v>2</v>
      </c>
      <c r="T168" s="106" cm="1">
        <f t="array" ref="T168">_xlfn.IFS(O168='Risk Matrices'!$D$28,'Risk Matrices'!$D$29,O168='Risk Matrices'!$E$28,'Risk Matrices'!$E$29,O168='Risk Matrices'!$F$28,'Risk Matrices'!$F$29,O168='Risk Matrices'!$G$28,'Risk Matrices'!$G$29,O168='Risk Matrices'!$H$28,'Risk Matrices'!$H$29)</f>
        <v>3</v>
      </c>
      <c r="U168" s="106">
        <f t="shared" si="127"/>
        <v>3</v>
      </c>
      <c r="V168" s="106">
        <f t="shared" si="140"/>
        <v>2</v>
      </c>
      <c r="W168" s="106">
        <f t="shared" si="129"/>
        <v>3</v>
      </c>
      <c r="X168" s="106">
        <f t="shared" si="130"/>
        <v>6</v>
      </c>
      <c r="Y168" s="107" t="str">
        <f t="shared" si="131"/>
        <v>Low</v>
      </c>
      <c r="Z168" s="104"/>
      <c r="AA168" s="108">
        <f t="shared" si="132"/>
        <v>0.17</v>
      </c>
      <c r="AB168" s="109">
        <f t="shared" si="133"/>
        <v>850.00000000000011</v>
      </c>
      <c r="AC168" s="109" t="s">
        <v>155</v>
      </c>
      <c r="AD168" s="104" t="s">
        <v>1181</v>
      </c>
      <c r="AE168" s="104"/>
      <c r="AF168" s="101" t="s">
        <v>175</v>
      </c>
      <c r="AG168" s="101"/>
      <c r="AH168" s="101" t="s">
        <v>1118</v>
      </c>
      <c r="AI168" s="112">
        <v>0.2</v>
      </c>
      <c r="AJ168" s="106">
        <v>5000</v>
      </c>
      <c r="AK168" s="106">
        <v>5000</v>
      </c>
      <c r="AL168" s="106">
        <v>5000</v>
      </c>
      <c r="AM168" s="106">
        <v>12</v>
      </c>
      <c r="AN168" s="106">
        <v>12</v>
      </c>
      <c r="AO168" s="106">
        <v>12</v>
      </c>
      <c r="AP168" s="112" t="str">
        <f>IF(OR(ISBLANK(AI168),AI168=0),"INSERT LIKELIHOOD",IF(ABS(AI168)&lt;='Risk Matrices'!$D$22,'Risk Matrices'!$C$21,IF(ABS(AI168)&lt;='Risk Matrices'!$D$19,'Risk Matrices'!$C$18,IF(ABS(AI168)&lt;='Risk Matrices'!$D$16,'Risk Matrices'!$C$15,IF(ABS(AI168)&lt;='Risk Matrices'!$D$13,'Risk Matrices'!$C$12,'Risk Matrices'!$C$10)))))</f>
        <v>Low</v>
      </c>
      <c r="AQ168" s="112" t="str">
        <f>IF(OR(ISBLANK(AK168),AK168=0),"None",IF(ABS(AK168)&lt;='Risk Matrices'!$E$7,'Risk Matrices'!$E$5,IF(ABS(AK168)&lt;='Risk Matrices'!$G$7,'Risk Matrices'!$G$5,IF(ABS(AK168)&lt;='Risk Matrices'!$H$7,'Risk Matrices'!$H$5,'Risk Matrices'!$I$5))))</f>
        <v>Significant</v>
      </c>
      <c r="AR168" s="112" t="str">
        <f>IF(AN168="","",IF(ABS(AN168)&lt;='Risk Matrices'!$E$8,"Negligible",IF(ABS(AN168)&lt;='Risk Matrices'!$F$8,"Marginal",IF(ABS(AN168)&lt;='Risk Matrices'!$G$8,"Significant",IF(ABS(AN168)&lt;='Risk Matrices'!$H$8,"Critical","Crisis")))))</f>
        <v>Significant</v>
      </c>
      <c r="AS168" s="102" t="s">
        <v>280</v>
      </c>
      <c r="AT168" s="298">
        <f>IF(OR(ISBLANK(AI168),AI168=0),0,VLOOKUP(AP168,'Risk Matrices'!$B$30:$C$34,2,0))</f>
        <v>2</v>
      </c>
      <c r="AU168" s="298">
        <f>IF(OR(ISBLANK(AK168),AK168=0),0,HLOOKUP(AQ168,'Risk Matrices'!$D$28:$H$29,2,0))</f>
        <v>3</v>
      </c>
      <c r="AV168" s="298">
        <f>IF(OR(ISBLANK(AR168),AR168=0),0,HLOOKUP(AR168,'Risk Matrices'!$D$28:$H$29,2,0))</f>
        <v>3</v>
      </c>
      <c r="AW168" s="298">
        <f>IF(OR(ISBLANK(AS168),AS168=0),0,HLOOKUP(AS168,'Risk Matrices'!$D$28:$H$29,2,0))</f>
        <v>2</v>
      </c>
      <c r="AX168" s="106">
        <f t="shared" si="143"/>
        <v>3</v>
      </c>
      <c r="AY168" s="106">
        <f t="shared" si="145"/>
        <v>6</v>
      </c>
      <c r="AZ168" s="107" t="str">
        <f>IF(B168="Retired","Retired",IF(OR(ISBLANK(AY168),AY168=0),"TBD",IF(AY168&lt;='Risk Matrices'!$D$40,'Risk Matrices'!$B$40,IF(AY168&lt;='Risk Matrices'!$D$39,'Risk Matrices'!$B$39,'Risk Matrices'!$B$38))))</f>
        <v>Low</v>
      </c>
      <c r="BA168" s="112"/>
      <c r="BB168" s="101" t="s">
        <v>366</v>
      </c>
      <c r="BC168" s="109">
        <f t="shared" si="144"/>
        <v>1000</v>
      </c>
      <c r="BD168" s="929">
        <v>45322</v>
      </c>
      <c r="BE168" s="114"/>
      <c r="BF168" s="115"/>
      <c r="BG168" s="115"/>
      <c r="BH168" s="115"/>
      <c r="BI168" s="115"/>
      <c r="BJ168" s="874">
        <f t="shared" si="149"/>
        <v>1000</v>
      </c>
      <c r="BK168" s="101"/>
      <c r="BL168" s="101"/>
      <c r="BM168" s="116">
        <v>44012</v>
      </c>
      <c r="BN168" s="330">
        <v>44134</v>
      </c>
      <c r="BO168" s="332"/>
      <c r="BP168" s="94">
        <f t="shared" si="141"/>
        <v>1000</v>
      </c>
      <c r="BQ168" s="97" t="str">
        <f t="shared" si="146"/>
        <v>5000 - 5000 - 5000</v>
      </c>
      <c r="BR168" s="97" t="str">
        <f t="shared" si="147"/>
        <v>12 - 12 - 12</v>
      </c>
      <c r="BS168" s="715">
        <f t="shared" si="138"/>
        <v>1000</v>
      </c>
      <c r="BT168" s="736">
        <f t="shared" si="148"/>
        <v>2.4</v>
      </c>
      <c r="BU168" s="735" t="s">
        <v>1182</v>
      </c>
      <c r="BV168" s="873">
        <v>45382</v>
      </c>
      <c r="BW168">
        <f t="shared" si="142"/>
        <v>1248</v>
      </c>
    </row>
    <row r="169" spans="2:75" customFormat="1" ht="45" hidden="1" x14ac:dyDescent="0.2">
      <c r="B169" s="101" t="str">
        <f t="shared" ref="B169:B199" si="150">IF(BN169="","Proposed",IF(BG169="","Active","Retired"))</f>
        <v>Active</v>
      </c>
      <c r="C169" s="785" t="s">
        <v>1183</v>
      </c>
      <c r="D169" s="101" t="s">
        <v>151</v>
      </c>
      <c r="E169" s="103" t="s">
        <v>1096</v>
      </c>
      <c r="F169" s="127" t="s">
        <v>580</v>
      </c>
      <c r="G169" s="106" t="s">
        <v>1097</v>
      </c>
      <c r="H169" s="103" t="str">
        <f t="shared" si="139"/>
        <v>RT-6-008-017</v>
      </c>
      <c r="I169" s="106" t="s">
        <v>545</v>
      </c>
      <c r="J169" s="101" t="s">
        <v>1098</v>
      </c>
      <c r="K169" s="101" t="s">
        <v>1184</v>
      </c>
      <c r="L169" s="104" t="s">
        <v>1185</v>
      </c>
      <c r="M169" s="103" t="s">
        <v>141</v>
      </c>
      <c r="N169" s="105">
        <v>0</v>
      </c>
      <c r="O169" s="106" t="str" cm="1">
        <f t="array" ref="O169">_xlfn.IFS(N169="","",ABS(N169)&lt;='Risk Matrices'!$E$7,'Risk Matrices'!$E$5,ABS(N169)&lt;='Risk Matrices'!$F$7,'Risk Matrices'!$F$5,ABS(N169)&lt;='Risk Matrices'!$G$7,'Risk Matrices'!$G$5,ABS(N169)&lt;='Risk Matrices'!$H$7,'Risk Matrices'!$H$5,ABS(N169)&gt;'Risk Matrices'!$H$7,'Risk Matrices'!$I$5)</f>
        <v>Negligible</v>
      </c>
      <c r="P169" s="101">
        <v>1</v>
      </c>
      <c r="Q169" s="101" t="str" cm="1">
        <f t="array" ref="Q169">_xlfn.IFS(P169="","",ABS(P169)&lt;='Risk Matrices'!$E$8,'Risk Matrices'!$E$5,ABS(P169)&lt;='Risk Matrices'!$F$8,'Risk Matrices'!$F$5,ABS(P169)&lt;='Risk Matrices'!$G$8,'Risk Matrices'!$G$5,ABS(P169)&lt;='Risk Matrices'!$H$8,'Risk Matrices'!$H$5,ABS(P169)&gt;'Risk Matrices'!$H$8,'Risk Matrices'!$I$5)</f>
        <v>Negligible</v>
      </c>
      <c r="R169" s="101" t="s">
        <v>130</v>
      </c>
      <c r="S169" s="106">
        <f t="shared" ref="S169:S188" si="151">IF(M169="",0,IF(M169="Very Low (There is a &lt;10% chance that this event will occur)",1,IF(M169="Low (Risk is likely to occur with a probability of &gt; 10% to &lt; 25%)",2,IF(M169="Moderate (Risk is likely to occur with a probability of &gt; 25% to &lt; 40%)",3,IF(M169="High (Risk is likely to occur with a probability of &gt;40 to &lt;65%)",4,IF(M169="Very High (Risk is likely to occur with a probability of &gt;65%)",5))))))</f>
        <v>3</v>
      </c>
      <c r="T169" s="106" cm="1">
        <f t="array" ref="T169">_xlfn.IFS(O169='Risk Matrices'!$D$28,'Risk Matrices'!$D$29,O169='Risk Matrices'!$E$28,'Risk Matrices'!$E$29,O169='Risk Matrices'!$F$28,'Risk Matrices'!$F$29,O169='Risk Matrices'!$G$28,'Risk Matrices'!$G$29,O169='Risk Matrices'!$H$28,'Risk Matrices'!$H$29)</f>
        <v>1</v>
      </c>
      <c r="U169" s="106"/>
      <c r="V169" s="106">
        <f t="shared" si="140"/>
        <v>0</v>
      </c>
      <c r="W169" s="106"/>
      <c r="X169" s="106"/>
      <c r="Y169" s="107" t="str">
        <f t="shared" ref="Y169:Y188" si="152">IF(X169&lt;=6,"Low",IF(X169&lt;=14,"Moderate",IF(X169&lt;=25,"High")))</f>
        <v>Low</v>
      </c>
      <c r="Z169" s="104"/>
      <c r="AA169" s="108"/>
      <c r="AB169" s="109"/>
      <c r="AC169" s="101" t="s">
        <v>155</v>
      </c>
      <c r="AD169" s="197" t="s">
        <v>1186</v>
      </c>
      <c r="AE169" s="197"/>
      <c r="AF169" s="103" t="s">
        <v>175</v>
      </c>
      <c r="AG169" s="103"/>
      <c r="AH169" s="101" t="s">
        <v>175</v>
      </c>
      <c r="AI169" s="112">
        <v>0.2</v>
      </c>
      <c r="AJ169" s="106">
        <v>0</v>
      </c>
      <c r="AK169" s="106">
        <v>0</v>
      </c>
      <c r="AL169" s="106">
        <v>0</v>
      </c>
      <c r="AM169" s="143">
        <v>0.25</v>
      </c>
      <c r="AN169" s="143">
        <v>0.5</v>
      </c>
      <c r="AO169" s="143">
        <v>1</v>
      </c>
      <c r="AP169" s="112" t="str">
        <f>IF(OR(ISBLANK(AI169),AI169=0),"INSERT LIKELIHOOD",IF(ABS(AI169)&lt;='Risk Matrices'!$D$22,'Risk Matrices'!$C$21,IF(ABS(AI169)&lt;='Risk Matrices'!$D$19,'Risk Matrices'!$C$18,IF(ABS(AI169)&lt;='Risk Matrices'!$D$16,'Risk Matrices'!$C$15,IF(ABS(AI169)&lt;='Risk Matrices'!$D$13,'Risk Matrices'!$C$12,'Risk Matrices'!$C$10)))))</f>
        <v>Low</v>
      </c>
      <c r="AQ169" s="112" t="str">
        <f>IF(OR(ISBLANK(AK169),AK169=0),"None",IF(ABS(AK169)&lt;='Risk Matrices'!$E$7,'Risk Matrices'!$E$5,IF(ABS(AK169)&lt;='Risk Matrices'!$G$7,'Risk Matrices'!$G$5,IF(ABS(AK169)&lt;='Risk Matrices'!$H$7,'Risk Matrices'!$H$5,'Risk Matrices'!$I$5))))</f>
        <v>None</v>
      </c>
      <c r="AR169" s="112" t="str">
        <f>IF(AN169="","",IF(ABS(AN169)&lt;='Risk Matrices'!$E$8,"Negligible",IF(ABS(AN169)&lt;='Risk Matrices'!$F$8,"Marginal",IF(ABS(AN169)&lt;='Risk Matrices'!$G$8,"Significant",IF(ABS(AN169)&lt;='Risk Matrices'!$H$8,"Critical","Crisis")))))</f>
        <v>Negligible</v>
      </c>
      <c r="AS169" s="103" t="s">
        <v>130</v>
      </c>
      <c r="AT169" s="298">
        <f>IF(OR(ISBLANK(AI169),AI169=0),0,VLOOKUP(AP169,'Risk Matrices'!$B$30:$C$34,2,0))</f>
        <v>2</v>
      </c>
      <c r="AU169" s="298">
        <f>IF(OR(ISBLANK(AK169),AK169=0),0,HLOOKUP(AQ169,'Risk Matrices'!$D$28:$H$29,2,0))</f>
        <v>0</v>
      </c>
      <c r="AV169" s="298">
        <f>IF(OR(ISBLANK(AR169),AR169=0),0,HLOOKUP(AR169,'Risk Matrices'!$D$28:$H$29,2,0))</f>
        <v>1</v>
      </c>
      <c r="AW169" s="298">
        <f>IF(AS169="None",0,HLOOKUP(AS169,'Risk Matrices'!$D$28:$H$29,2,0))</f>
        <v>0</v>
      </c>
      <c r="AX169" s="106">
        <f t="shared" si="143"/>
        <v>1</v>
      </c>
      <c r="AY169" s="106">
        <f t="shared" si="145"/>
        <v>2</v>
      </c>
      <c r="AZ169" s="107" t="str">
        <f>IF(B169="Retired","Retired",IF(OR(ISBLANK(AY169),AY169=0),"TBD",IF(AY169&lt;='Risk Matrices'!$D$40,'Risk Matrices'!$B$40,IF(AY169&lt;='Risk Matrices'!$D$39,'Risk Matrices'!$B$39,'Risk Matrices'!$B$38))))</f>
        <v>Low</v>
      </c>
      <c r="BA169" s="112"/>
      <c r="BB169" s="113" t="s">
        <v>1187</v>
      </c>
      <c r="BC169" s="109">
        <f t="shared" si="144"/>
        <v>0</v>
      </c>
      <c r="BD169" s="929">
        <v>45322</v>
      </c>
      <c r="BE169" s="114"/>
      <c r="BF169" s="115"/>
      <c r="BG169" s="115"/>
      <c r="BH169" s="115"/>
      <c r="BI169" s="115"/>
      <c r="BJ169" s="874">
        <f t="shared" si="149"/>
        <v>0</v>
      </c>
      <c r="BK169" s="101"/>
      <c r="BL169" s="101"/>
      <c r="BM169" s="116">
        <v>45104</v>
      </c>
      <c r="BN169" s="116">
        <v>45104</v>
      </c>
      <c r="BO169" s="332"/>
      <c r="BP169" s="94">
        <f t="shared" si="141"/>
        <v>0</v>
      </c>
      <c r="BQ169" s="97" t="str">
        <f t="shared" si="146"/>
        <v>0 - 0 - 0</v>
      </c>
      <c r="BR169" s="97" t="str">
        <f t="shared" si="147"/>
        <v>0.25 - 0.5 - 1</v>
      </c>
      <c r="BS169" s="715">
        <f t="shared" si="138"/>
        <v>0</v>
      </c>
      <c r="BT169" s="736">
        <f t="shared" si="148"/>
        <v>0.11666666666666668</v>
      </c>
      <c r="BU169" s="735"/>
      <c r="BV169" s="873">
        <v>45382</v>
      </c>
      <c r="BW169">
        <f t="shared" si="142"/>
        <v>278</v>
      </c>
    </row>
    <row r="170" spans="2:75" customFormat="1" ht="55.25" hidden="1" customHeight="1" x14ac:dyDescent="0.2">
      <c r="B170" s="101" t="str">
        <f t="shared" si="150"/>
        <v>Active</v>
      </c>
      <c r="C170" s="814" t="s">
        <v>1188</v>
      </c>
      <c r="D170" s="691" t="s">
        <v>151</v>
      </c>
      <c r="E170" s="815" t="s">
        <v>1096</v>
      </c>
      <c r="F170" s="127" t="s">
        <v>580</v>
      </c>
      <c r="G170" s="106" t="s">
        <v>1097</v>
      </c>
      <c r="H170" s="103" t="str">
        <f t="shared" si="139"/>
        <v>RT-6-008-018-LLP-CD3A</v>
      </c>
      <c r="I170" s="106" t="s">
        <v>545</v>
      </c>
      <c r="J170" s="101" t="s">
        <v>1098</v>
      </c>
      <c r="K170" s="101" t="s">
        <v>1189</v>
      </c>
      <c r="L170" s="104" t="s">
        <v>1190</v>
      </c>
      <c r="M170" s="103" t="s">
        <v>129</v>
      </c>
      <c r="N170" s="105">
        <v>0</v>
      </c>
      <c r="O170" s="106" t="str" cm="1">
        <f t="array" ref="O170">_xlfn.IFS(N170="","",ABS(N170)&lt;='Risk Matrices'!$E$7,'Risk Matrices'!$E$5,ABS(N170)&lt;='Risk Matrices'!$F$7,'Risk Matrices'!$F$5,ABS(N170)&lt;='Risk Matrices'!$G$7,'Risk Matrices'!$G$5,ABS(N170)&lt;='Risk Matrices'!$H$7,'Risk Matrices'!$H$5,ABS(N170)&gt;'Risk Matrices'!$H$7,'Risk Matrices'!$I$5)</f>
        <v>Negligible</v>
      </c>
      <c r="P170" s="101">
        <v>9</v>
      </c>
      <c r="Q170" s="101" t="str" cm="1">
        <f t="array" ref="Q170">_xlfn.IFS(P170="","",ABS(P170)&lt;='Risk Matrices'!$E$8,'Risk Matrices'!$E$5,ABS(P170)&lt;='Risk Matrices'!$F$8,'Risk Matrices'!$F$5,ABS(P170)&lt;='Risk Matrices'!$G$8,'Risk Matrices'!$G$5,ABS(P170)&lt;='Risk Matrices'!$H$8,'Risk Matrices'!$H$5,ABS(P170)&gt;'Risk Matrices'!$H$8,'Risk Matrices'!$I$5)</f>
        <v>Significant</v>
      </c>
      <c r="R170" s="101" t="s">
        <v>130</v>
      </c>
      <c r="S170" s="106">
        <f t="shared" si="151"/>
        <v>4</v>
      </c>
      <c r="T170" s="106" cm="1">
        <f t="array" ref="T170">_xlfn.IFS(O170='Risk Matrices'!$D$28,'Risk Matrices'!$D$29,O170='Risk Matrices'!$E$28,'Risk Matrices'!$E$29,O170='Risk Matrices'!$F$28,'Risk Matrices'!$F$29,O170='Risk Matrices'!$G$28,'Risk Matrices'!$G$29,O170='Risk Matrices'!$H$28,'Risk Matrices'!$H$29)</f>
        <v>1</v>
      </c>
      <c r="U170" s="106">
        <f t="shared" ref="U170:U188" si="153">IF(Q170="",0,IF(Q170="Negligible",1,IF(Q170="Marginal",2,IF(Q170="Significant",3,IF(Q170="Critical",4,IF(Q170="Crisis",5))))))</f>
        <v>3</v>
      </c>
      <c r="V170" s="106">
        <f t="shared" si="140"/>
        <v>0</v>
      </c>
      <c r="W170" s="106">
        <f t="shared" ref="W170:W188" si="154">MAX(T170,U170,V170)</f>
        <v>3</v>
      </c>
      <c r="X170" s="106">
        <f t="shared" ref="X170:X188" si="155">S170*W170</f>
        <v>12</v>
      </c>
      <c r="Y170" s="107" t="str">
        <f t="shared" si="152"/>
        <v>Moderate</v>
      </c>
      <c r="Z170" s="104"/>
      <c r="AA170" s="108">
        <f t="shared" ref="AA170:AA188" si="156">IF(M170="",0,IF(M170="Very Low (There is a &lt;10% chance that this event will occur)",0.05,IF(M170="Low (Risk is likely to occur with a probability of &gt; 10% to &lt; 25%)",0.17,IF(M170="Moderate (Risk is likely to occur with a probability of &gt; 25% to &lt; 40%)",0.32,IF(M170="High (Risk is likely to occur with a probability of &gt;40 to &lt;65%)",0.52,IF(M170="Very High (Risk is likely to occur with a probability of &gt;65%)",0.82))))))</f>
        <v>0.52</v>
      </c>
      <c r="AB170" s="109">
        <f t="shared" ref="AB170:AB188" si="157">+AA170*N170</f>
        <v>0</v>
      </c>
      <c r="AC170" s="101" t="s">
        <v>155</v>
      </c>
      <c r="AD170" s="146" t="s">
        <v>1191</v>
      </c>
      <c r="AE170" s="146"/>
      <c r="AF170" s="116" t="s">
        <v>167</v>
      </c>
      <c r="AG170" s="116"/>
      <c r="AH170" s="101" t="s">
        <v>1192</v>
      </c>
      <c r="AI170" s="112">
        <v>0.4</v>
      </c>
      <c r="AJ170" s="106">
        <v>0</v>
      </c>
      <c r="AK170" s="106">
        <v>0</v>
      </c>
      <c r="AL170" s="106">
        <v>0</v>
      </c>
      <c r="AM170" s="143">
        <v>3</v>
      </c>
      <c r="AN170" s="143">
        <v>9</v>
      </c>
      <c r="AO170" s="143">
        <v>12</v>
      </c>
      <c r="AP170" s="112" t="str">
        <f>IF(OR(ISBLANK(AI170),AI170=0),"INSERT LIKELIHOOD",IF(ABS(AI170)&lt;='Risk Matrices'!$D$22,'Risk Matrices'!$C$21,IF(ABS(AI170)&lt;='Risk Matrices'!$D$19,'Risk Matrices'!$C$18,IF(ABS(AI170)&lt;='Risk Matrices'!$D$16,'Risk Matrices'!$C$15,IF(ABS(AI170)&lt;='Risk Matrices'!$D$13,'Risk Matrices'!$C$12,'Risk Matrices'!$C$10)))))</f>
        <v>Moderate</v>
      </c>
      <c r="AQ170" s="112" t="str">
        <f>IF(OR(ISBLANK(AK170),AK170=0),"None",IF(ABS(AK170)&lt;='Risk Matrices'!$E$7,'Risk Matrices'!$E$5,IF(ABS(AK170)&lt;='Risk Matrices'!$G$7,'Risk Matrices'!$G$5,IF(ABS(AK170)&lt;='Risk Matrices'!$H$7,'Risk Matrices'!$H$5,'Risk Matrices'!$I$5))))</f>
        <v>None</v>
      </c>
      <c r="AR170" s="112" t="str">
        <f>IF(AN170="","",IF(ABS(AN170)&lt;='Risk Matrices'!$E$8,"Negligible",IF(ABS(AN170)&lt;='Risk Matrices'!$F$8,"Marginal",IF(ABS(AN170)&lt;='Risk Matrices'!$G$8,"Significant",IF(ABS(AN170)&lt;='Risk Matrices'!$H$8,"Critical","Crisis")))))</f>
        <v>Significant</v>
      </c>
      <c r="AS170" s="103" t="s">
        <v>130</v>
      </c>
      <c r="AT170" s="298">
        <f>IF(OR(ISBLANK(AI170),AI170=0),0,VLOOKUP(AP170,'Risk Matrices'!$B$30:$C$34,2,0))</f>
        <v>3</v>
      </c>
      <c r="AU170" s="298">
        <f>IF(OR(ISBLANK(AK170),AK170=0),0,HLOOKUP(AQ170,'Risk Matrices'!$D$28:$H$29,2,0))</f>
        <v>0</v>
      </c>
      <c r="AV170" s="298">
        <f>IF(OR(ISBLANK(AR170),AR170=0),0,HLOOKUP(AR170,'Risk Matrices'!$D$28:$H$29,2,0))</f>
        <v>3</v>
      </c>
      <c r="AW170" s="298">
        <f>IF(AS170="None",0,HLOOKUP(AS170,'Risk Matrices'!$D$28:$H$29,2,0))</f>
        <v>0</v>
      </c>
      <c r="AX170" s="106">
        <f t="shared" si="143"/>
        <v>3</v>
      </c>
      <c r="AY170" s="106">
        <f t="shared" si="145"/>
        <v>9</v>
      </c>
      <c r="AZ170" s="107" t="str">
        <f>IF(B170="Retired","Retired",IF(OR(ISBLANK(AY170),AY170=0),"TBD",IF(AY170&lt;='Risk Matrices'!$D$40,'Risk Matrices'!$B$40,IF(AY170&lt;='Risk Matrices'!$D$39,'Risk Matrices'!$B$39,'Risk Matrices'!$B$38))))</f>
        <v>Moderate</v>
      </c>
      <c r="BA170" s="112"/>
      <c r="BB170" s="113" t="s">
        <v>615</v>
      </c>
      <c r="BC170" s="109">
        <f t="shared" si="144"/>
        <v>0</v>
      </c>
      <c r="BD170" s="185">
        <v>45517</v>
      </c>
      <c r="BE170" s="114"/>
      <c r="BF170" s="115"/>
      <c r="BG170" s="115"/>
      <c r="BH170" s="115"/>
      <c r="BI170" s="115"/>
      <c r="BJ170" s="874">
        <f t="shared" si="149"/>
        <v>0</v>
      </c>
      <c r="BK170" s="101"/>
      <c r="BL170" s="101"/>
      <c r="BM170" s="116">
        <v>45152</v>
      </c>
      <c r="BN170" s="330">
        <v>45152</v>
      </c>
      <c r="BO170" s="332"/>
      <c r="BP170" s="94">
        <f t="shared" si="141"/>
        <v>0</v>
      </c>
      <c r="BQ170" s="97" t="str">
        <f t="shared" si="146"/>
        <v>0 - 0 - 0</v>
      </c>
      <c r="BR170" s="97" t="str">
        <f t="shared" si="147"/>
        <v>3 - 9 - 12</v>
      </c>
      <c r="BS170" s="715">
        <f t="shared" si="138"/>
        <v>0</v>
      </c>
      <c r="BT170" s="736">
        <f t="shared" si="148"/>
        <v>3.2000000000000006</v>
      </c>
      <c r="BU170" s="735"/>
      <c r="BV170" s="873">
        <v>45382</v>
      </c>
      <c r="BW170">
        <f t="shared" si="142"/>
        <v>230</v>
      </c>
    </row>
    <row r="171" spans="2:75" customFormat="1" ht="55.25" hidden="1" customHeight="1" x14ac:dyDescent="0.2">
      <c r="B171" s="101" t="str">
        <f t="shared" si="150"/>
        <v>Active</v>
      </c>
      <c r="C171" s="814" t="s">
        <v>1193</v>
      </c>
      <c r="D171" s="691" t="s">
        <v>151</v>
      </c>
      <c r="E171" s="815" t="s">
        <v>1096</v>
      </c>
      <c r="F171" s="127" t="s">
        <v>580</v>
      </c>
      <c r="G171" s="106" t="s">
        <v>1097</v>
      </c>
      <c r="H171" s="103" t="str">
        <f t="shared" si="139"/>
        <v>RT-6-008-019-LLP-CD3A</v>
      </c>
      <c r="I171" s="106" t="s">
        <v>545</v>
      </c>
      <c r="J171" s="101" t="s">
        <v>1098</v>
      </c>
      <c r="K171" s="101" t="s">
        <v>1194</v>
      </c>
      <c r="L171" s="104" t="s">
        <v>1195</v>
      </c>
      <c r="M171" s="103" t="s">
        <v>129</v>
      </c>
      <c r="N171" s="105">
        <v>3000</v>
      </c>
      <c r="O171" s="106" t="str" cm="1">
        <f t="array" ref="O171">_xlfn.IFS(N171="","",ABS(N171)&lt;='Risk Matrices'!$E$7,'Risk Matrices'!$E$5,ABS(N171)&lt;='Risk Matrices'!$F$7,'Risk Matrices'!$F$5,ABS(N171)&lt;='Risk Matrices'!$G$7,'Risk Matrices'!$G$5,ABS(N171)&lt;='Risk Matrices'!$H$7,'Risk Matrices'!$H$5,ABS(N171)&gt;'Risk Matrices'!$H$7,'Risk Matrices'!$I$5)</f>
        <v>Significant</v>
      </c>
      <c r="P171" s="106">
        <v>0</v>
      </c>
      <c r="Q171" s="101" t="str" cm="1">
        <f t="array" ref="Q171">_xlfn.IFS(P171="","",ABS(P171)&lt;='Risk Matrices'!$E$8,'Risk Matrices'!$E$5,ABS(P171)&lt;='Risk Matrices'!$F$8,'Risk Matrices'!$F$5,ABS(P171)&lt;='Risk Matrices'!$G$8,'Risk Matrices'!$G$5,ABS(P171)&lt;='Risk Matrices'!$H$8,'Risk Matrices'!$H$5,ABS(P171)&gt;'Risk Matrices'!$H$8,'Risk Matrices'!$I$5)</f>
        <v>Negligible</v>
      </c>
      <c r="R171" s="101" t="s">
        <v>130</v>
      </c>
      <c r="S171" s="106">
        <f t="shared" si="151"/>
        <v>4</v>
      </c>
      <c r="T171" s="106" cm="1">
        <f t="array" ref="T171">_xlfn.IFS(O171='Risk Matrices'!$D$28,'Risk Matrices'!$D$29,O171='Risk Matrices'!$E$28,'Risk Matrices'!$E$29,O171='Risk Matrices'!$F$28,'Risk Matrices'!$F$29,O171='Risk Matrices'!$G$28,'Risk Matrices'!$G$29,O171='Risk Matrices'!$H$28,'Risk Matrices'!$H$29)</f>
        <v>3</v>
      </c>
      <c r="U171" s="106">
        <f t="shared" si="153"/>
        <v>1</v>
      </c>
      <c r="V171" s="106">
        <f t="shared" si="140"/>
        <v>0</v>
      </c>
      <c r="W171" s="106">
        <f t="shared" si="154"/>
        <v>3</v>
      </c>
      <c r="X171" s="106">
        <f t="shared" si="155"/>
        <v>12</v>
      </c>
      <c r="Y171" s="107" t="str">
        <f t="shared" si="152"/>
        <v>Moderate</v>
      </c>
      <c r="Z171" s="104"/>
      <c r="AA171" s="108">
        <f t="shared" si="156"/>
        <v>0.52</v>
      </c>
      <c r="AB171" s="109">
        <f t="shared" si="157"/>
        <v>1560</v>
      </c>
      <c r="AC171" s="101" t="s">
        <v>143</v>
      </c>
      <c r="AD171" s="179" t="s">
        <v>209</v>
      </c>
      <c r="AE171" s="179"/>
      <c r="AF171" s="116" t="s">
        <v>167</v>
      </c>
      <c r="AG171" s="116"/>
      <c r="AH171" s="101" t="s">
        <v>1196</v>
      </c>
      <c r="AI171" s="112">
        <v>0.3</v>
      </c>
      <c r="AJ171" s="106">
        <v>366</v>
      </c>
      <c r="AK171" s="106">
        <v>549</v>
      </c>
      <c r="AL171" s="106">
        <v>732</v>
      </c>
      <c r="AM171" s="143">
        <v>0</v>
      </c>
      <c r="AN171" s="143">
        <v>0</v>
      </c>
      <c r="AO171" s="143">
        <v>0</v>
      </c>
      <c r="AP171" s="112" t="str">
        <f>IF(OR(ISBLANK(AI171),AI171=0),"INSERT LIKELIHOOD",IF(ABS(AI171)&lt;='Risk Matrices'!$D$22,'Risk Matrices'!$C$21,IF(ABS(AI171)&lt;='Risk Matrices'!$D$19,'Risk Matrices'!$C$18,IF(ABS(AI171)&lt;='Risk Matrices'!$D$16,'Risk Matrices'!$C$15,IF(ABS(AI171)&lt;='Risk Matrices'!$D$13,'Risk Matrices'!$C$12,'Risk Matrices'!$C$10)))))</f>
        <v>Moderate</v>
      </c>
      <c r="AQ171" s="112" t="str">
        <f>IF(OR(ISBLANK(AK171),AK171=0),"None",IF(ABS(AK171)&lt;='Risk Matrices'!$E$7,'Risk Matrices'!$E$5,IF(ABS(AK171)&lt;='Risk Matrices'!$G$7,'Risk Matrices'!$G$5,IF(ABS(AK171)&lt;='Risk Matrices'!$H$7,'Risk Matrices'!$H$5,'Risk Matrices'!$I$5))))</f>
        <v>Significant</v>
      </c>
      <c r="AR171" s="112" t="str">
        <f>IF(AN171="","",IF(ABS(AN171)&lt;='Risk Matrices'!$E$8,"Negligible",IF(ABS(AN171)&lt;='Risk Matrices'!$F$8,"Marginal",IF(ABS(AN171)&lt;='Risk Matrices'!$G$8,"Significant",IF(ABS(AN171)&lt;='Risk Matrices'!$H$8,"Critical","Crisis")))))</f>
        <v>Negligible</v>
      </c>
      <c r="AS171" s="103" t="s">
        <v>130</v>
      </c>
      <c r="AT171" s="298">
        <f>IF(OR(ISBLANK(AI171),AI171=0),0,VLOOKUP(AP171,'Risk Matrices'!$B$30:$C$34,2,0))</f>
        <v>3</v>
      </c>
      <c r="AU171" s="298">
        <f>IF(OR(ISBLANK(AK171),AK171=0),0,HLOOKUP(AQ171,'Risk Matrices'!$D$28:$H$29,2,0))</f>
        <v>3</v>
      </c>
      <c r="AV171" s="298">
        <f>IF(OR(ISBLANK(AR171),AR171=0),0,HLOOKUP(AR171,'Risk Matrices'!$D$28:$H$29,2,0))</f>
        <v>1</v>
      </c>
      <c r="AW171" s="298">
        <f>IF(AS171="None",0,HLOOKUP(AS171,'Risk Matrices'!$D$28:$H$29,2,0))</f>
        <v>0</v>
      </c>
      <c r="AX171" s="106">
        <f t="shared" si="143"/>
        <v>3</v>
      </c>
      <c r="AY171" s="106">
        <f t="shared" si="145"/>
        <v>9</v>
      </c>
      <c r="AZ171" s="107" t="str">
        <f>IF(B171="Retired","Retired",IF(OR(ISBLANK(AY171),AY171=0),"TBD",IF(AY171&lt;='Risk Matrices'!$D$40,'Risk Matrices'!$B$40,IF(AY171&lt;='Risk Matrices'!$D$39,'Risk Matrices'!$B$39,'Risk Matrices'!$B$38))))</f>
        <v>Moderate</v>
      </c>
      <c r="BA171" s="112"/>
      <c r="BB171" s="113" t="s">
        <v>1197</v>
      </c>
      <c r="BC171" s="109">
        <f t="shared" si="144"/>
        <v>164.7</v>
      </c>
      <c r="BD171" s="185">
        <v>45517</v>
      </c>
      <c r="BE171" s="114"/>
      <c r="BF171" s="115"/>
      <c r="BG171" s="115"/>
      <c r="BH171" s="115"/>
      <c r="BI171" s="115"/>
      <c r="BJ171" s="874">
        <f t="shared" si="149"/>
        <v>164.7</v>
      </c>
      <c r="BK171" s="101"/>
      <c r="BL171" s="101"/>
      <c r="BM171" s="116">
        <v>45152</v>
      </c>
      <c r="BN171" s="330">
        <v>45152</v>
      </c>
      <c r="BO171" s="332"/>
      <c r="BP171" s="94">
        <f t="shared" si="141"/>
        <v>164.7</v>
      </c>
      <c r="BQ171" s="97" t="str">
        <f t="shared" si="146"/>
        <v>366 - 549 - 732</v>
      </c>
      <c r="BR171" s="97" t="str">
        <f t="shared" si="147"/>
        <v>0 - 0 - 0</v>
      </c>
      <c r="BS171" s="715">
        <f t="shared" si="138"/>
        <v>164.7</v>
      </c>
      <c r="BT171" s="736">
        <f t="shared" si="148"/>
        <v>0</v>
      </c>
      <c r="BU171" s="735"/>
      <c r="BV171" s="873">
        <v>45382</v>
      </c>
      <c r="BW171">
        <f t="shared" si="142"/>
        <v>230</v>
      </c>
    </row>
    <row r="172" spans="2:75" customFormat="1" ht="102" hidden="1" x14ac:dyDescent="0.2">
      <c r="B172" s="101" t="str">
        <f t="shared" si="150"/>
        <v>Retired</v>
      </c>
      <c r="C172" s="781" t="s">
        <v>1198</v>
      </c>
      <c r="D172" s="101" t="s">
        <v>151</v>
      </c>
      <c r="E172" s="103" t="s">
        <v>1096</v>
      </c>
      <c r="F172" s="127" t="s">
        <v>580</v>
      </c>
      <c r="G172" s="106" t="s">
        <v>1199</v>
      </c>
      <c r="H172" s="106"/>
      <c r="I172" s="103" t="s">
        <v>350</v>
      </c>
      <c r="J172" s="101" t="s">
        <v>1098</v>
      </c>
      <c r="K172" s="103" t="s">
        <v>1098</v>
      </c>
      <c r="L172" s="101" t="s">
        <v>1200</v>
      </c>
      <c r="M172" s="103" t="s">
        <v>129</v>
      </c>
      <c r="N172" s="105">
        <v>3000</v>
      </c>
      <c r="O172" s="106" t="str" cm="1">
        <f t="array" ref="O172">_xlfn.IFS(N172="","",ABS(N172)&lt;='Risk Matrices'!$E$7,'Risk Matrices'!$E$5,ABS(N172)&lt;='Risk Matrices'!$F$7,'Risk Matrices'!$F$5,ABS(N172)&lt;='Risk Matrices'!$G$7,'Risk Matrices'!$G$5,ABS(N172)&lt;='Risk Matrices'!$H$7,'Risk Matrices'!$H$5,ABS(N172)&gt;'Risk Matrices'!$H$7,'Risk Matrices'!$I$5)</f>
        <v>Significant</v>
      </c>
      <c r="P172" s="106"/>
      <c r="Q172" s="103" t="s">
        <v>207</v>
      </c>
      <c r="R172" s="103" t="s">
        <v>280</v>
      </c>
      <c r="S172" s="106">
        <f t="shared" si="151"/>
        <v>4</v>
      </c>
      <c r="T172" s="106" cm="1">
        <f t="array" ref="T172">_xlfn.IFS(O172='Risk Matrices'!$D$28,'Risk Matrices'!$D$29,O172='Risk Matrices'!$E$28,'Risk Matrices'!$E$29,O172='Risk Matrices'!$F$28,'Risk Matrices'!$F$29,O172='Risk Matrices'!$G$28,'Risk Matrices'!$G$29,O172='Risk Matrices'!$H$28,'Risk Matrices'!$H$29)</f>
        <v>3</v>
      </c>
      <c r="U172" s="106">
        <f t="shared" si="153"/>
        <v>1</v>
      </c>
      <c r="V172" s="106">
        <f t="shared" ref="V172:V188" si="158">IF(R172="",0,IF(R172="Negligible",1,IF(R172="Marginal",2,IF(R172="Significant",3,IF(R172="Critical",4,IF(R172="Crisis",5))))))</f>
        <v>2</v>
      </c>
      <c r="W172" s="106">
        <f t="shared" si="154"/>
        <v>3</v>
      </c>
      <c r="X172" s="106">
        <f t="shared" si="155"/>
        <v>12</v>
      </c>
      <c r="Y172" s="107" t="str">
        <f t="shared" si="152"/>
        <v>Moderate</v>
      </c>
      <c r="Z172" s="104"/>
      <c r="AA172" s="108">
        <f t="shared" si="156"/>
        <v>0.52</v>
      </c>
      <c r="AB172" s="109">
        <f t="shared" si="157"/>
        <v>1560</v>
      </c>
      <c r="AC172" s="109" t="s">
        <v>155</v>
      </c>
      <c r="AD172" s="750" t="s">
        <v>1201</v>
      </c>
      <c r="AE172" s="750"/>
      <c r="AF172" s="121" t="s">
        <v>1202</v>
      </c>
      <c r="AG172" s="121"/>
      <c r="AH172" s="104"/>
      <c r="AI172" s="112">
        <v>0.2</v>
      </c>
      <c r="AJ172" s="106">
        <v>3000</v>
      </c>
      <c r="AK172" s="106">
        <v>3000</v>
      </c>
      <c r="AL172" s="106">
        <v>3000</v>
      </c>
      <c r="AM172" s="106">
        <v>0</v>
      </c>
      <c r="AN172" s="106">
        <v>0</v>
      </c>
      <c r="AO172" s="106">
        <v>0</v>
      </c>
      <c r="AP172" s="112" t="str">
        <f>IF(OR(ISBLANK(AI172),AI172=0),"INSERT LIKELIHOOD",IF(ABS(AI172)&lt;='Risk Matrices'!$D$22,'Risk Matrices'!$C$21,IF(ABS(AI172)&lt;='Risk Matrices'!$D$19,'Risk Matrices'!$C$18,IF(ABS(AI172)&lt;='Risk Matrices'!$D$16,'Risk Matrices'!$C$15,IF(ABS(AI172)&lt;='Risk Matrices'!$D$13,'Risk Matrices'!$C$12,'Risk Matrices'!$C$10)))))</f>
        <v>Low</v>
      </c>
      <c r="AQ172" s="112" t="str">
        <f>IF(OR(ISBLANK(AK172),AK172=0),"None",IF(ABS(AK172)&lt;='Risk Matrices'!$E$7,'Risk Matrices'!$E$5,IF(ABS(AK172)&lt;='Risk Matrices'!$G$7,'Risk Matrices'!$G$5,IF(ABS(AK172)&lt;='Risk Matrices'!$H$7,'Risk Matrices'!$H$5,'Risk Matrices'!$I$5))))</f>
        <v>Significant</v>
      </c>
      <c r="AR172" s="112" t="str">
        <f>IF(AN172="","",IF(ABS(AN172)&lt;='Risk Matrices'!$E$8,"Negligible",IF(ABS(AN172)&lt;='Risk Matrices'!$F$8,"Marginal",IF(ABS(AN172)&lt;='Risk Matrices'!$G$8,"Significant",IF(ABS(AN172)&lt;='Risk Matrices'!$H$8,"Critical","Crisis")))))</f>
        <v>Negligible</v>
      </c>
      <c r="AS172" s="103" t="s">
        <v>130</v>
      </c>
      <c r="AT172" s="298">
        <f>IF(OR(ISBLANK(AI172),AI172=0),0,VLOOKUP(AP172,'Risk Matrices'!$B$30:$C$34,2,0))</f>
        <v>2</v>
      </c>
      <c r="AU172" s="298">
        <f>IF(OR(ISBLANK(AK172),AK172=0),0,HLOOKUP(AQ172,'Risk Matrices'!$D$28:$H$29,2,0))</f>
        <v>3</v>
      </c>
      <c r="AV172" s="298">
        <f>IF(OR(ISBLANK(AR172),AR172=0),0,HLOOKUP(AR172,'Risk Matrices'!$D$28:$H$29,2,0))</f>
        <v>1</v>
      </c>
      <c r="AW172" s="298">
        <f>IF(AS172="None",0,HLOOKUP(AS172,'Risk Matrices'!$D$28:$H$29,2,0))</f>
        <v>0</v>
      </c>
      <c r="AX172" s="106">
        <f t="shared" si="143"/>
        <v>3</v>
      </c>
      <c r="AY172" s="106">
        <f t="shared" si="145"/>
        <v>6</v>
      </c>
      <c r="AZ172" s="107" t="str">
        <f>IF(B172="Retired","Retired",IF(OR(ISBLANK(AY172),AY172=0),"TBD",IF(AY172&lt;='Risk Matrices'!$D$40,'Risk Matrices'!$B$40,IF(AY172&lt;='Risk Matrices'!$D$39,'Risk Matrices'!$B$39,'Risk Matrices'!$B$38))))</f>
        <v>Retired</v>
      </c>
      <c r="BA172" s="112"/>
      <c r="BB172" s="113"/>
      <c r="BC172" s="109" t="str">
        <f t="shared" si="144"/>
        <v>Retired</v>
      </c>
      <c r="BD172" s="113"/>
      <c r="BE172" s="114"/>
      <c r="BF172" s="115"/>
      <c r="BG172" s="115" t="s">
        <v>1203</v>
      </c>
      <c r="BH172" s="115"/>
      <c r="BI172" s="115"/>
      <c r="BJ172" s="874">
        <f t="shared" si="149"/>
        <v>600</v>
      </c>
      <c r="BK172" s="101" t="s">
        <v>311</v>
      </c>
      <c r="BL172" s="130">
        <v>44187</v>
      </c>
      <c r="BM172" s="116">
        <v>44012</v>
      </c>
      <c r="BN172" s="116">
        <v>44134</v>
      </c>
      <c r="BO172" s="332"/>
      <c r="BP172" s="94">
        <f t="shared" ref="BP172:BP187" si="159">AI172*((2*AJ172+4*AK172+2*AL172)/6)</f>
        <v>800</v>
      </c>
      <c r="BQ172" s="97" t="str">
        <f t="shared" si="146"/>
        <v>3000 - 3000 - 3000</v>
      </c>
      <c r="BR172" s="97" t="str">
        <f t="shared" si="147"/>
        <v>0 - 0 - 0</v>
      </c>
      <c r="BS172" s="715">
        <f t="shared" si="138"/>
        <v>600</v>
      </c>
      <c r="BT172" s="736">
        <f t="shared" si="148"/>
        <v>0</v>
      </c>
      <c r="BU172" s="735" t="s">
        <v>1198</v>
      </c>
    </row>
    <row r="173" spans="2:75" customFormat="1" ht="60" hidden="1" x14ac:dyDescent="0.2">
      <c r="B173" s="101" t="str">
        <f t="shared" si="150"/>
        <v>Retired</v>
      </c>
      <c r="C173" s="110">
        <v>300</v>
      </c>
      <c r="D173" s="101" t="s">
        <v>151</v>
      </c>
      <c r="E173" s="103" t="s">
        <v>1096</v>
      </c>
      <c r="F173" s="101" t="s">
        <v>580</v>
      </c>
      <c r="G173" s="106" t="s">
        <v>1199</v>
      </c>
      <c r="H173" s="106"/>
      <c r="I173" s="106" t="s">
        <v>1199</v>
      </c>
      <c r="J173" s="101" t="s">
        <v>1098</v>
      </c>
      <c r="K173" s="101" t="s">
        <v>1204</v>
      </c>
      <c r="L173" s="104" t="s">
        <v>1205</v>
      </c>
      <c r="M173" s="103" t="s">
        <v>129</v>
      </c>
      <c r="N173" s="105">
        <v>5000</v>
      </c>
      <c r="O173" s="106" t="str" cm="1">
        <f t="array" ref="O173">_xlfn.IFS(N173="","",ABS(N173)&lt;='Risk Matrices'!$E$7,'Risk Matrices'!$E$5,ABS(N173)&lt;='Risk Matrices'!$F$7,'Risk Matrices'!$F$5,ABS(N173)&lt;='Risk Matrices'!$G$7,'Risk Matrices'!$G$5,ABS(N173)&lt;='Risk Matrices'!$H$7,'Risk Matrices'!$H$5,ABS(N173)&gt;'Risk Matrices'!$H$7,'Risk Matrices'!$I$5)</f>
        <v>Significant</v>
      </c>
      <c r="P173" s="101">
        <v>12</v>
      </c>
      <c r="Q173" s="104" t="s">
        <v>307</v>
      </c>
      <c r="R173" s="104" t="s">
        <v>406</v>
      </c>
      <c r="S173" s="106">
        <f t="shared" si="151"/>
        <v>4</v>
      </c>
      <c r="T173" s="106" cm="1">
        <f t="array" ref="T173">_xlfn.IFS(O173='Risk Matrices'!$D$28,'Risk Matrices'!$D$29,O173='Risk Matrices'!$E$28,'Risk Matrices'!$E$29,O173='Risk Matrices'!$F$28,'Risk Matrices'!$F$29,O173='Risk Matrices'!$G$28,'Risk Matrices'!$G$29,O173='Risk Matrices'!$H$28,'Risk Matrices'!$H$29)</f>
        <v>3</v>
      </c>
      <c r="U173" s="106">
        <f t="shared" si="153"/>
        <v>3</v>
      </c>
      <c r="V173" s="106">
        <f t="shared" si="158"/>
        <v>4</v>
      </c>
      <c r="W173" s="106">
        <f t="shared" si="154"/>
        <v>4</v>
      </c>
      <c r="X173" s="106">
        <f t="shared" si="155"/>
        <v>16</v>
      </c>
      <c r="Y173" s="107" t="str">
        <f t="shared" si="152"/>
        <v>High</v>
      </c>
      <c r="Z173" s="104"/>
      <c r="AA173" s="108">
        <f t="shared" si="156"/>
        <v>0.52</v>
      </c>
      <c r="AB173" s="109">
        <f t="shared" si="157"/>
        <v>2600</v>
      </c>
      <c r="AC173" s="101" t="s">
        <v>155</v>
      </c>
      <c r="AD173" s="104" t="s">
        <v>1206</v>
      </c>
      <c r="AE173" s="104"/>
      <c r="AF173" s="104"/>
      <c r="AG173" s="104"/>
      <c r="AH173" s="104" t="s">
        <v>1207</v>
      </c>
      <c r="AI173" s="112">
        <v>0.75</v>
      </c>
      <c r="AJ173" s="106">
        <v>2000</v>
      </c>
      <c r="AK173" s="106">
        <v>3000</v>
      </c>
      <c r="AL173" s="106">
        <v>4000</v>
      </c>
      <c r="AM173" s="106">
        <v>6</v>
      </c>
      <c r="AN173" s="106">
        <v>15</v>
      </c>
      <c r="AO173" s="106">
        <v>24</v>
      </c>
      <c r="AP173" s="112" t="str">
        <f>IF(OR(ISBLANK(AI173),AI173=0),"INSERT LIKELIHOOD",IF(ABS(AI173)&lt;='Risk Matrices'!$D$22,'Risk Matrices'!$C$21,IF(ABS(AI173)&lt;='Risk Matrices'!$D$19,'Risk Matrices'!$C$18,IF(ABS(AI173)&lt;='Risk Matrices'!$D$16,'Risk Matrices'!$C$15,IF(ABS(AI173)&lt;='Risk Matrices'!$D$13,'Risk Matrices'!$C$12,'Risk Matrices'!$C$10)))))</f>
        <v>Very High</v>
      </c>
      <c r="AQ173" s="112" t="str">
        <f>IF(OR(ISBLANK(AK173),AK173=0),"None",IF(ABS(AK173)&lt;='Risk Matrices'!$E$7,'Risk Matrices'!$E$5,IF(ABS(AK173)&lt;='Risk Matrices'!$G$7,'Risk Matrices'!$G$5,IF(ABS(AK173)&lt;='Risk Matrices'!$H$7,'Risk Matrices'!$H$5,'Risk Matrices'!$I$5))))</f>
        <v>Significant</v>
      </c>
      <c r="AR173" s="112" t="str">
        <f>IF(AN173="","",IF(ABS(AN173)&lt;='Risk Matrices'!$E$8,"Negligible",IF(ABS(AN173)&lt;='Risk Matrices'!$F$8,"Marginal",IF(ABS(AN173)&lt;='Risk Matrices'!$G$8,"Significant",IF(ABS(AN173)&lt;='Risk Matrices'!$H$8,"Critical","Crisis")))))</f>
        <v>Critical</v>
      </c>
      <c r="AS173" s="103" t="s">
        <v>130</v>
      </c>
      <c r="AT173" s="298">
        <f>IF(OR(ISBLANK(AI173),AI173=0),0,VLOOKUP(AP173,'Risk Matrices'!$B$30:$C$34,2,0))</f>
        <v>5</v>
      </c>
      <c r="AU173" s="298">
        <f>IF(OR(ISBLANK(AK173),AK173=0),0,HLOOKUP(AQ173,'Risk Matrices'!$D$28:$H$29,2,0))</f>
        <v>3</v>
      </c>
      <c r="AV173" s="298">
        <f>IF(OR(ISBLANK(AR173),AR173=0),0,HLOOKUP(AR173,'Risk Matrices'!$D$28:$H$29,2,0))</f>
        <v>4</v>
      </c>
      <c r="AW173" s="298">
        <f>IF(AS173="None",0,HLOOKUP(AS173,'Risk Matrices'!$D$28:$H$29,2,0))</f>
        <v>0</v>
      </c>
      <c r="AX173" s="106">
        <f t="shared" si="143"/>
        <v>4</v>
      </c>
      <c r="AY173" s="106">
        <f t="shared" si="145"/>
        <v>20</v>
      </c>
      <c r="AZ173" s="107" t="str">
        <f>IF(B173="Retired","Retired",IF(OR(ISBLANK(AY173),AY173=0),"TBD",IF(AY173&lt;='Risk Matrices'!$D$40,'Risk Matrices'!$B$40,IF(AY173&lt;='Risk Matrices'!$D$39,'Risk Matrices'!$B$39,'Risk Matrices'!$B$38))))</f>
        <v>Retired</v>
      </c>
      <c r="BA173" s="112"/>
      <c r="BB173" s="113" t="s">
        <v>1208</v>
      </c>
      <c r="BC173" s="109" t="str">
        <f t="shared" si="144"/>
        <v>Retired</v>
      </c>
      <c r="BD173" s="113"/>
      <c r="BE173" s="114"/>
      <c r="BF173" s="115"/>
      <c r="BG173" s="115" t="s">
        <v>1209</v>
      </c>
      <c r="BH173" s="115"/>
      <c r="BI173" s="115"/>
      <c r="BJ173" s="874">
        <f t="shared" si="149"/>
        <v>2250</v>
      </c>
      <c r="BK173" s="101" t="s">
        <v>375</v>
      </c>
      <c r="BL173" s="116">
        <v>44855</v>
      </c>
      <c r="BM173" s="116">
        <v>44463</v>
      </c>
      <c r="BN173" s="330">
        <v>44466</v>
      </c>
      <c r="BO173" s="332" t="s">
        <v>1210</v>
      </c>
      <c r="BP173" s="94">
        <f t="shared" si="159"/>
        <v>3000</v>
      </c>
      <c r="BQ173" s="97" t="str">
        <f t="shared" si="146"/>
        <v>2000 - 3000 - 4000</v>
      </c>
      <c r="BR173" s="97" t="str">
        <f t="shared" si="147"/>
        <v>6 - 15 - 24</v>
      </c>
      <c r="BS173" s="715">
        <f t="shared" si="138"/>
        <v>2250</v>
      </c>
      <c r="BT173" s="736">
        <f t="shared" si="148"/>
        <v>11.25</v>
      </c>
      <c r="BU173" s="735" t="s">
        <v>1211</v>
      </c>
    </row>
    <row r="174" spans="2:75" customFormat="1" ht="60" hidden="1" x14ac:dyDescent="0.2">
      <c r="B174" s="101" t="str">
        <f t="shared" si="150"/>
        <v>Retired</v>
      </c>
      <c r="C174" s="110">
        <v>306</v>
      </c>
      <c r="D174" s="101" t="s">
        <v>151</v>
      </c>
      <c r="E174" s="103" t="s">
        <v>1096</v>
      </c>
      <c r="F174" s="101" t="s">
        <v>580</v>
      </c>
      <c r="G174" s="106" t="s">
        <v>1199</v>
      </c>
      <c r="H174" s="106"/>
      <c r="I174" s="106" t="s">
        <v>1199</v>
      </c>
      <c r="J174" s="101" t="s">
        <v>1098</v>
      </c>
      <c r="K174" s="101" t="s">
        <v>1212</v>
      </c>
      <c r="L174" s="104" t="s">
        <v>1213</v>
      </c>
      <c r="M174" s="104" t="s">
        <v>141</v>
      </c>
      <c r="N174" s="105">
        <v>10000</v>
      </c>
      <c r="O174" s="106" t="str" cm="1">
        <f t="array" ref="O174">_xlfn.IFS(N174="","",ABS(N174)&lt;='Risk Matrices'!$E$7,'Risk Matrices'!$E$5,ABS(N174)&lt;='Risk Matrices'!$F$7,'Risk Matrices'!$F$5,ABS(N174)&lt;='Risk Matrices'!$G$7,'Risk Matrices'!$G$5,ABS(N174)&lt;='Risk Matrices'!$H$7,'Risk Matrices'!$H$5,ABS(N174)&gt;'Risk Matrices'!$H$7,'Risk Matrices'!$I$5)</f>
        <v>Critical</v>
      </c>
      <c r="P174" s="101">
        <v>18</v>
      </c>
      <c r="Q174" s="104" t="s">
        <v>307</v>
      </c>
      <c r="R174" s="104" t="s">
        <v>207</v>
      </c>
      <c r="S174" s="106">
        <f t="shared" si="151"/>
        <v>3</v>
      </c>
      <c r="T174" s="106" cm="1">
        <f t="array" ref="T174">_xlfn.IFS(O174='Risk Matrices'!$D$28,'Risk Matrices'!$D$29,O174='Risk Matrices'!$E$28,'Risk Matrices'!$E$29,O174='Risk Matrices'!$F$28,'Risk Matrices'!$F$29,O174='Risk Matrices'!$G$28,'Risk Matrices'!$G$29,O174='Risk Matrices'!$H$28,'Risk Matrices'!$H$29)</f>
        <v>4</v>
      </c>
      <c r="U174" s="106">
        <f t="shared" si="153"/>
        <v>3</v>
      </c>
      <c r="V174" s="106">
        <f t="shared" si="158"/>
        <v>1</v>
      </c>
      <c r="W174" s="106">
        <f t="shared" si="154"/>
        <v>4</v>
      </c>
      <c r="X174" s="106">
        <f t="shared" si="155"/>
        <v>12</v>
      </c>
      <c r="Y174" s="107" t="str">
        <f t="shared" si="152"/>
        <v>Moderate</v>
      </c>
      <c r="Z174" s="104"/>
      <c r="AA174" s="108">
        <f t="shared" si="156"/>
        <v>0.32</v>
      </c>
      <c r="AB174" s="109">
        <f t="shared" si="157"/>
        <v>3200</v>
      </c>
      <c r="AC174" s="101" t="s">
        <v>155</v>
      </c>
      <c r="AD174" s="104" t="s">
        <v>1214</v>
      </c>
      <c r="AE174" s="104"/>
      <c r="AF174" s="104"/>
      <c r="AG174" s="104"/>
      <c r="AH174" s="104" t="s">
        <v>1215</v>
      </c>
      <c r="AI174" s="112">
        <v>0.3</v>
      </c>
      <c r="AJ174" s="106">
        <v>8000</v>
      </c>
      <c r="AK174" s="106">
        <v>10000</v>
      </c>
      <c r="AL174" s="106">
        <v>12000</v>
      </c>
      <c r="AM174" s="106">
        <v>6</v>
      </c>
      <c r="AN174" s="106">
        <v>12</v>
      </c>
      <c r="AO174" s="106">
        <v>18</v>
      </c>
      <c r="AP174" s="112" t="str">
        <f>IF(OR(ISBLANK(AI174),AI174=0),"INSERT LIKELIHOOD",IF(ABS(AI174)&lt;='Risk Matrices'!$D$22,'Risk Matrices'!$C$21,IF(ABS(AI174)&lt;='Risk Matrices'!$D$19,'Risk Matrices'!$C$18,IF(ABS(AI174)&lt;='Risk Matrices'!$D$16,'Risk Matrices'!$C$15,IF(ABS(AI174)&lt;='Risk Matrices'!$D$13,'Risk Matrices'!$C$12,'Risk Matrices'!$C$10)))))</f>
        <v>Moderate</v>
      </c>
      <c r="AQ174" s="112" t="str">
        <f>IF(OR(ISBLANK(AK174),AK174=0),"None",IF(ABS(AK174)&lt;='Risk Matrices'!$E$7,'Risk Matrices'!$E$5,IF(ABS(AK174)&lt;='Risk Matrices'!$G$7,'Risk Matrices'!$G$5,IF(ABS(AK174)&lt;='Risk Matrices'!$H$7,'Risk Matrices'!$H$5,'Risk Matrices'!$I$5))))</f>
        <v>Critical</v>
      </c>
      <c r="AR174" s="112" t="str">
        <f>IF(AN174="","",IF(ABS(AN174)&lt;='Risk Matrices'!$E$8,"Negligible",IF(ABS(AN174)&lt;='Risk Matrices'!$F$8,"Marginal",IF(ABS(AN174)&lt;='Risk Matrices'!$G$8,"Significant",IF(ABS(AN174)&lt;='Risk Matrices'!$H$8,"Critical","Crisis")))))</f>
        <v>Significant</v>
      </c>
      <c r="AS174" s="103" t="s">
        <v>130</v>
      </c>
      <c r="AT174" s="298">
        <f>IF(OR(ISBLANK(AI174),AI174=0),0,VLOOKUP(AP174,'Risk Matrices'!$B$30:$C$34,2,0))</f>
        <v>3</v>
      </c>
      <c r="AU174" s="298">
        <f>IF(OR(ISBLANK(AK174),AK174=0),0,HLOOKUP(AQ174,'Risk Matrices'!$D$28:$H$29,2,0))</f>
        <v>4</v>
      </c>
      <c r="AV174" s="298">
        <f>IF(OR(ISBLANK(AR174),AR174=0),0,HLOOKUP(AR174,'Risk Matrices'!$D$28:$H$29,2,0))</f>
        <v>3</v>
      </c>
      <c r="AW174" s="298">
        <f>IF(AS174="None",0,HLOOKUP(AS174,'Risk Matrices'!$D$28:$H$29,2,0))</f>
        <v>0</v>
      </c>
      <c r="AX174" s="106">
        <f t="shared" si="143"/>
        <v>4</v>
      </c>
      <c r="AY174" s="106">
        <f t="shared" si="145"/>
        <v>12</v>
      </c>
      <c r="AZ174" s="107" t="str">
        <f>IF(B174="Retired","Retired",IF(OR(ISBLANK(AY174),AY174=0),"TBD",IF(AY174&lt;='Risk Matrices'!$D$40,'Risk Matrices'!$B$40,IF(AY174&lt;='Risk Matrices'!$D$39,'Risk Matrices'!$B$39,'Risk Matrices'!$B$38))))</f>
        <v>Retired</v>
      </c>
      <c r="BA174" s="112"/>
      <c r="BB174" s="113"/>
      <c r="BC174" s="109" t="str">
        <f t="shared" si="144"/>
        <v>Retired</v>
      </c>
      <c r="BD174" s="113"/>
      <c r="BE174" s="114"/>
      <c r="BF174" s="115"/>
      <c r="BG174" s="115" t="s">
        <v>1216</v>
      </c>
      <c r="BH174" s="115"/>
      <c r="BI174" s="115"/>
      <c r="BJ174" s="874">
        <f t="shared" si="149"/>
        <v>3000</v>
      </c>
      <c r="BK174" s="101" t="s">
        <v>311</v>
      </c>
      <c r="BL174" s="116">
        <v>44855</v>
      </c>
      <c r="BM174" s="116">
        <v>44463</v>
      </c>
      <c r="BN174" s="330">
        <v>44466</v>
      </c>
      <c r="BO174" s="332" t="s">
        <v>1217</v>
      </c>
      <c r="BP174" s="94">
        <f t="shared" si="159"/>
        <v>4000</v>
      </c>
      <c r="BQ174" s="97" t="str">
        <f t="shared" si="146"/>
        <v>8000 - 10000 - 12000</v>
      </c>
      <c r="BR174" s="97" t="str">
        <f t="shared" si="147"/>
        <v>6 - 12 - 18</v>
      </c>
      <c r="BS174" s="715">
        <f t="shared" si="138"/>
        <v>3000</v>
      </c>
      <c r="BT174" s="736">
        <f t="shared" si="148"/>
        <v>3.5999999999999996</v>
      </c>
      <c r="BU174" s="735" t="s">
        <v>1218</v>
      </c>
    </row>
    <row r="175" spans="2:75" customFormat="1" ht="75" hidden="1" x14ac:dyDescent="0.2">
      <c r="B175" s="101" t="str">
        <f t="shared" si="150"/>
        <v>Retired</v>
      </c>
      <c r="C175" s="110">
        <v>308</v>
      </c>
      <c r="D175" s="101" t="s">
        <v>151</v>
      </c>
      <c r="E175" s="103" t="s">
        <v>1096</v>
      </c>
      <c r="F175" s="101" t="s">
        <v>580</v>
      </c>
      <c r="G175" s="106" t="s">
        <v>1199</v>
      </c>
      <c r="H175" s="106"/>
      <c r="I175" s="106" t="s">
        <v>1199</v>
      </c>
      <c r="J175" s="101" t="s">
        <v>1098</v>
      </c>
      <c r="K175" s="101" t="s">
        <v>1219</v>
      </c>
      <c r="L175" s="104" t="s">
        <v>1220</v>
      </c>
      <c r="M175" s="103" t="s">
        <v>129</v>
      </c>
      <c r="N175" s="105">
        <v>1000</v>
      </c>
      <c r="O175" s="106" t="str" cm="1">
        <f t="array" ref="O175">_xlfn.IFS(N175="","",ABS(N175)&lt;='Risk Matrices'!$E$7,'Risk Matrices'!$E$5,ABS(N175)&lt;='Risk Matrices'!$F$7,'Risk Matrices'!$F$5,ABS(N175)&lt;='Risk Matrices'!$G$7,'Risk Matrices'!$G$5,ABS(N175)&lt;='Risk Matrices'!$H$7,'Risk Matrices'!$H$5,ABS(N175)&gt;'Risk Matrices'!$H$7,'Risk Matrices'!$I$5)</f>
        <v>Marginal</v>
      </c>
      <c r="P175" s="101">
        <v>12</v>
      </c>
      <c r="Q175" s="104" t="s">
        <v>307</v>
      </c>
      <c r="R175" s="104" t="s">
        <v>280</v>
      </c>
      <c r="S175" s="106">
        <f t="shared" si="151"/>
        <v>4</v>
      </c>
      <c r="T175" s="106" cm="1">
        <f t="array" ref="T175">_xlfn.IFS(O175='Risk Matrices'!$D$28,'Risk Matrices'!$D$29,O175='Risk Matrices'!$E$28,'Risk Matrices'!$E$29,O175='Risk Matrices'!$F$28,'Risk Matrices'!$F$29,O175='Risk Matrices'!$G$28,'Risk Matrices'!$G$29,O175='Risk Matrices'!$H$28,'Risk Matrices'!$H$29)</f>
        <v>2</v>
      </c>
      <c r="U175" s="106">
        <f t="shared" si="153"/>
        <v>3</v>
      </c>
      <c r="V175" s="106">
        <f t="shared" si="158"/>
        <v>2</v>
      </c>
      <c r="W175" s="106">
        <f t="shared" si="154"/>
        <v>3</v>
      </c>
      <c r="X175" s="106">
        <f t="shared" si="155"/>
        <v>12</v>
      </c>
      <c r="Y175" s="107" t="str">
        <f t="shared" si="152"/>
        <v>Moderate</v>
      </c>
      <c r="Z175" s="104"/>
      <c r="AA175" s="108">
        <f t="shared" si="156"/>
        <v>0.52</v>
      </c>
      <c r="AB175" s="109">
        <f t="shared" si="157"/>
        <v>520</v>
      </c>
      <c r="AC175" s="101" t="s">
        <v>155</v>
      </c>
      <c r="AD175" s="104" t="s">
        <v>1221</v>
      </c>
      <c r="AE175" s="104"/>
      <c r="AF175" s="104"/>
      <c r="AG175" s="104"/>
      <c r="AH175" s="104" t="s">
        <v>1222</v>
      </c>
      <c r="AI175" s="112">
        <v>0.5</v>
      </c>
      <c r="AJ175" s="106">
        <v>1000</v>
      </c>
      <c r="AK175" s="106">
        <v>1000</v>
      </c>
      <c r="AL175" s="106">
        <v>1000</v>
      </c>
      <c r="AM175" s="106">
        <v>0</v>
      </c>
      <c r="AN175" s="106">
        <v>0</v>
      </c>
      <c r="AO175" s="106">
        <v>0</v>
      </c>
      <c r="AP175" s="112" t="str">
        <f>IF(OR(ISBLANK(AI175),AI175=0),"INSERT LIKELIHOOD",IF(ABS(AI175)&lt;='Risk Matrices'!$D$22,'Risk Matrices'!$C$21,IF(ABS(AI175)&lt;='Risk Matrices'!$D$19,'Risk Matrices'!$C$18,IF(ABS(AI175)&lt;='Risk Matrices'!$D$16,'Risk Matrices'!$C$15,IF(ABS(AI175)&lt;='Risk Matrices'!$D$13,'Risk Matrices'!$C$12,'Risk Matrices'!$C$10)))))</f>
        <v>High</v>
      </c>
      <c r="AQ175" s="112" t="str">
        <f>IF(OR(ISBLANK(AK175),AK175=0),"None",IF(ABS(AK175)&lt;='Risk Matrices'!$E$7,'Risk Matrices'!$E$5,IF(ABS(AK175)&lt;='Risk Matrices'!$G$7,'Risk Matrices'!$G$5,IF(ABS(AK175)&lt;='Risk Matrices'!$H$7,'Risk Matrices'!$H$5,'Risk Matrices'!$I$5))))</f>
        <v>Significant</v>
      </c>
      <c r="AR175" s="112" t="str">
        <f>IF(AN175="","",IF(ABS(AN175)&lt;='Risk Matrices'!$E$8,"Negligible",IF(ABS(AN175)&lt;='Risk Matrices'!$F$8,"Marginal",IF(ABS(AN175)&lt;='Risk Matrices'!$G$8,"Significant",IF(ABS(AN175)&lt;='Risk Matrices'!$H$8,"Critical","Crisis")))))</f>
        <v>Negligible</v>
      </c>
      <c r="AS175" s="103" t="s">
        <v>130</v>
      </c>
      <c r="AT175" s="298">
        <f>IF(OR(ISBLANK(AI175),AI175=0),0,VLOOKUP(AP175,'Risk Matrices'!$B$30:$C$34,2,0))</f>
        <v>4</v>
      </c>
      <c r="AU175" s="298">
        <f>IF(OR(ISBLANK(AK175),AK175=0),0,HLOOKUP(AQ175,'Risk Matrices'!$D$28:$H$29,2,0))</f>
        <v>3</v>
      </c>
      <c r="AV175" s="298">
        <f>IF(OR(ISBLANK(AR175),AR175=0),0,HLOOKUP(AR175,'Risk Matrices'!$D$28:$H$29,2,0))</f>
        <v>1</v>
      </c>
      <c r="AW175" s="298">
        <f>IF(AS175="None",0,HLOOKUP(AS175,'Risk Matrices'!$D$28:$H$29,2,0))</f>
        <v>0</v>
      </c>
      <c r="AX175" s="106">
        <f t="shared" si="143"/>
        <v>3</v>
      </c>
      <c r="AY175" s="106">
        <f t="shared" si="145"/>
        <v>12</v>
      </c>
      <c r="AZ175" s="107" t="str">
        <f>IF(B175="Retired","Retired",IF(OR(ISBLANK(AY175),AY175=0),"TBD",IF(AY175&lt;='Risk Matrices'!$D$40,'Risk Matrices'!$B$40,IF(AY175&lt;='Risk Matrices'!$D$39,'Risk Matrices'!$B$39,'Risk Matrices'!$B$38))))</f>
        <v>Retired</v>
      </c>
      <c r="BA175" s="112"/>
      <c r="BB175" s="113"/>
      <c r="BC175" s="109" t="str">
        <f t="shared" si="144"/>
        <v>Retired</v>
      </c>
      <c r="BD175" s="113"/>
      <c r="BE175" s="114"/>
      <c r="BF175" s="115"/>
      <c r="BG175" s="115" t="s">
        <v>1223</v>
      </c>
      <c r="BH175" s="115"/>
      <c r="BI175" s="115"/>
      <c r="BJ175" s="874">
        <f t="shared" si="149"/>
        <v>500</v>
      </c>
      <c r="BK175" s="101" t="s">
        <v>375</v>
      </c>
      <c r="BL175" s="116">
        <v>44855</v>
      </c>
      <c r="BM175" s="116">
        <v>44463</v>
      </c>
      <c r="BN175" s="330">
        <v>44466</v>
      </c>
      <c r="BO175" s="332" t="s">
        <v>1210</v>
      </c>
      <c r="BP175" s="94">
        <f t="shared" si="159"/>
        <v>666.66666666666663</v>
      </c>
      <c r="BQ175" s="97" t="str">
        <f t="shared" si="146"/>
        <v>1000 - 1000 - 1000</v>
      </c>
      <c r="BR175" s="97" t="str">
        <f t="shared" si="147"/>
        <v>0 - 0 - 0</v>
      </c>
      <c r="BS175" s="715">
        <f t="shared" si="138"/>
        <v>500</v>
      </c>
      <c r="BT175" s="736">
        <f t="shared" si="148"/>
        <v>0</v>
      </c>
      <c r="BU175" s="735" t="s">
        <v>1224</v>
      </c>
    </row>
    <row r="176" spans="2:75" customFormat="1" ht="60" hidden="1" x14ac:dyDescent="0.2">
      <c r="B176" s="101" t="str">
        <f t="shared" si="150"/>
        <v>Retired</v>
      </c>
      <c r="C176" s="110">
        <v>309</v>
      </c>
      <c r="D176" s="101" t="s">
        <v>151</v>
      </c>
      <c r="E176" s="103" t="s">
        <v>1096</v>
      </c>
      <c r="F176" s="101" t="s">
        <v>580</v>
      </c>
      <c r="G176" s="106" t="s">
        <v>1199</v>
      </c>
      <c r="H176" s="106"/>
      <c r="I176" s="106" t="s">
        <v>1199</v>
      </c>
      <c r="J176" s="101" t="s">
        <v>1098</v>
      </c>
      <c r="K176" s="101" t="s">
        <v>1225</v>
      </c>
      <c r="L176" s="104" t="s">
        <v>1226</v>
      </c>
      <c r="M176" s="103" t="s">
        <v>129</v>
      </c>
      <c r="N176" s="105">
        <v>5000</v>
      </c>
      <c r="O176" s="106" t="str" cm="1">
        <f t="array" ref="O176">_xlfn.IFS(N176="","",ABS(N176)&lt;='Risk Matrices'!$E$7,'Risk Matrices'!$E$5,ABS(N176)&lt;='Risk Matrices'!$F$7,'Risk Matrices'!$F$5,ABS(N176)&lt;='Risk Matrices'!$G$7,'Risk Matrices'!$G$5,ABS(N176)&lt;='Risk Matrices'!$H$7,'Risk Matrices'!$H$5,ABS(N176)&gt;'Risk Matrices'!$H$7,'Risk Matrices'!$I$5)</f>
        <v>Significant</v>
      </c>
      <c r="P176" s="101">
        <v>6</v>
      </c>
      <c r="Q176" s="104" t="s">
        <v>280</v>
      </c>
      <c r="R176" s="104" t="s">
        <v>406</v>
      </c>
      <c r="S176" s="106">
        <f t="shared" si="151"/>
        <v>4</v>
      </c>
      <c r="T176" s="106" cm="1">
        <f t="array" ref="T176">_xlfn.IFS(O176='Risk Matrices'!$D$28,'Risk Matrices'!$D$29,O176='Risk Matrices'!$E$28,'Risk Matrices'!$E$29,O176='Risk Matrices'!$F$28,'Risk Matrices'!$F$29,O176='Risk Matrices'!$G$28,'Risk Matrices'!$G$29,O176='Risk Matrices'!$H$28,'Risk Matrices'!$H$29)</f>
        <v>3</v>
      </c>
      <c r="U176" s="106">
        <f t="shared" si="153"/>
        <v>2</v>
      </c>
      <c r="V176" s="106">
        <f t="shared" si="158"/>
        <v>4</v>
      </c>
      <c r="W176" s="106">
        <f t="shared" si="154"/>
        <v>4</v>
      </c>
      <c r="X176" s="106">
        <f t="shared" si="155"/>
        <v>16</v>
      </c>
      <c r="Y176" s="107" t="str">
        <f t="shared" si="152"/>
        <v>High</v>
      </c>
      <c r="Z176" s="104"/>
      <c r="AA176" s="108">
        <f t="shared" si="156"/>
        <v>0.52</v>
      </c>
      <c r="AB176" s="109">
        <f t="shared" si="157"/>
        <v>2600</v>
      </c>
      <c r="AC176" s="101" t="s">
        <v>155</v>
      </c>
      <c r="AD176" s="104" t="s">
        <v>1221</v>
      </c>
      <c r="AE176" s="104"/>
      <c r="AF176" s="104"/>
      <c r="AG176" s="104"/>
      <c r="AH176" s="104" t="s">
        <v>1227</v>
      </c>
      <c r="AI176" s="112">
        <v>0.5</v>
      </c>
      <c r="AJ176" s="106">
        <v>5000</v>
      </c>
      <c r="AK176" s="106">
        <v>5000</v>
      </c>
      <c r="AL176" s="106">
        <v>5000</v>
      </c>
      <c r="AM176" s="106">
        <v>6</v>
      </c>
      <c r="AN176" s="106">
        <v>12</v>
      </c>
      <c r="AO176" s="106">
        <v>18</v>
      </c>
      <c r="AP176" s="112" t="str">
        <f>IF(OR(ISBLANK(AI176),AI176=0),"INSERT LIKELIHOOD",IF(ABS(AI176)&lt;='Risk Matrices'!$D$22,'Risk Matrices'!$C$21,IF(ABS(AI176)&lt;='Risk Matrices'!$D$19,'Risk Matrices'!$C$18,IF(ABS(AI176)&lt;='Risk Matrices'!$D$16,'Risk Matrices'!$C$15,IF(ABS(AI176)&lt;='Risk Matrices'!$D$13,'Risk Matrices'!$C$12,'Risk Matrices'!$C$10)))))</f>
        <v>High</v>
      </c>
      <c r="AQ176" s="112" t="str">
        <f>IF(OR(ISBLANK(AK176),AK176=0),"None",IF(ABS(AK176)&lt;='Risk Matrices'!$E$7,'Risk Matrices'!$E$5,IF(ABS(AK176)&lt;='Risk Matrices'!$G$7,'Risk Matrices'!$G$5,IF(ABS(AK176)&lt;='Risk Matrices'!$H$7,'Risk Matrices'!$H$5,'Risk Matrices'!$I$5))))</f>
        <v>Significant</v>
      </c>
      <c r="AR176" s="112" t="str">
        <f>IF(AN176="","",IF(ABS(AN176)&lt;='Risk Matrices'!$E$8,"Negligible",IF(ABS(AN176)&lt;='Risk Matrices'!$F$8,"Marginal",IF(ABS(AN176)&lt;='Risk Matrices'!$G$8,"Significant",IF(ABS(AN176)&lt;='Risk Matrices'!$H$8,"Critical","Crisis")))))</f>
        <v>Significant</v>
      </c>
      <c r="AS176" s="103" t="s">
        <v>130</v>
      </c>
      <c r="AT176" s="298">
        <f>IF(OR(ISBLANK(AI176),AI176=0),0,VLOOKUP(AP176,'Risk Matrices'!$B$30:$C$34,2,0))</f>
        <v>4</v>
      </c>
      <c r="AU176" s="298">
        <f>IF(OR(ISBLANK(AK176),AK176=0),0,HLOOKUP(AQ176,'Risk Matrices'!$D$28:$H$29,2,0))</f>
        <v>3</v>
      </c>
      <c r="AV176" s="298">
        <f>IF(OR(ISBLANK(AR176),AR176=0),0,HLOOKUP(AR176,'Risk Matrices'!$D$28:$H$29,2,0))</f>
        <v>3</v>
      </c>
      <c r="AW176" s="298">
        <f>IF(AS176="None",0,HLOOKUP(AS176,'Risk Matrices'!$D$28:$H$29,2,0))</f>
        <v>0</v>
      </c>
      <c r="AX176" s="106">
        <f t="shared" si="143"/>
        <v>3</v>
      </c>
      <c r="AY176" s="106">
        <f t="shared" si="145"/>
        <v>12</v>
      </c>
      <c r="AZ176" s="107" t="str">
        <f>IF(B176="Retired","Retired",IF(OR(ISBLANK(AY176),AY176=0),"TBD",IF(AY176&lt;='Risk Matrices'!$D$40,'Risk Matrices'!$B$40,IF(AY176&lt;='Risk Matrices'!$D$39,'Risk Matrices'!$B$39,'Risk Matrices'!$B$38))))</f>
        <v>Retired</v>
      </c>
      <c r="BA176" s="112"/>
      <c r="BB176" s="113"/>
      <c r="BC176" s="109" t="str">
        <f t="shared" si="144"/>
        <v>Retired</v>
      </c>
      <c r="BD176" s="113"/>
      <c r="BE176" s="114"/>
      <c r="BF176" s="115"/>
      <c r="BG176" s="115" t="s">
        <v>1223</v>
      </c>
      <c r="BH176" s="115"/>
      <c r="BI176" s="115"/>
      <c r="BJ176" s="874">
        <f t="shared" si="149"/>
        <v>2500</v>
      </c>
      <c r="BK176" s="101" t="s">
        <v>375</v>
      </c>
      <c r="BL176" s="116">
        <v>44855</v>
      </c>
      <c r="BM176" s="116">
        <v>44463</v>
      </c>
      <c r="BN176" s="330">
        <v>44466</v>
      </c>
      <c r="BO176" s="332" t="s">
        <v>1210</v>
      </c>
      <c r="BP176" s="94">
        <f t="shared" si="159"/>
        <v>3333.3333333333335</v>
      </c>
      <c r="BQ176" s="97" t="str">
        <f t="shared" si="146"/>
        <v>5000 - 5000 - 5000</v>
      </c>
      <c r="BR176" s="97" t="str">
        <f t="shared" si="147"/>
        <v>6 - 12 - 18</v>
      </c>
      <c r="BS176" s="715">
        <f t="shared" si="138"/>
        <v>2500</v>
      </c>
      <c r="BT176" s="736">
        <f t="shared" si="148"/>
        <v>6</v>
      </c>
      <c r="BU176" s="735" t="s">
        <v>1228</v>
      </c>
    </row>
    <row r="177" spans="2:75" customFormat="1" ht="90" hidden="1" x14ac:dyDescent="0.2">
      <c r="B177" s="101" t="str">
        <f t="shared" si="150"/>
        <v>Retired</v>
      </c>
      <c r="C177" s="110">
        <v>316</v>
      </c>
      <c r="D177" s="101" t="s">
        <v>151</v>
      </c>
      <c r="E177" s="103" t="s">
        <v>1096</v>
      </c>
      <c r="F177" s="101" t="s">
        <v>580</v>
      </c>
      <c r="G177" s="106" t="s">
        <v>1199</v>
      </c>
      <c r="H177" s="106"/>
      <c r="I177" s="106" t="s">
        <v>1199</v>
      </c>
      <c r="J177" s="101" t="s">
        <v>1098</v>
      </c>
      <c r="K177" s="101" t="s">
        <v>1229</v>
      </c>
      <c r="L177" s="104" t="s">
        <v>1230</v>
      </c>
      <c r="M177" s="103" t="s">
        <v>129</v>
      </c>
      <c r="N177" s="105">
        <v>3000</v>
      </c>
      <c r="O177" s="106" t="str" cm="1">
        <f t="array" ref="O177">_xlfn.IFS(N177="","",ABS(N177)&lt;='Risk Matrices'!$E$7,'Risk Matrices'!$E$5,ABS(N177)&lt;='Risk Matrices'!$F$7,'Risk Matrices'!$F$5,ABS(N177)&lt;='Risk Matrices'!$G$7,'Risk Matrices'!$G$5,ABS(N177)&lt;='Risk Matrices'!$H$7,'Risk Matrices'!$H$5,ABS(N177)&gt;'Risk Matrices'!$H$7,'Risk Matrices'!$I$5)</f>
        <v>Significant</v>
      </c>
      <c r="P177" s="101">
        <v>12</v>
      </c>
      <c r="Q177" s="104" t="s">
        <v>307</v>
      </c>
      <c r="R177" s="104" t="s">
        <v>406</v>
      </c>
      <c r="S177" s="106">
        <f t="shared" si="151"/>
        <v>4</v>
      </c>
      <c r="T177" s="106" cm="1">
        <f t="array" ref="T177">_xlfn.IFS(O177='Risk Matrices'!$D$28,'Risk Matrices'!$D$29,O177='Risk Matrices'!$E$28,'Risk Matrices'!$E$29,O177='Risk Matrices'!$F$28,'Risk Matrices'!$F$29,O177='Risk Matrices'!$G$28,'Risk Matrices'!$G$29,O177='Risk Matrices'!$H$28,'Risk Matrices'!$H$29)</f>
        <v>3</v>
      </c>
      <c r="U177" s="106">
        <f t="shared" si="153"/>
        <v>3</v>
      </c>
      <c r="V177" s="106">
        <f t="shared" si="158"/>
        <v>4</v>
      </c>
      <c r="W177" s="106">
        <f t="shared" si="154"/>
        <v>4</v>
      </c>
      <c r="X177" s="106">
        <f t="shared" si="155"/>
        <v>16</v>
      </c>
      <c r="Y177" s="107" t="str">
        <f t="shared" si="152"/>
        <v>High</v>
      </c>
      <c r="Z177" s="104"/>
      <c r="AA177" s="108">
        <f t="shared" si="156"/>
        <v>0.52</v>
      </c>
      <c r="AB177" s="109">
        <f t="shared" si="157"/>
        <v>1560</v>
      </c>
      <c r="AC177" s="101" t="s">
        <v>155</v>
      </c>
      <c r="AD177" s="104" t="s">
        <v>1231</v>
      </c>
      <c r="AE177" s="104"/>
      <c r="AF177" s="104"/>
      <c r="AG177" s="104"/>
      <c r="AH177" s="104" t="s">
        <v>1232</v>
      </c>
      <c r="AI177" s="112">
        <v>0.75</v>
      </c>
      <c r="AJ177" s="106">
        <v>10000</v>
      </c>
      <c r="AK177" s="106">
        <v>16000</v>
      </c>
      <c r="AL177" s="106">
        <v>20000</v>
      </c>
      <c r="AM177" s="106">
        <v>12</v>
      </c>
      <c r="AN177" s="106">
        <v>24</v>
      </c>
      <c r="AO177" s="106">
        <v>36</v>
      </c>
      <c r="AP177" s="112" t="str">
        <f>IF(OR(ISBLANK(AI177),AI177=0),"INSERT LIKELIHOOD",IF(ABS(AI177)&lt;='Risk Matrices'!$D$22,'Risk Matrices'!$C$21,IF(ABS(AI177)&lt;='Risk Matrices'!$D$19,'Risk Matrices'!$C$18,IF(ABS(AI177)&lt;='Risk Matrices'!$D$16,'Risk Matrices'!$C$15,IF(ABS(AI177)&lt;='Risk Matrices'!$D$13,'Risk Matrices'!$C$12,'Risk Matrices'!$C$10)))))</f>
        <v>Very High</v>
      </c>
      <c r="AQ177" s="112" t="str">
        <f>IF(OR(ISBLANK(AK177),AK177=0),"None",IF(ABS(AK177)&lt;='Risk Matrices'!$E$7,'Risk Matrices'!$E$5,IF(ABS(AK177)&lt;='Risk Matrices'!$G$7,'Risk Matrices'!$G$5,IF(ABS(AK177)&lt;='Risk Matrices'!$H$7,'Risk Matrices'!$H$5,'Risk Matrices'!$I$5))))</f>
        <v>Critical</v>
      </c>
      <c r="AR177" s="112" t="str">
        <f>IF(AN177="","",IF(ABS(AN177)&lt;='Risk Matrices'!$E$8,"Negligible",IF(ABS(AN177)&lt;='Risk Matrices'!$F$8,"Marginal",IF(ABS(AN177)&lt;='Risk Matrices'!$G$8,"Significant",IF(ABS(AN177)&lt;='Risk Matrices'!$H$8,"Critical","Crisis")))))</f>
        <v>Critical</v>
      </c>
      <c r="AS177" s="103" t="s">
        <v>130</v>
      </c>
      <c r="AT177" s="298">
        <f>IF(OR(ISBLANK(AI177),AI177=0),0,VLOOKUP(AP177,'Risk Matrices'!$B$30:$C$34,2,0))</f>
        <v>5</v>
      </c>
      <c r="AU177" s="298">
        <f>IF(OR(ISBLANK(AK177),AK177=0),0,HLOOKUP(AQ177,'Risk Matrices'!$D$28:$H$29,2,0))</f>
        <v>4</v>
      </c>
      <c r="AV177" s="298">
        <f>IF(OR(ISBLANK(AR177),AR177=0),0,HLOOKUP(AR177,'Risk Matrices'!$D$28:$H$29,2,0))</f>
        <v>4</v>
      </c>
      <c r="AW177" s="298">
        <f>IF(AS177="None",0,HLOOKUP(AS177,'Risk Matrices'!$D$28:$H$29,2,0))</f>
        <v>0</v>
      </c>
      <c r="AX177" s="106">
        <f t="shared" si="143"/>
        <v>4</v>
      </c>
      <c r="AY177" s="106">
        <f t="shared" si="145"/>
        <v>20</v>
      </c>
      <c r="AZ177" s="107" t="str">
        <f>IF(B177="Retired","Retired",IF(OR(ISBLANK(AY177),AY177=0),"TBD",IF(AY177&lt;='Risk Matrices'!$D$40,'Risk Matrices'!$B$40,IF(AY177&lt;='Risk Matrices'!$D$39,'Risk Matrices'!$B$39,'Risk Matrices'!$B$38))))</f>
        <v>Retired</v>
      </c>
      <c r="BA177" s="112"/>
      <c r="BB177" s="113" t="s">
        <v>1233</v>
      </c>
      <c r="BC177" s="109" t="str">
        <f t="shared" si="144"/>
        <v>Retired</v>
      </c>
      <c r="BD177" s="113"/>
      <c r="BE177" s="114"/>
      <c r="BF177" s="115"/>
      <c r="BG177" s="104" t="s">
        <v>1234</v>
      </c>
      <c r="BH177" s="115"/>
      <c r="BI177" s="115"/>
      <c r="BJ177" s="874">
        <f t="shared" si="149"/>
        <v>11500</v>
      </c>
      <c r="BK177" s="101" t="s">
        <v>375</v>
      </c>
      <c r="BL177" s="116">
        <v>44855</v>
      </c>
      <c r="BM177" s="116">
        <v>44463</v>
      </c>
      <c r="BN177" s="330">
        <v>44466</v>
      </c>
      <c r="BO177" s="332" t="s">
        <v>1210</v>
      </c>
      <c r="BP177" s="94">
        <f t="shared" si="159"/>
        <v>15500</v>
      </c>
      <c r="BQ177" s="97" t="str">
        <f t="shared" si="146"/>
        <v>10000 - 16000 - 20000</v>
      </c>
      <c r="BR177" s="97" t="str">
        <f t="shared" si="147"/>
        <v>12 - 24 - 36</v>
      </c>
      <c r="BS177" s="715">
        <f t="shared" si="138"/>
        <v>11500</v>
      </c>
      <c r="BT177" s="736">
        <f t="shared" si="148"/>
        <v>18</v>
      </c>
      <c r="BU177" s="735" t="s">
        <v>1235</v>
      </c>
    </row>
    <row r="178" spans="2:75" customFormat="1" ht="90" hidden="1" x14ac:dyDescent="0.2">
      <c r="B178" s="101" t="str">
        <f t="shared" si="150"/>
        <v>Retired</v>
      </c>
      <c r="C178" s="110">
        <v>323</v>
      </c>
      <c r="D178" s="101" t="s">
        <v>151</v>
      </c>
      <c r="E178" s="103" t="s">
        <v>1096</v>
      </c>
      <c r="F178" s="101" t="s">
        <v>580</v>
      </c>
      <c r="G178" s="106" t="s">
        <v>1199</v>
      </c>
      <c r="H178" s="106"/>
      <c r="I178" s="106" t="s">
        <v>1236</v>
      </c>
      <c r="J178" s="101" t="s">
        <v>1098</v>
      </c>
      <c r="K178" s="101" t="s">
        <v>1169</v>
      </c>
      <c r="L178" s="113" t="s">
        <v>1237</v>
      </c>
      <c r="M178" s="104" t="s">
        <v>129</v>
      </c>
      <c r="N178" s="105">
        <v>3000</v>
      </c>
      <c r="O178" s="106" t="str" cm="1">
        <f t="array" ref="O178">_xlfn.IFS(N178="","",ABS(N178)&lt;='Risk Matrices'!$E$7,'Risk Matrices'!$E$5,ABS(N178)&lt;='Risk Matrices'!$F$7,'Risk Matrices'!$F$5,ABS(N178)&lt;='Risk Matrices'!$G$7,'Risk Matrices'!$G$5,ABS(N178)&lt;='Risk Matrices'!$H$7,'Risk Matrices'!$H$5,ABS(N178)&gt;'Risk Matrices'!$H$7,'Risk Matrices'!$I$5)</f>
        <v>Significant</v>
      </c>
      <c r="P178" s="101">
        <v>18</v>
      </c>
      <c r="Q178" s="101" t="s">
        <v>207</v>
      </c>
      <c r="R178" s="101" t="s">
        <v>307</v>
      </c>
      <c r="S178" s="106">
        <f t="shared" si="151"/>
        <v>4</v>
      </c>
      <c r="T178" s="106" cm="1">
        <f t="array" ref="T178">_xlfn.IFS(O178='Risk Matrices'!$D$28,'Risk Matrices'!$D$29,O178='Risk Matrices'!$E$28,'Risk Matrices'!$E$29,O178='Risk Matrices'!$F$28,'Risk Matrices'!$F$29,O178='Risk Matrices'!$G$28,'Risk Matrices'!$G$29,O178='Risk Matrices'!$H$28,'Risk Matrices'!$H$29)</f>
        <v>3</v>
      </c>
      <c r="U178" s="106">
        <f t="shared" si="153"/>
        <v>1</v>
      </c>
      <c r="V178" s="106">
        <f t="shared" si="158"/>
        <v>3</v>
      </c>
      <c r="W178" s="106">
        <f t="shared" si="154"/>
        <v>3</v>
      </c>
      <c r="X178" s="106">
        <f t="shared" si="155"/>
        <v>12</v>
      </c>
      <c r="Y178" s="107" t="str">
        <f t="shared" si="152"/>
        <v>Moderate</v>
      </c>
      <c r="Z178" s="104"/>
      <c r="AA178" s="108">
        <f t="shared" si="156"/>
        <v>0.52</v>
      </c>
      <c r="AB178" s="109">
        <f t="shared" si="157"/>
        <v>1560</v>
      </c>
      <c r="AC178" s="109" t="s">
        <v>155</v>
      </c>
      <c r="AD178" s="113" t="s">
        <v>1238</v>
      </c>
      <c r="AE178" s="113"/>
      <c r="AF178" s="104"/>
      <c r="AG178" s="104"/>
      <c r="AH178" s="104" t="s">
        <v>1239</v>
      </c>
      <c r="AI178" s="878">
        <v>0.5</v>
      </c>
      <c r="AJ178" s="101">
        <v>3000</v>
      </c>
      <c r="AK178" s="101">
        <v>3000</v>
      </c>
      <c r="AL178" s="101">
        <v>3000</v>
      </c>
      <c r="AM178" s="106">
        <v>18</v>
      </c>
      <c r="AN178" s="106">
        <v>18</v>
      </c>
      <c r="AO178" s="106">
        <v>18</v>
      </c>
      <c r="AP178" s="112" t="str">
        <f>IF(OR(ISBLANK(AI178),AI178=0),"INSERT LIKELIHOOD",IF(ABS(AI178)&lt;='Risk Matrices'!$D$22,'Risk Matrices'!$C$21,IF(ABS(AI178)&lt;='Risk Matrices'!$D$19,'Risk Matrices'!$C$18,IF(ABS(AI178)&lt;='Risk Matrices'!$D$16,'Risk Matrices'!$C$15,IF(ABS(AI178)&lt;='Risk Matrices'!$D$13,'Risk Matrices'!$C$12,'Risk Matrices'!$C$10)))))</f>
        <v>High</v>
      </c>
      <c r="AQ178" s="112" t="str">
        <f>IF(OR(ISBLANK(AK178),AK178=0),"None",IF(ABS(AK178)&lt;='Risk Matrices'!$E$7,'Risk Matrices'!$E$5,IF(ABS(AK178)&lt;='Risk Matrices'!$G$7,'Risk Matrices'!$G$5,IF(ABS(AK178)&lt;='Risk Matrices'!$H$7,'Risk Matrices'!$H$5,'Risk Matrices'!$I$5))))</f>
        <v>Significant</v>
      </c>
      <c r="AR178" s="112" t="str">
        <f>IF(AN178="","",IF(ABS(AN178)&lt;='Risk Matrices'!$E$8,"Negligible",IF(ABS(AN178)&lt;='Risk Matrices'!$F$8,"Marginal",IF(ABS(AN178)&lt;='Risk Matrices'!$G$8,"Significant",IF(ABS(AN178)&lt;='Risk Matrices'!$H$8,"Critical","Crisis")))))</f>
        <v>Critical</v>
      </c>
      <c r="AS178" s="103" t="s">
        <v>307</v>
      </c>
      <c r="AT178" s="298">
        <f>IF(OR(ISBLANK(AI178),AI178=0),0,VLOOKUP(AP178,'Risk Matrices'!$B$30:$C$34,2,0))</f>
        <v>4</v>
      </c>
      <c r="AU178" s="298">
        <f>IF(OR(ISBLANK(AK178),AK178=0),0,HLOOKUP(AQ178,'Risk Matrices'!$D$28:$H$29,2,0))</f>
        <v>3</v>
      </c>
      <c r="AV178" s="298">
        <f>IF(OR(ISBLANK(AR178),AR178=0),0,HLOOKUP(AR178,'Risk Matrices'!$D$28:$H$29,2,0))</f>
        <v>4</v>
      </c>
      <c r="AW178" s="298">
        <f>IF(OR(ISBLANK(AS178),AS178=0),0,HLOOKUP(AS178,'Risk Matrices'!$D$28:$H$29,2,0))</f>
        <v>3</v>
      </c>
      <c r="AX178" s="106">
        <f t="shared" si="143"/>
        <v>4</v>
      </c>
      <c r="AY178" s="106">
        <f t="shared" si="145"/>
        <v>16</v>
      </c>
      <c r="AZ178" s="107" t="str">
        <f>IF(B178="Retired","Retired",IF(OR(ISBLANK(AY178),AY178=0),"TBD",IF(AY178&lt;='Risk Matrices'!$D$40,'Risk Matrices'!$B$40,IF(AY178&lt;='Risk Matrices'!$D$39,'Risk Matrices'!$B$39,'Risk Matrices'!$B$38))))</f>
        <v>Retired</v>
      </c>
      <c r="BA178" s="104"/>
      <c r="BB178" s="104"/>
      <c r="BC178" s="109" t="str">
        <f t="shared" si="144"/>
        <v>Retired</v>
      </c>
      <c r="BD178" s="104"/>
      <c r="BE178" s="104"/>
      <c r="BF178" s="104"/>
      <c r="BG178" s="104" t="s">
        <v>1240</v>
      </c>
      <c r="BH178" s="104"/>
      <c r="BI178" s="104"/>
      <c r="BJ178" s="874">
        <f t="shared" si="149"/>
        <v>1500</v>
      </c>
      <c r="BK178" s="101" t="s">
        <v>375</v>
      </c>
      <c r="BL178" s="116">
        <v>44855</v>
      </c>
      <c r="BM178" s="116">
        <v>44463</v>
      </c>
      <c r="BN178" s="330">
        <v>44466</v>
      </c>
      <c r="BO178" s="332" t="s">
        <v>1210</v>
      </c>
      <c r="BP178" s="94">
        <f t="shared" si="159"/>
        <v>2000</v>
      </c>
      <c r="BQ178" s="97" t="str">
        <f t="shared" si="146"/>
        <v>3000 - 3000 - 3000</v>
      </c>
      <c r="BR178" s="97" t="str">
        <f t="shared" si="147"/>
        <v>18 - 18 - 18</v>
      </c>
      <c r="BS178" s="715">
        <f t="shared" ref="BS178:BS188" si="160">BJ178</f>
        <v>1500</v>
      </c>
      <c r="BT178" s="736">
        <f t="shared" si="148"/>
        <v>9</v>
      </c>
      <c r="BU178" s="735" t="s">
        <v>1241</v>
      </c>
    </row>
    <row r="179" spans="2:75" customFormat="1" ht="75" hidden="1" x14ac:dyDescent="0.2">
      <c r="B179" s="101" t="str">
        <f t="shared" si="150"/>
        <v>Retired</v>
      </c>
      <c r="C179" s="110">
        <v>305</v>
      </c>
      <c r="D179" s="101" t="s">
        <v>151</v>
      </c>
      <c r="E179" s="103" t="s">
        <v>1096</v>
      </c>
      <c r="F179" s="101" t="s">
        <v>580</v>
      </c>
      <c r="G179" s="106" t="s">
        <v>1199</v>
      </c>
      <c r="H179" s="106"/>
      <c r="I179" s="106" t="s">
        <v>1199</v>
      </c>
      <c r="J179" s="101" t="s">
        <v>1098</v>
      </c>
      <c r="K179" s="101" t="s">
        <v>1242</v>
      </c>
      <c r="L179" s="113" t="s">
        <v>1243</v>
      </c>
      <c r="M179" s="103" t="s">
        <v>164</v>
      </c>
      <c r="N179" s="105">
        <v>0</v>
      </c>
      <c r="O179" s="106" t="str" cm="1">
        <f t="array" ref="O179">_xlfn.IFS(N179="","",ABS(N179)&lt;='Risk Matrices'!$E$7,'Risk Matrices'!$E$5,ABS(N179)&lt;='Risk Matrices'!$F$7,'Risk Matrices'!$F$5,ABS(N179)&lt;='Risk Matrices'!$G$7,'Risk Matrices'!$G$5,ABS(N179)&lt;='Risk Matrices'!$H$7,'Risk Matrices'!$H$5,ABS(N179)&gt;'Risk Matrices'!$H$7,'Risk Matrices'!$I$5)</f>
        <v>Negligible</v>
      </c>
      <c r="P179" s="101">
        <v>6</v>
      </c>
      <c r="Q179" s="104" t="s">
        <v>280</v>
      </c>
      <c r="R179" s="104" t="s">
        <v>280</v>
      </c>
      <c r="S179" s="106">
        <f t="shared" si="151"/>
        <v>2</v>
      </c>
      <c r="T179" s="106" cm="1">
        <f t="array" ref="T179">_xlfn.IFS(O179='Risk Matrices'!$D$28,'Risk Matrices'!$D$29,O179='Risk Matrices'!$E$28,'Risk Matrices'!$E$29,O179='Risk Matrices'!$F$28,'Risk Matrices'!$F$29,O179='Risk Matrices'!$G$28,'Risk Matrices'!$G$29,O179='Risk Matrices'!$H$28,'Risk Matrices'!$H$29)</f>
        <v>1</v>
      </c>
      <c r="U179" s="106">
        <f t="shared" si="153"/>
        <v>2</v>
      </c>
      <c r="V179" s="106">
        <f t="shared" si="158"/>
        <v>2</v>
      </c>
      <c r="W179" s="106">
        <f t="shared" si="154"/>
        <v>2</v>
      </c>
      <c r="X179" s="106">
        <f t="shared" si="155"/>
        <v>4</v>
      </c>
      <c r="Y179" s="107" t="str">
        <f t="shared" si="152"/>
        <v>Low</v>
      </c>
      <c r="Z179" s="104"/>
      <c r="AA179" s="108">
        <f t="shared" si="156"/>
        <v>0.17</v>
      </c>
      <c r="AB179" s="109">
        <f t="shared" si="157"/>
        <v>0</v>
      </c>
      <c r="AC179" s="101" t="s">
        <v>155</v>
      </c>
      <c r="AD179" s="104" t="s">
        <v>1214</v>
      </c>
      <c r="AE179" s="104"/>
      <c r="AF179" s="104"/>
      <c r="AG179" s="104"/>
      <c r="AH179" s="111" t="s">
        <v>382</v>
      </c>
      <c r="AI179" s="112">
        <v>0.2</v>
      </c>
      <c r="AJ179" s="106">
        <v>0</v>
      </c>
      <c r="AK179" s="106">
        <v>0</v>
      </c>
      <c r="AL179" s="106">
        <v>0</v>
      </c>
      <c r="AM179" s="106">
        <v>0</v>
      </c>
      <c r="AN179" s="106">
        <v>0</v>
      </c>
      <c r="AO179" s="106">
        <v>0</v>
      </c>
      <c r="AP179" s="112" t="str">
        <f>IF(OR(ISBLANK(AI179),AI179=0),"INSERT LIKELIHOOD",IF(ABS(AI179)&lt;='Risk Matrices'!$D$22,'Risk Matrices'!$C$21,IF(ABS(AI179)&lt;='Risk Matrices'!$D$19,'Risk Matrices'!$C$18,IF(ABS(AI179)&lt;='Risk Matrices'!$D$16,'Risk Matrices'!$C$15,IF(ABS(AI179)&lt;='Risk Matrices'!$D$13,'Risk Matrices'!$C$12,'Risk Matrices'!$C$10)))))</f>
        <v>Low</v>
      </c>
      <c r="AQ179" s="112" t="str">
        <f>IF(OR(ISBLANK(AK179),AK179=0),"None",IF(ABS(AK179)&lt;='Risk Matrices'!$E$7,'Risk Matrices'!$E$5,IF(ABS(AK179)&lt;='Risk Matrices'!$G$7,'Risk Matrices'!$G$5,IF(ABS(AK179)&lt;='Risk Matrices'!$H$7,'Risk Matrices'!$H$5,'Risk Matrices'!$I$5))))</f>
        <v>None</v>
      </c>
      <c r="AR179" s="112" t="str">
        <f>IF(AN179="","",IF(ABS(AN179)&lt;='Risk Matrices'!$E$8,"Negligible",IF(ABS(AN179)&lt;='Risk Matrices'!$F$8,"Marginal",IF(ABS(AN179)&lt;='Risk Matrices'!$G$8,"Significant",IF(ABS(AN179)&lt;='Risk Matrices'!$H$8,"Critical","Crisis")))))</f>
        <v>Negligible</v>
      </c>
      <c r="AS179" s="103" t="s">
        <v>130</v>
      </c>
      <c r="AT179" s="298">
        <f>IF(OR(ISBLANK(AI179),AI179=0),0,VLOOKUP(AP179,'Risk Matrices'!$B$30:$C$34,2,0))</f>
        <v>2</v>
      </c>
      <c r="AU179" s="298">
        <f>IF(OR(ISBLANK(AK179),AK179=0),0,HLOOKUP(AQ179,'Risk Matrices'!$D$28:$H$29,2,0))</f>
        <v>0</v>
      </c>
      <c r="AV179" s="298">
        <f>IF(OR(ISBLANK(AR179),AR179=0),0,HLOOKUP(AR179,'Risk Matrices'!$D$28:$H$29,2,0))</f>
        <v>1</v>
      </c>
      <c r="AW179" s="298">
        <f>IF(AS179="None",0,HLOOKUP(AS179,'Risk Matrices'!$D$28:$H$29,2,0))</f>
        <v>0</v>
      </c>
      <c r="AX179" s="106">
        <f t="shared" si="143"/>
        <v>1</v>
      </c>
      <c r="AY179" s="106">
        <f t="shared" si="145"/>
        <v>2</v>
      </c>
      <c r="AZ179" s="107" t="str">
        <f>IF(B179="Retired","Retired",IF(OR(ISBLANK(AY179),AY179=0),"TBD",IF(AY179&lt;='Risk Matrices'!$D$40,'Risk Matrices'!$B$40,IF(AY179&lt;='Risk Matrices'!$D$39,'Risk Matrices'!$B$39,'Risk Matrices'!$B$38))))</f>
        <v>Retired</v>
      </c>
      <c r="BA179" s="112"/>
      <c r="BB179" s="113"/>
      <c r="BC179" s="109" t="str">
        <f t="shared" si="144"/>
        <v>Retired</v>
      </c>
      <c r="BD179" s="113"/>
      <c r="BE179" s="114"/>
      <c r="BF179" s="104" t="s">
        <v>1244</v>
      </c>
      <c r="BG179" s="330" t="s">
        <v>1245</v>
      </c>
      <c r="BH179" s="115"/>
      <c r="BI179" s="115"/>
      <c r="BJ179" s="874">
        <f t="shared" si="149"/>
        <v>0</v>
      </c>
      <c r="BK179" s="101" t="s">
        <v>311</v>
      </c>
      <c r="BL179" s="330">
        <v>45428</v>
      </c>
      <c r="BM179" s="116">
        <v>44463</v>
      </c>
      <c r="BN179" s="330" t="s">
        <v>1245</v>
      </c>
      <c r="BO179" s="332"/>
      <c r="BP179" s="94">
        <f t="shared" si="159"/>
        <v>0</v>
      </c>
      <c r="BQ179" s="97" t="str">
        <f t="shared" si="146"/>
        <v>0 - 0 - 0</v>
      </c>
      <c r="BR179" s="97" t="str">
        <f t="shared" si="147"/>
        <v>0 - 0 - 0</v>
      </c>
      <c r="BS179" s="715">
        <f t="shared" si="160"/>
        <v>0</v>
      </c>
      <c r="BT179" s="736">
        <f t="shared" si="148"/>
        <v>0</v>
      </c>
      <c r="BU179" s="735" t="s">
        <v>1246</v>
      </c>
    </row>
    <row r="180" spans="2:75" customFormat="1" ht="30" hidden="1" x14ac:dyDescent="0.2">
      <c r="B180" s="101" t="str">
        <f t="shared" si="150"/>
        <v>Retired</v>
      </c>
      <c r="C180" s="110">
        <v>311</v>
      </c>
      <c r="D180" s="101" t="s">
        <v>151</v>
      </c>
      <c r="E180" s="103" t="s">
        <v>1096</v>
      </c>
      <c r="F180" s="127" t="s">
        <v>580</v>
      </c>
      <c r="G180" s="106" t="s">
        <v>1199</v>
      </c>
      <c r="H180" s="106"/>
      <c r="I180" s="106" t="s">
        <v>1199</v>
      </c>
      <c r="J180" s="101" t="s">
        <v>1098</v>
      </c>
      <c r="K180" s="101" t="s">
        <v>1247</v>
      </c>
      <c r="L180" s="104" t="s">
        <v>1248</v>
      </c>
      <c r="M180" s="104"/>
      <c r="N180" s="105"/>
      <c r="O180" s="106" t="str" cm="1">
        <f t="array" ref="O180">_xlfn.IFS(N180="","",ABS(N180)&lt;='Risk Matrices'!$E$7,'Risk Matrices'!$E$5,ABS(N180)&lt;='Risk Matrices'!$F$7,'Risk Matrices'!$F$5,ABS(N180)&lt;='Risk Matrices'!$G$7,'Risk Matrices'!$G$5,ABS(N180)&lt;='Risk Matrices'!$H$7,'Risk Matrices'!$H$5,ABS(N180)&gt;'Risk Matrices'!$H$7,'Risk Matrices'!$I$5)</f>
        <v/>
      </c>
      <c r="P180" s="101"/>
      <c r="Q180" s="104"/>
      <c r="R180" s="104"/>
      <c r="S180" s="106">
        <f t="shared" si="151"/>
        <v>0</v>
      </c>
      <c r="T180" s="106" t="e" cm="1">
        <f t="array" ref="T180">_xlfn.IFS(O180='Risk Matrices'!$D$28,'Risk Matrices'!$D$29,O180='Risk Matrices'!$E$28,'Risk Matrices'!$E$29,O180='Risk Matrices'!$F$28,'Risk Matrices'!$F$29,O180='Risk Matrices'!$G$28,'Risk Matrices'!$G$29,O180='Risk Matrices'!$H$28,'Risk Matrices'!$H$29)</f>
        <v>#N/A</v>
      </c>
      <c r="U180" s="106">
        <f t="shared" si="153"/>
        <v>0</v>
      </c>
      <c r="V180" s="106">
        <f t="shared" si="158"/>
        <v>0</v>
      </c>
      <c r="W180" s="106" t="e">
        <f t="shared" si="154"/>
        <v>#N/A</v>
      </c>
      <c r="X180" s="106" t="e">
        <f t="shared" si="155"/>
        <v>#N/A</v>
      </c>
      <c r="Y180" s="107" t="e">
        <f t="shared" si="152"/>
        <v>#N/A</v>
      </c>
      <c r="Z180" s="104"/>
      <c r="AA180" s="108">
        <f t="shared" si="156"/>
        <v>0</v>
      </c>
      <c r="AB180" s="109">
        <f t="shared" si="157"/>
        <v>0</v>
      </c>
      <c r="AC180" s="101" t="s">
        <v>155</v>
      </c>
      <c r="AD180" s="104"/>
      <c r="AE180" s="104"/>
      <c r="AF180" s="104"/>
      <c r="AG180" s="104"/>
      <c r="AH180" s="111" t="s">
        <v>175</v>
      </c>
      <c r="AI180" s="112">
        <v>0</v>
      </c>
      <c r="AJ180" s="106"/>
      <c r="AK180" s="106"/>
      <c r="AL180" s="106"/>
      <c r="AM180" s="106">
        <v>0</v>
      </c>
      <c r="AN180" s="106">
        <v>0</v>
      </c>
      <c r="AO180" s="106">
        <v>0</v>
      </c>
      <c r="AP180" s="112" t="str">
        <f>IF(OR(ISBLANK(AI180),AI180=0),"INSERT LIKELIHOOD",IF(ABS(AI180)&lt;='Risk Matrices'!$D$22,'Risk Matrices'!$C$21,IF(ABS(AI180)&lt;='Risk Matrices'!$D$19,'Risk Matrices'!$C$18,IF(ABS(AI180)&lt;='Risk Matrices'!$D$16,'Risk Matrices'!$C$15,IF(ABS(AI180)&lt;='Risk Matrices'!$D$13,'Risk Matrices'!$C$12,'Risk Matrices'!$C$10)))))</f>
        <v>INSERT LIKELIHOOD</v>
      </c>
      <c r="AQ180" s="112" t="str">
        <f>IF(OR(ISBLANK(AK180),AK180=0),"None",IF(ABS(AK180)&lt;='Risk Matrices'!$E$7,'Risk Matrices'!$E$5,IF(ABS(AK180)&lt;='Risk Matrices'!$G$7,'Risk Matrices'!$G$5,IF(ABS(AK180)&lt;='Risk Matrices'!$H$7,'Risk Matrices'!$H$5,'Risk Matrices'!$I$5))))</f>
        <v>None</v>
      </c>
      <c r="AR180" s="112" t="str">
        <f>IF(AN180="","",IF(ABS(AN180)&lt;='Risk Matrices'!$E$8,"Negligible",IF(ABS(AN180)&lt;='Risk Matrices'!$F$8,"Marginal",IF(ABS(AN180)&lt;='Risk Matrices'!$G$8,"Significant",IF(ABS(AN180)&lt;='Risk Matrices'!$H$8,"Critical","Crisis")))))</f>
        <v>Negligible</v>
      </c>
      <c r="AS180" s="103" t="s">
        <v>130</v>
      </c>
      <c r="AT180" s="298">
        <f>IF(OR(ISBLANK(AI180),AI180=0),0,VLOOKUP(AP180,'Risk Matrices'!$B$30:$C$34,2,0))</f>
        <v>0</v>
      </c>
      <c r="AU180" s="298">
        <f>IF(OR(ISBLANK(AK180),AK180=0),0,HLOOKUP(AQ180,'Risk Matrices'!$D$28:$H$29,2,0))</f>
        <v>0</v>
      </c>
      <c r="AV180" s="298">
        <f>IF(OR(ISBLANK(AR180),AR180=0),0,HLOOKUP(AR180,'Risk Matrices'!$D$28:$H$29,2,0))</f>
        <v>1</v>
      </c>
      <c r="AW180" s="298">
        <f>IF(AS180="None",0,HLOOKUP(AS180,'Risk Matrices'!$D$28:$H$29,2,0))</f>
        <v>0</v>
      </c>
      <c r="AX180" s="106">
        <f t="shared" si="143"/>
        <v>1</v>
      </c>
      <c r="AY180" s="106">
        <f t="shared" si="145"/>
        <v>0</v>
      </c>
      <c r="AZ180" s="107" t="str">
        <f>IF(B180="Retired","Retired",IF(OR(ISBLANK(AY180),AY180=0),"TBD",IF(AY180&lt;='Risk Matrices'!$D$40,'Risk Matrices'!$B$40,IF(AY180&lt;='Risk Matrices'!$D$39,'Risk Matrices'!$B$39,'Risk Matrices'!$B$38))))</f>
        <v>Retired</v>
      </c>
      <c r="BA180" s="112"/>
      <c r="BB180" s="113"/>
      <c r="BC180" s="109" t="str">
        <f t="shared" si="144"/>
        <v>Retired</v>
      </c>
      <c r="BD180" s="113"/>
      <c r="BE180" s="114"/>
      <c r="BF180" s="115"/>
      <c r="BG180" s="330" t="s">
        <v>1245</v>
      </c>
      <c r="BH180" s="115"/>
      <c r="BI180" s="115"/>
      <c r="BJ180" s="874">
        <f t="shared" si="149"/>
        <v>0</v>
      </c>
      <c r="BK180" s="101" t="s">
        <v>311</v>
      </c>
      <c r="BL180" s="330">
        <v>45428</v>
      </c>
      <c r="BM180" s="116">
        <v>44463</v>
      </c>
      <c r="BN180" s="330" t="s">
        <v>1245</v>
      </c>
      <c r="BO180" s="332"/>
      <c r="BP180" s="94">
        <f t="shared" si="159"/>
        <v>0</v>
      </c>
      <c r="BQ180" s="97" t="str">
        <f t="shared" si="146"/>
        <v xml:space="preserve"> -  - </v>
      </c>
      <c r="BR180" s="97" t="str">
        <f t="shared" si="147"/>
        <v>0 - 0 - 0</v>
      </c>
      <c r="BS180" s="715">
        <f t="shared" si="160"/>
        <v>0</v>
      </c>
      <c r="BT180" s="736">
        <f t="shared" si="148"/>
        <v>0</v>
      </c>
      <c r="BU180" s="735" t="s">
        <v>1249</v>
      </c>
    </row>
    <row r="181" spans="2:75" customFormat="1" ht="30" hidden="1" x14ac:dyDescent="0.2">
      <c r="B181" s="101" t="str">
        <f t="shared" si="150"/>
        <v>Retired</v>
      </c>
      <c r="C181" s="110">
        <v>312</v>
      </c>
      <c r="D181" s="101" t="s">
        <v>151</v>
      </c>
      <c r="E181" s="103" t="s">
        <v>1096</v>
      </c>
      <c r="F181" s="127" t="s">
        <v>580</v>
      </c>
      <c r="G181" s="106" t="s">
        <v>1199</v>
      </c>
      <c r="H181" s="106"/>
      <c r="I181" s="106" t="s">
        <v>1199</v>
      </c>
      <c r="J181" s="101" t="s">
        <v>1098</v>
      </c>
      <c r="K181" s="101" t="s">
        <v>1250</v>
      </c>
      <c r="L181" s="104" t="s">
        <v>1248</v>
      </c>
      <c r="M181" s="104"/>
      <c r="N181" s="105"/>
      <c r="O181" s="106" t="str" cm="1">
        <f t="array" ref="O181">_xlfn.IFS(N181="","",ABS(N181)&lt;='Risk Matrices'!$E$7,'Risk Matrices'!$E$5,ABS(N181)&lt;='Risk Matrices'!$F$7,'Risk Matrices'!$F$5,ABS(N181)&lt;='Risk Matrices'!$G$7,'Risk Matrices'!$G$5,ABS(N181)&lt;='Risk Matrices'!$H$7,'Risk Matrices'!$H$5,ABS(N181)&gt;'Risk Matrices'!$H$7,'Risk Matrices'!$I$5)</f>
        <v/>
      </c>
      <c r="P181" s="101"/>
      <c r="Q181" s="104"/>
      <c r="R181" s="104"/>
      <c r="S181" s="106">
        <f t="shared" si="151"/>
        <v>0</v>
      </c>
      <c r="T181" s="106" t="e" cm="1">
        <f t="array" ref="T181">_xlfn.IFS(O181='Risk Matrices'!$D$28,'Risk Matrices'!$D$29,O181='Risk Matrices'!$E$28,'Risk Matrices'!$E$29,O181='Risk Matrices'!$F$28,'Risk Matrices'!$F$29,O181='Risk Matrices'!$G$28,'Risk Matrices'!$G$29,O181='Risk Matrices'!$H$28,'Risk Matrices'!$H$29)</f>
        <v>#N/A</v>
      </c>
      <c r="U181" s="106">
        <f t="shared" si="153"/>
        <v>0</v>
      </c>
      <c r="V181" s="106">
        <f t="shared" si="158"/>
        <v>0</v>
      </c>
      <c r="W181" s="106" t="e">
        <f t="shared" si="154"/>
        <v>#N/A</v>
      </c>
      <c r="X181" s="106" t="e">
        <f t="shared" si="155"/>
        <v>#N/A</v>
      </c>
      <c r="Y181" s="107" t="e">
        <f t="shared" si="152"/>
        <v>#N/A</v>
      </c>
      <c r="Z181" s="104"/>
      <c r="AA181" s="108">
        <f t="shared" si="156"/>
        <v>0</v>
      </c>
      <c r="AB181" s="109">
        <f t="shared" si="157"/>
        <v>0</v>
      </c>
      <c r="AC181" s="101" t="s">
        <v>155</v>
      </c>
      <c r="AD181" s="104"/>
      <c r="AE181" s="104"/>
      <c r="AF181" s="104"/>
      <c r="AG181" s="104"/>
      <c r="AH181" s="111" t="s">
        <v>175</v>
      </c>
      <c r="AI181" s="112">
        <v>0</v>
      </c>
      <c r="AJ181" s="106"/>
      <c r="AK181" s="106"/>
      <c r="AL181" s="106"/>
      <c r="AM181" s="106">
        <v>0</v>
      </c>
      <c r="AN181" s="106">
        <v>0</v>
      </c>
      <c r="AO181" s="106">
        <v>0</v>
      </c>
      <c r="AP181" s="112" t="str">
        <f>IF(OR(ISBLANK(AI181),AI181=0),"INSERT LIKELIHOOD",IF(ABS(AI181)&lt;='Risk Matrices'!$D$22,'Risk Matrices'!$C$21,IF(ABS(AI181)&lt;='Risk Matrices'!$D$19,'Risk Matrices'!$C$18,IF(ABS(AI181)&lt;='Risk Matrices'!$D$16,'Risk Matrices'!$C$15,IF(ABS(AI181)&lt;='Risk Matrices'!$D$13,'Risk Matrices'!$C$12,'Risk Matrices'!$C$10)))))</f>
        <v>INSERT LIKELIHOOD</v>
      </c>
      <c r="AQ181" s="112" t="str">
        <f>IF(OR(ISBLANK(AK181),AK181=0),"None",IF(ABS(AK181)&lt;='Risk Matrices'!$E$7,'Risk Matrices'!$E$5,IF(ABS(AK181)&lt;='Risk Matrices'!$G$7,'Risk Matrices'!$G$5,IF(ABS(AK181)&lt;='Risk Matrices'!$H$7,'Risk Matrices'!$H$5,'Risk Matrices'!$I$5))))</f>
        <v>None</v>
      </c>
      <c r="AR181" s="112" t="str">
        <f>IF(AN181="","",IF(ABS(AN181)&lt;='Risk Matrices'!$E$8,"Negligible",IF(ABS(AN181)&lt;='Risk Matrices'!$F$8,"Marginal",IF(ABS(AN181)&lt;='Risk Matrices'!$G$8,"Significant",IF(ABS(AN181)&lt;='Risk Matrices'!$H$8,"Critical","Crisis")))))</f>
        <v>Negligible</v>
      </c>
      <c r="AS181" s="103" t="s">
        <v>130</v>
      </c>
      <c r="AT181" s="298">
        <f>IF(OR(ISBLANK(AI181),AI181=0),0,VLOOKUP(AP181,'Risk Matrices'!$B$30:$C$34,2,0))</f>
        <v>0</v>
      </c>
      <c r="AU181" s="298">
        <f>IF(OR(ISBLANK(AK181),AK181=0),0,HLOOKUP(AQ181,'Risk Matrices'!$D$28:$H$29,2,0))</f>
        <v>0</v>
      </c>
      <c r="AV181" s="298">
        <f>IF(OR(ISBLANK(AR181),AR181=0),0,HLOOKUP(AR181,'Risk Matrices'!$D$28:$H$29,2,0))</f>
        <v>1</v>
      </c>
      <c r="AW181" s="298">
        <f>IF(AS181="None",0,HLOOKUP(AS181,'Risk Matrices'!$D$28:$H$29,2,0))</f>
        <v>0</v>
      </c>
      <c r="AX181" s="106">
        <f t="shared" si="143"/>
        <v>1</v>
      </c>
      <c r="AY181" s="106">
        <f t="shared" si="145"/>
        <v>0</v>
      </c>
      <c r="AZ181" s="107" t="str">
        <f>IF(B181="Retired","Retired",IF(OR(ISBLANK(AY181),AY181=0),"TBD",IF(AY181&lt;='Risk Matrices'!$D$40,'Risk Matrices'!$B$40,IF(AY181&lt;='Risk Matrices'!$D$39,'Risk Matrices'!$B$39,'Risk Matrices'!$B$38))))</f>
        <v>Retired</v>
      </c>
      <c r="BA181" s="112"/>
      <c r="BB181" s="113"/>
      <c r="BC181" s="109" t="str">
        <f t="shared" si="144"/>
        <v>Retired</v>
      </c>
      <c r="BD181" s="113"/>
      <c r="BE181" s="114"/>
      <c r="BF181" s="115"/>
      <c r="BG181" s="330" t="s">
        <v>1245</v>
      </c>
      <c r="BH181" s="115"/>
      <c r="BI181" s="115"/>
      <c r="BJ181" s="874">
        <f t="shared" si="149"/>
        <v>0</v>
      </c>
      <c r="BK181" s="101" t="s">
        <v>311</v>
      </c>
      <c r="BL181" s="330">
        <v>45428</v>
      </c>
      <c r="BM181" s="116">
        <v>44463</v>
      </c>
      <c r="BN181" s="330" t="s">
        <v>1245</v>
      </c>
      <c r="BO181" s="332"/>
      <c r="BP181" s="94">
        <f t="shared" si="159"/>
        <v>0</v>
      </c>
      <c r="BQ181" s="97" t="str">
        <f t="shared" si="146"/>
        <v xml:space="preserve"> -  - </v>
      </c>
      <c r="BR181" s="97" t="str">
        <f t="shared" si="147"/>
        <v>0 - 0 - 0</v>
      </c>
      <c r="BS181" s="715">
        <f t="shared" si="160"/>
        <v>0</v>
      </c>
      <c r="BT181" s="736">
        <f t="shared" si="148"/>
        <v>0</v>
      </c>
      <c r="BU181" s="735" t="s">
        <v>1251</v>
      </c>
    </row>
    <row r="182" spans="2:75" customFormat="1" ht="30" hidden="1" x14ac:dyDescent="0.2">
      <c r="B182" s="101" t="str">
        <f t="shared" si="150"/>
        <v>Retired</v>
      </c>
      <c r="C182" s="110">
        <v>313</v>
      </c>
      <c r="D182" s="101" t="s">
        <v>151</v>
      </c>
      <c r="E182" s="103" t="s">
        <v>1096</v>
      </c>
      <c r="F182" s="127" t="s">
        <v>580</v>
      </c>
      <c r="G182" s="106" t="s">
        <v>1199</v>
      </c>
      <c r="H182" s="106"/>
      <c r="I182" s="106" t="s">
        <v>1199</v>
      </c>
      <c r="J182" s="101" t="s">
        <v>1098</v>
      </c>
      <c r="K182" s="101" t="s">
        <v>1252</v>
      </c>
      <c r="L182" s="104" t="s">
        <v>1248</v>
      </c>
      <c r="M182" s="104"/>
      <c r="N182" s="105"/>
      <c r="O182" s="106" t="str" cm="1">
        <f t="array" ref="O182">_xlfn.IFS(N182="","",ABS(N182)&lt;='Risk Matrices'!$E$7,'Risk Matrices'!$E$5,ABS(N182)&lt;='Risk Matrices'!$F$7,'Risk Matrices'!$F$5,ABS(N182)&lt;='Risk Matrices'!$G$7,'Risk Matrices'!$G$5,ABS(N182)&lt;='Risk Matrices'!$H$7,'Risk Matrices'!$H$5,ABS(N182)&gt;'Risk Matrices'!$H$7,'Risk Matrices'!$I$5)</f>
        <v/>
      </c>
      <c r="P182" s="101"/>
      <c r="Q182" s="104"/>
      <c r="R182" s="104"/>
      <c r="S182" s="106">
        <f t="shared" si="151"/>
        <v>0</v>
      </c>
      <c r="T182" s="106" t="e" cm="1">
        <f t="array" ref="T182">_xlfn.IFS(O182='Risk Matrices'!$D$28,'Risk Matrices'!$D$29,O182='Risk Matrices'!$E$28,'Risk Matrices'!$E$29,O182='Risk Matrices'!$F$28,'Risk Matrices'!$F$29,O182='Risk Matrices'!$G$28,'Risk Matrices'!$G$29,O182='Risk Matrices'!$H$28,'Risk Matrices'!$H$29)</f>
        <v>#N/A</v>
      </c>
      <c r="U182" s="106">
        <f t="shared" si="153"/>
        <v>0</v>
      </c>
      <c r="V182" s="106">
        <f t="shared" si="158"/>
        <v>0</v>
      </c>
      <c r="W182" s="106" t="e">
        <f t="shared" si="154"/>
        <v>#N/A</v>
      </c>
      <c r="X182" s="106" t="e">
        <f t="shared" si="155"/>
        <v>#N/A</v>
      </c>
      <c r="Y182" s="107" t="e">
        <f t="shared" si="152"/>
        <v>#N/A</v>
      </c>
      <c r="Z182" s="104"/>
      <c r="AA182" s="108">
        <f t="shared" si="156"/>
        <v>0</v>
      </c>
      <c r="AB182" s="109">
        <f t="shared" si="157"/>
        <v>0</v>
      </c>
      <c r="AC182" s="101" t="s">
        <v>155</v>
      </c>
      <c r="AD182" s="104"/>
      <c r="AE182" s="104"/>
      <c r="AF182" s="104"/>
      <c r="AG182" s="104"/>
      <c r="AH182" s="111" t="s">
        <v>175</v>
      </c>
      <c r="AI182" s="112">
        <v>0</v>
      </c>
      <c r="AJ182" s="106"/>
      <c r="AK182" s="106"/>
      <c r="AL182" s="106"/>
      <c r="AM182" s="106">
        <v>0</v>
      </c>
      <c r="AN182" s="141">
        <v>0</v>
      </c>
      <c r="AO182" s="141">
        <v>0</v>
      </c>
      <c r="AP182" s="112" t="str">
        <f>IF(OR(ISBLANK(AI182),AI182=0),"INSERT LIKELIHOOD",IF(ABS(AI182)&lt;='Risk Matrices'!$D$22,'Risk Matrices'!$C$21,IF(ABS(AI182)&lt;='Risk Matrices'!$D$19,'Risk Matrices'!$C$18,IF(ABS(AI182)&lt;='Risk Matrices'!$D$16,'Risk Matrices'!$C$15,IF(ABS(AI182)&lt;='Risk Matrices'!$D$13,'Risk Matrices'!$C$12,'Risk Matrices'!$C$10)))))</f>
        <v>INSERT LIKELIHOOD</v>
      </c>
      <c r="AQ182" s="112" t="str">
        <f>IF(OR(ISBLANK(AK182),AK182=0),"None",IF(ABS(AK182)&lt;='Risk Matrices'!$E$7,'Risk Matrices'!$E$5,IF(ABS(AK182)&lt;='Risk Matrices'!$G$7,'Risk Matrices'!$G$5,IF(ABS(AK182)&lt;='Risk Matrices'!$H$7,'Risk Matrices'!$H$5,'Risk Matrices'!$I$5))))</f>
        <v>None</v>
      </c>
      <c r="AR182" s="112" t="str">
        <f>IF(AN182="","",IF(ABS(AN182)&lt;='Risk Matrices'!$E$8,"Negligible",IF(ABS(AN182)&lt;='Risk Matrices'!$F$8,"Marginal",IF(ABS(AN182)&lt;='Risk Matrices'!$G$8,"Significant",IF(ABS(AN182)&lt;='Risk Matrices'!$H$8,"Critical","Crisis")))))</f>
        <v>Negligible</v>
      </c>
      <c r="AS182" s="103" t="s">
        <v>130</v>
      </c>
      <c r="AT182" s="298">
        <f>IF(OR(ISBLANK(AI182),AI182=0),0,VLOOKUP(AP182,'Risk Matrices'!$B$30:$C$34,2,0))</f>
        <v>0</v>
      </c>
      <c r="AU182" s="298">
        <f>IF(OR(ISBLANK(AK182),AK182=0),0,HLOOKUP(AQ182,'Risk Matrices'!$D$28:$H$29,2,0))</f>
        <v>0</v>
      </c>
      <c r="AV182" s="298">
        <f>IF(OR(ISBLANK(AR182),AR182=0),0,HLOOKUP(AR182,'Risk Matrices'!$D$28:$H$29,2,0))</f>
        <v>1</v>
      </c>
      <c r="AW182" s="298">
        <f>IF(AS182="None",0,HLOOKUP(AS182,'Risk Matrices'!$D$28:$H$29,2,0))</f>
        <v>0</v>
      </c>
      <c r="AX182" s="106">
        <f t="shared" si="143"/>
        <v>1</v>
      </c>
      <c r="AY182" s="106">
        <f t="shared" si="145"/>
        <v>0</v>
      </c>
      <c r="AZ182" s="107" t="str">
        <f>IF(B182="Retired","Retired",IF(OR(ISBLANK(AY182),AY182=0),"TBD",IF(AY182&lt;='Risk Matrices'!$D$40,'Risk Matrices'!$B$40,IF(AY182&lt;='Risk Matrices'!$D$39,'Risk Matrices'!$B$39,'Risk Matrices'!$B$38))))</f>
        <v>Retired</v>
      </c>
      <c r="BA182" s="112"/>
      <c r="BB182" s="113"/>
      <c r="BC182" s="109" t="str">
        <f t="shared" si="144"/>
        <v>Retired</v>
      </c>
      <c r="BD182" s="113"/>
      <c r="BE182" s="114"/>
      <c r="BF182" s="115"/>
      <c r="BG182" s="330" t="s">
        <v>1245</v>
      </c>
      <c r="BH182" s="115"/>
      <c r="BI182" s="115"/>
      <c r="BJ182" s="874">
        <f t="shared" si="149"/>
        <v>0</v>
      </c>
      <c r="BK182" s="101" t="s">
        <v>311</v>
      </c>
      <c r="BL182" s="330">
        <v>45428</v>
      </c>
      <c r="BM182" s="116">
        <v>44463</v>
      </c>
      <c r="BN182" s="330" t="s">
        <v>1245</v>
      </c>
      <c r="BO182" s="332"/>
      <c r="BP182" s="94">
        <f t="shared" si="159"/>
        <v>0</v>
      </c>
      <c r="BQ182" s="97" t="str">
        <f t="shared" si="146"/>
        <v xml:space="preserve"> -  - </v>
      </c>
      <c r="BR182" s="97" t="str">
        <f t="shared" si="147"/>
        <v>0 - 0 - 0</v>
      </c>
      <c r="BS182" s="715">
        <f t="shared" si="160"/>
        <v>0</v>
      </c>
      <c r="BT182" s="736">
        <f t="shared" si="148"/>
        <v>0</v>
      </c>
      <c r="BU182" s="735" t="s">
        <v>1253</v>
      </c>
    </row>
    <row r="183" spans="2:75" customFormat="1" ht="30" hidden="1" x14ac:dyDescent="0.2">
      <c r="B183" s="101" t="str">
        <f t="shared" si="150"/>
        <v>Retired</v>
      </c>
      <c r="C183" s="110">
        <v>317</v>
      </c>
      <c r="D183" s="101" t="s">
        <v>151</v>
      </c>
      <c r="E183" s="103" t="s">
        <v>1096</v>
      </c>
      <c r="F183" s="127" t="s">
        <v>580</v>
      </c>
      <c r="G183" s="106" t="s">
        <v>1199</v>
      </c>
      <c r="H183" s="106"/>
      <c r="I183" s="106" t="s">
        <v>1199</v>
      </c>
      <c r="J183" s="101" t="s">
        <v>1098</v>
      </c>
      <c r="K183" s="101" t="s">
        <v>1254</v>
      </c>
      <c r="L183" s="113" t="s">
        <v>1255</v>
      </c>
      <c r="M183" s="104"/>
      <c r="N183" s="105"/>
      <c r="O183" s="106" t="str" cm="1">
        <f t="array" ref="O183">_xlfn.IFS(N183="","",ABS(N183)&lt;='Risk Matrices'!$E$7,'Risk Matrices'!$E$5,ABS(N183)&lt;='Risk Matrices'!$F$7,'Risk Matrices'!$F$5,ABS(N183)&lt;='Risk Matrices'!$G$7,'Risk Matrices'!$G$5,ABS(N183)&lt;='Risk Matrices'!$H$7,'Risk Matrices'!$H$5,ABS(N183)&gt;'Risk Matrices'!$H$7,'Risk Matrices'!$I$5)</f>
        <v/>
      </c>
      <c r="P183" s="101">
        <v>6</v>
      </c>
      <c r="Q183" s="104" t="s">
        <v>280</v>
      </c>
      <c r="R183" s="104"/>
      <c r="S183" s="106">
        <f t="shared" si="151"/>
        <v>0</v>
      </c>
      <c r="T183" s="106" t="e" cm="1">
        <f t="array" ref="T183">_xlfn.IFS(O183='Risk Matrices'!$D$28,'Risk Matrices'!$D$29,O183='Risk Matrices'!$E$28,'Risk Matrices'!$E$29,O183='Risk Matrices'!$F$28,'Risk Matrices'!$F$29,O183='Risk Matrices'!$G$28,'Risk Matrices'!$G$29,O183='Risk Matrices'!$H$28,'Risk Matrices'!$H$29)</f>
        <v>#N/A</v>
      </c>
      <c r="U183" s="106">
        <f t="shared" si="153"/>
        <v>2</v>
      </c>
      <c r="V183" s="106">
        <f t="shared" si="158"/>
        <v>0</v>
      </c>
      <c r="W183" s="106" t="e">
        <f t="shared" si="154"/>
        <v>#N/A</v>
      </c>
      <c r="X183" s="106" t="e">
        <f t="shared" si="155"/>
        <v>#N/A</v>
      </c>
      <c r="Y183" s="107" t="e">
        <f t="shared" si="152"/>
        <v>#N/A</v>
      </c>
      <c r="Z183" s="104"/>
      <c r="AA183" s="108">
        <f t="shared" si="156"/>
        <v>0</v>
      </c>
      <c r="AB183" s="109">
        <f t="shared" si="157"/>
        <v>0</v>
      </c>
      <c r="AC183" s="101" t="s">
        <v>155</v>
      </c>
      <c r="AD183" s="104"/>
      <c r="AE183" s="104"/>
      <c r="AF183" s="104"/>
      <c r="AG183" s="104"/>
      <c r="AH183" s="111" t="s">
        <v>175</v>
      </c>
      <c r="AI183" s="112">
        <v>0</v>
      </c>
      <c r="AJ183" s="106"/>
      <c r="AK183" s="106"/>
      <c r="AL183" s="106"/>
      <c r="AM183" s="106">
        <v>0</v>
      </c>
      <c r="AN183" s="141">
        <v>0</v>
      </c>
      <c r="AO183" s="141">
        <v>0</v>
      </c>
      <c r="AP183" s="112" t="str">
        <f>IF(OR(ISBLANK(AI183),AI183=0),"INSERT LIKELIHOOD",IF(ABS(AI183)&lt;='Risk Matrices'!$D$22,'Risk Matrices'!$C$21,IF(ABS(AI183)&lt;='Risk Matrices'!$D$19,'Risk Matrices'!$C$18,IF(ABS(AI183)&lt;='Risk Matrices'!$D$16,'Risk Matrices'!$C$15,IF(ABS(AI183)&lt;='Risk Matrices'!$D$13,'Risk Matrices'!$C$12,'Risk Matrices'!$C$10)))))</f>
        <v>INSERT LIKELIHOOD</v>
      </c>
      <c r="AQ183" s="112" t="str">
        <f>IF(OR(ISBLANK(AK183),AK183=0),"None",IF(ABS(AK183)&lt;='Risk Matrices'!$E$7,'Risk Matrices'!$E$5,IF(ABS(AK183)&lt;='Risk Matrices'!$G$7,'Risk Matrices'!$G$5,IF(ABS(AK183)&lt;='Risk Matrices'!$H$7,'Risk Matrices'!$H$5,'Risk Matrices'!$I$5))))</f>
        <v>None</v>
      </c>
      <c r="AR183" s="112" t="str">
        <f>IF(AN183="","",IF(ABS(AN183)&lt;='Risk Matrices'!$E$8,"Negligible",IF(ABS(AN183)&lt;='Risk Matrices'!$F$8,"Marginal",IF(ABS(AN183)&lt;='Risk Matrices'!$G$8,"Significant",IF(ABS(AN183)&lt;='Risk Matrices'!$H$8,"Critical","Crisis")))))</f>
        <v>Negligible</v>
      </c>
      <c r="AS183" s="103" t="s">
        <v>130</v>
      </c>
      <c r="AT183" s="298">
        <f>IF(OR(ISBLANK(AI183),AI183=0),0,VLOOKUP(AP183,'Risk Matrices'!$B$30:$C$34,2,0))</f>
        <v>0</v>
      </c>
      <c r="AU183" s="298">
        <f>IF(OR(ISBLANK(AK183),AK183=0),0,HLOOKUP(AQ183,'Risk Matrices'!$D$28:$H$29,2,0))</f>
        <v>0</v>
      </c>
      <c r="AV183" s="298">
        <f>IF(OR(ISBLANK(AR183),AR183=0),0,HLOOKUP(AR183,'Risk Matrices'!$D$28:$H$29,2,0))</f>
        <v>1</v>
      </c>
      <c r="AW183" s="298">
        <f>IF(AS183="None",0,HLOOKUP(AS183,'Risk Matrices'!$D$28:$H$29,2,0))</f>
        <v>0</v>
      </c>
      <c r="AX183" s="106">
        <f t="shared" si="143"/>
        <v>1</v>
      </c>
      <c r="AY183" s="106">
        <f t="shared" si="145"/>
        <v>0</v>
      </c>
      <c r="AZ183" s="107" t="str">
        <f>IF(B183="Retired","Retired",IF(OR(ISBLANK(AY183),AY183=0),"TBD",IF(AY183&lt;='Risk Matrices'!$D$40,'Risk Matrices'!$B$40,IF(AY183&lt;='Risk Matrices'!$D$39,'Risk Matrices'!$B$39,'Risk Matrices'!$B$38))))</f>
        <v>Retired</v>
      </c>
      <c r="BA183" s="112"/>
      <c r="BB183" s="113"/>
      <c r="BC183" s="109" t="str">
        <f t="shared" si="144"/>
        <v>Retired</v>
      </c>
      <c r="BD183" s="113"/>
      <c r="BE183" s="114"/>
      <c r="BF183" s="115"/>
      <c r="BG183" s="330" t="s">
        <v>1245</v>
      </c>
      <c r="BH183" s="115"/>
      <c r="BI183" s="115"/>
      <c r="BJ183" s="874">
        <f t="shared" si="149"/>
        <v>0</v>
      </c>
      <c r="BK183" s="101" t="s">
        <v>311</v>
      </c>
      <c r="BL183" s="330">
        <v>45428</v>
      </c>
      <c r="BM183" s="116">
        <v>44463</v>
      </c>
      <c r="BN183" s="330" t="s">
        <v>1245</v>
      </c>
      <c r="BO183" s="332"/>
      <c r="BP183" s="94">
        <f t="shared" si="159"/>
        <v>0</v>
      </c>
      <c r="BQ183" s="97" t="str">
        <f t="shared" si="146"/>
        <v xml:space="preserve"> -  - </v>
      </c>
      <c r="BR183" s="97" t="str">
        <f t="shared" si="147"/>
        <v>0 - 0 - 0</v>
      </c>
      <c r="BS183" s="715">
        <f t="shared" si="160"/>
        <v>0</v>
      </c>
      <c r="BT183" s="736">
        <f t="shared" si="148"/>
        <v>0</v>
      </c>
      <c r="BU183" s="735" t="s">
        <v>1256</v>
      </c>
    </row>
    <row r="184" spans="2:75" customFormat="1" ht="60" hidden="1" x14ac:dyDescent="0.2">
      <c r="B184" s="101" t="str">
        <f t="shared" si="150"/>
        <v>Retired</v>
      </c>
      <c r="C184" s="110">
        <v>319</v>
      </c>
      <c r="D184" s="101" t="s">
        <v>151</v>
      </c>
      <c r="E184" s="103" t="s">
        <v>1096</v>
      </c>
      <c r="F184" s="127" t="s">
        <v>580</v>
      </c>
      <c r="G184" s="106" t="s">
        <v>1199</v>
      </c>
      <c r="H184" s="106"/>
      <c r="I184" s="106" t="s">
        <v>1199</v>
      </c>
      <c r="J184" s="101" t="s">
        <v>1098</v>
      </c>
      <c r="K184" s="101" t="s">
        <v>1257</v>
      </c>
      <c r="L184" s="104" t="s">
        <v>1258</v>
      </c>
      <c r="M184" s="104" t="s">
        <v>141</v>
      </c>
      <c r="N184" s="105">
        <v>0</v>
      </c>
      <c r="O184" s="106" t="str" cm="1">
        <f t="array" ref="O184">_xlfn.IFS(N184="","",ABS(N184)&lt;='Risk Matrices'!$E$7,'Risk Matrices'!$E$5,ABS(N184)&lt;='Risk Matrices'!$F$7,'Risk Matrices'!$F$5,ABS(N184)&lt;='Risk Matrices'!$G$7,'Risk Matrices'!$G$5,ABS(N184)&lt;='Risk Matrices'!$H$7,'Risk Matrices'!$H$5,ABS(N184)&gt;'Risk Matrices'!$H$7,'Risk Matrices'!$I$5)</f>
        <v>Negligible</v>
      </c>
      <c r="P184" s="101">
        <v>12</v>
      </c>
      <c r="Q184" s="104" t="s">
        <v>307</v>
      </c>
      <c r="R184" s="104"/>
      <c r="S184" s="106">
        <f t="shared" si="151"/>
        <v>3</v>
      </c>
      <c r="T184" s="106" cm="1">
        <f t="array" ref="T184">_xlfn.IFS(O184='Risk Matrices'!$D$28,'Risk Matrices'!$D$29,O184='Risk Matrices'!$E$28,'Risk Matrices'!$E$29,O184='Risk Matrices'!$F$28,'Risk Matrices'!$F$29,O184='Risk Matrices'!$G$28,'Risk Matrices'!$G$29,O184='Risk Matrices'!$H$28,'Risk Matrices'!$H$29)</f>
        <v>1</v>
      </c>
      <c r="U184" s="106">
        <f t="shared" si="153"/>
        <v>3</v>
      </c>
      <c r="V184" s="106">
        <f t="shared" si="158"/>
        <v>0</v>
      </c>
      <c r="W184" s="106">
        <f t="shared" si="154"/>
        <v>3</v>
      </c>
      <c r="X184" s="106">
        <f t="shared" si="155"/>
        <v>9</v>
      </c>
      <c r="Y184" s="107" t="str">
        <f t="shared" si="152"/>
        <v>Moderate</v>
      </c>
      <c r="Z184" s="104"/>
      <c r="AA184" s="108">
        <f t="shared" si="156"/>
        <v>0.32</v>
      </c>
      <c r="AB184" s="109">
        <f t="shared" si="157"/>
        <v>0</v>
      </c>
      <c r="AC184" s="101" t="s">
        <v>155</v>
      </c>
      <c r="AD184" s="104" t="s">
        <v>1259</v>
      </c>
      <c r="AE184" s="104"/>
      <c r="AF184" s="104"/>
      <c r="AG184" s="104"/>
      <c r="AH184" s="111" t="s">
        <v>175</v>
      </c>
      <c r="AI184" s="112">
        <v>0.3</v>
      </c>
      <c r="AJ184" s="106">
        <v>0</v>
      </c>
      <c r="AK184" s="106">
        <v>0</v>
      </c>
      <c r="AL184" s="106">
        <v>0</v>
      </c>
      <c r="AM184" s="106">
        <v>0</v>
      </c>
      <c r="AN184" s="141">
        <v>0</v>
      </c>
      <c r="AO184" s="141">
        <v>0</v>
      </c>
      <c r="AP184" s="112" t="str">
        <f>IF(OR(ISBLANK(AI184),AI184=0),"INSERT LIKELIHOOD",IF(ABS(AI184)&lt;='Risk Matrices'!$D$22,'Risk Matrices'!$C$21,IF(ABS(AI184)&lt;='Risk Matrices'!$D$19,'Risk Matrices'!$C$18,IF(ABS(AI184)&lt;='Risk Matrices'!$D$16,'Risk Matrices'!$C$15,IF(ABS(AI184)&lt;='Risk Matrices'!$D$13,'Risk Matrices'!$C$12,'Risk Matrices'!$C$10)))))</f>
        <v>Moderate</v>
      </c>
      <c r="AQ184" s="112" t="str">
        <f>IF(OR(ISBLANK(AK184),AK184=0),"None",IF(ABS(AK184)&lt;='Risk Matrices'!$E$7,'Risk Matrices'!$E$5,IF(ABS(AK184)&lt;='Risk Matrices'!$G$7,'Risk Matrices'!$G$5,IF(ABS(AK184)&lt;='Risk Matrices'!$H$7,'Risk Matrices'!$H$5,'Risk Matrices'!$I$5))))</f>
        <v>None</v>
      </c>
      <c r="AR184" s="112" t="str">
        <f>IF(AN184="","",IF(ABS(AN184)&lt;='Risk Matrices'!$E$8,"Negligible",IF(ABS(AN184)&lt;='Risk Matrices'!$F$8,"Marginal",IF(ABS(AN184)&lt;='Risk Matrices'!$G$8,"Significant",IF(ABS(AN184)&lt;='Risk Matrices'!$H$8,"Critical","Crisis")))))</f>
        <v>Negligible</v>
      </c>
      <c r="AS184" s="103" t="s">
        <v>130</v>
      </c>
      <c r="AT184" s="298">
        <f>IF(OR(ISBLANK(AI184),AI184=0),0,VLOOKUP(AP184,'Risk Matrices'!$B$30:$C$34,2,0))</f>
        <v>3</v>
      </c>
      <c r="AU184" s="298">
        <f>IF(OR(ISBLANK(AK184),AK184=0),0,HLOOKUP(AQ184,'Risk Matrices'!$D$28:$H$29,2,0))</f>
        <v>0</v>
      </c>
      <c r="AV184" s="298">
        <f>IF(OR(ISBLANK(AR184),AR184=0),0,HLOOKUP(AR184,'Risk Matrices'!$D$28:$H$29,2,0))</f>
        <v>1</v>
      </c>
      <c r="AW184" s="298">
        <f>IF(AS184="None",0,HLOOKUP(AS184,'Risk Matrices'!$D$28:$H$29,2,0))</f>
        <v>0</v>
      </c>
      <c r="AX184" s="106">
        <f t="shared" si="143"/>
        <v>1</v>
      </c>
      <c r="AY184" s="106">
        <f t="shared" si="145"/>
        <v>3</v>
      </c>
      <c r="AZ184" s="107" t="str">
        <f>IF(B184="Retired","Retired",IF(OR(ISBLANK(AY184),AY184=0),"TBD",IF(AY184&lt;='Risk Matrices'!$D$40,'Risk Matrices'!$B$40,IF(AY184&lt;='Risk Matrices'!$D$39,'Risk Matrices'!$B$39,'Risk Matrices'!$B$38))))</f>
        <v>Retired</v>
      </c>
      <c r="BA184" s="112"/>
      <c r="BB184" s="113"/>
      <c r="BC184" s="109" t="str">
        <f t="shared" si="144"/>
        <v>Retired</v>
      </c>
      <c r="BD184" s="113"/>
      <c r="BE184" s="114"/>
      <c r="BF184" s="115"/>
      <c r="BG184" s="330" t="s">
        <v>1245</v>
      </c>
      <c r="BH184" s="115"/>
      <c r="BI184" s="115"/>
      <c r="BJ184" s="874">
        <f t="shared" si="149"/>
        <v>0</v>
      </c>
      <c r="BK184" s="101" t="s">
        <v>311</v>
      </c>
      <c r="BL184" s="330">
        <v>45428</v>
      </c>
      <c r="BM184" s="116">
        <v>44463</v>
      </c>
      <c r="BN184" s="330" t="s">
        <v>1245</v>
      </c>
      <c r="BO184" s="332"/>
      <c r="BP184" s="94">
        <f t="shared" si="159"/>
        <v>0</v>
      </c>
      <c r="BQ184" s="97" t="str">
        <f t="shared" si="146"/>
        <v>0 - 0 - 0</v>
      </c>
      <c r="BR184" s="97" t="str">
        <f t="shared" si="147"/>
        <v>0 - 0 - 0</v>
      </c>
      <c r="BS184" s="715">
        <f t="shared" si="160"/>
        <v>0</v>
      </c>
      <c r="BT184" s="736">
        <f t="shared" si="148"/>
        <v>0</v>
      </c>
      <c r="BU184" s="735" t="s">
        <v>1260</v>
      </c>
    </row>
    <row r="185" spans="2:75" customFormat="1" ht="30" hidden="1" x14ac:dyDescent="0.2">
      <c r="B185" s="101" t="str">
        <f t="shared" si="150"/>
        <v>Retired</v>
      </c>
      <c r="C185" s="110">
        <v>320</v>
      </c>
      <c r="D185" s="101" t="s">
        <v>151</v>
      </c>
      <c r="E185" s="103" t="s">
        <v>1096</v>
      </c>
      <c r="F185" s="127" t="s">
        <v>580</v>
      </c>
      <c r="G185" s="106" t="s">
        <v>1199</v>
      </c>
      <c r="H185" s="106"/>
      <c r="I185" s="106" t="s">
        <v>1199</v>
      </c>
      <c r="J185" s="101" t="s">
        <v>1098</v>
      </c>
      <c r="K185" s="101" t="s">
        <v>1261</v>
      </c>
      <c r="L185" s="104" t="s">
        <v>1262</v>
      </c>
      <c r="M185" s="104"/>
      <c r="N185" s="105"/>
      <c r="O185" s="106" t="str" cm="1">
        <f t="array" ref="O185">_xlfn.IFS(N185="","",ABS(N185)&lt;='Risk Matrices'!$E$7,'Risk Matrices'!$E$5,ABS(N185)&lt;='Risk Matrices'!$F$7,'Risk Matrices'!$F$5,ABS(N185)&lt;='Risk Matrices'!$G$7,'Risk Matrices'!$G$5,ABS(N185)&lt;='Risk Matrices'!$H$7,'Risk Matrices'!$H$5,ABS(N185)&gt;'Risk Matrices'!$H$7,'Risk Matrices'!$I$5)</f>
        <v/>
      </c>
      <c r="P185" s="101">
        <v>12</v>
      </c>
      <c r="Q185" s="104"/>
      <c r="R185" s="104"/>
      <c r="S185" s="106">
        <f t="shared" si="151"/>
        <v>0</v>
      </c>
      <c r="T185" s="106" t="e" cm="1">
        <f t="array" ref="T185">_xlfn.IFS(O185='Risk Matrices'!$D$28,'Risk Matrices'!$D$29,O185='Risk Matrices'!$E$28,'Risk Matrices'!$E$29,O185='Risk Matrices'!$F$28,'Risk Matrices'!$F$29,O185='Risk Matrices'!$G$28,'Risk Matrices'!$G$29,O185='Risk Matrices'!$H$28,'Risk Matrices'!$H$29)</f>
        <v>#N/A</v>
      </c>
      <c r="U185" s="106">
        <f t="shared" si="153"/>
        <v>0</v>
      </c>
      <c r="V185" s="106">
        <f t="shared" si="158"/>
        <v>0</v>
      </c>
      <c r="W185" s="106" t="e">
        <f t="shared" si="154"/>
        <v>#N/A</v>
      </c>
      <c r="X185" s="106" t="e">
        <f t="shared" si="155"/>
        <v>#N/A</v>
      </c>
      <c r="Y185" s="107" t="e">
        <f t="shared" si="152"/>
        <v>#N/A</v>
      </c>
      <c r="Z185" s="104"/>
      <c r="AA185" s="108">
        <f t="shared" si="156"/>
        <v>0</v>
      </c>
      <c r="AB185" s="109">
        <f t="shared" si="157"/>
        <v>0</v>
      </c>
      <c r="AC185" s="101" t="s">
        <v>155</v>
      </c>
      <c r="AD185" s="104"/>
      <c r="AE185" s="104"/>
      <c r="AF185" s="104"/>
      <c r="AG185" s="104"/>
      <c r="AH185" s="111" t="s">
        <v>175</v>
      </c>
      <c r="AI185" s="112">
        <v>0</v>
      </c>
      <c r="AJ185" s="106"/>
      <c r="AK185" s="106"/>
      <c r="AL185" s="106"/>
      <c r="AM185" s="106">
        <v>0</v>
      </c>
      <c r="AN185" s="141">
        <v>0</v>
      </c>
      <c r="AO185" s="141">
        <v>0</v>
      </c>
      <c r="AP185" s="112" t="str">
        <f>IF(OR(ISBLANK(AI185),AI185=0),"INSERT LIKELIHOOD",IF(ABS(AI185)&lt;='Risk Matrices'!$D$22,'Risk Matrices'!$C$21,IF(ABS(AI185)&lt;='Risk Matrices'!$D$19,'Risk Matrices'!$C$18,IF(ABS(AI185)&lt;='Risk Matrices'!$D$16,'Risk Matrices'!$C$15,IF(ABS(AI185)&lt;='Risk Matrices'!$D$13,'Risk Matrices'!$C$12,'Risk Matrices'!$C$10)))))</f>
        <v>INSERT LIKELIHOOD</v>
      </c>
      <c r="AQ185" s="112" t="str">
        <f>IF(OR(ISBLANK(AK185),AK185=0),"None",IF(ABS(AK185)&lt;='Risk Matrices'!$E$7,'Risk Matrices'!$E$5,IF(ABS(AK185)&lt;='Risk Matrices'!$G$7,'Risk Matrices'!$G$5,IF(ABS(AK185)&lt;='Risk Matrices'!$H$7,'Risk Matrices'!$H$5,'Risk Matrices'!$I$5))))</f>
        <v>None</v>
      </c>
      <c r="AR185" s="112" t="str">
        <f>IF(AN185="","",IF(ABS(AN185)&lt;='Risk Matrices'!$E$8,"Negligible",IF(ABS(AN185)&lt;='Risk Matrices'!$F$8,"Marginal",IF(ABS(AN185)&lt;='Risk Matrices'!$G$8,"Significant",IF(ABS(AN185)&lt;='Risk Matrices'!$H$8,"Critical","Crisis")))))</f>
        <v>Negligible</v>
      </c>
      <c r="AS185" s="103" t="s">
        <v>130</v>
      </c>
      <c r="AT185" s="298">
        <f>IF(OR(ISBLANK(AI185),AI185=0),0,VLOOKUP(AP185,'Risk Matrices'!$B$30:$C$34,2,0))</f>
        <v>0</v>
      </c>
      <c r="AU185" s="298">
        <f>IF(OR(ISBLANK(AK185),AK185=0),0,HLOOKUP(AQ185,'Risk Matrices'!$D$28:$H$29,2,0))</f>
        <v>0</v>
      </c>
      <c r="AV185" s="298">
        <f>IF(OR(ISBLANK(AR185),AR185=0),0,HLOOKUP(AR185,'Risk Matrices'!$D$28:$H$29,2,0))</f>
        <v>1</v>
      </c>
      <c r="AW185" s="298">
        <f>IF(AS185="None",0,HLOOKUP(AS185,'Risk Matrices'!$D$28:$H$29,2,0))</f>
        <v>0</v>
      </c>
      <c r="AX185" s="106">
        <f t="shared" si="143"/>
        <v>1</v>
      </c>
      <c r="AY185" s="106">
        <f t="shared" si="145"/>
        <v>0</v>
      </c>
      <c r="AZ185" s="107" t="str">
        <f>IF(B185="Retired","Retired",IF(OR(ISBLANK(AY185),AY185=0),"TBD",IF(AY185&lt;='Risk Matrices'!$D$40,'Risk Matrices'!$B$40,IF(AY185&lt;='Risk Matrices'!$D$39,'Risk Matrices'!$B$39,'Risk Matrices'!$B$38))))</f>
        <v>Retired</v>
      </c>
      <c r="BA185" s="112"/>
      <c r="BB185" s="113"/>
      <c r="BC185" s="109" t="str">
        <f t="shared" si="144"/>
        <v>Retired</v>
      </c>
      <c r="BD185" s="113"/>
      <c r="BE185" s="114"/>
      <c r="BF185" s="115"/>
      <c r="BG185" s="330" t="s">
        <v>1245</v>
      </c>
      <c r="BH185" s="115"/>
      <c r="BI185" s="115"/>
      <c r="BJ185" s="874">
        <f t="shared" si="149"/>
        <v>0</v>
      </c>
      <c r="BK185" s="101" t="s">
        <v>311</v>
      </c>
      <c r="BL185" s="330">
        <v>45428</v>
      </c>
      <c r="BM185" s="116">
        <v>44463</v>
      </c>
      <c r="BN185" s="330" t="s">
        <v>1245</v>
      </c>
      <c r="BO185" s="332"/>
      <c r="BP185" s="94">
        <f t="shared" si="159"/>
        <v>0</v>
      </c>
      <c r="BQ185" s="97" t="str">
        <f t="shared" si="146"/>
        <v xml:space="preserve"> -  - </v>
      </c>
      <c r="BR185" s="97" t="str">
        <f t="shared" si="147"/>
        <v>0 - 0 - 0</v>
      </c>
      <c r="BS185" s="715">
        <f t="shared" si="160"/>
        <v>0</v>
      </c>
      <c r="BT185" s="736">
        <f t="shared" si="148"/>
        <v>0</v>
      </c>
      <c r="BU185" s="735" t="s">
        <v>1263</v>
      </c>
    </row>
    <row r="186" spans="2:75" customFormat="1" ht="45" hidden="1" x14ac:dyDescent="0.2">
      <c r="B186" s="101" t="str">
        <f t="shared" si="150"/>
        <v>Retired</v>
      </c>
      <c r="C186" s="110">
        <v>321</v>
      </c>
      <c r="D186" s="101" t="s">
        <v>151</v>
      </c>
      <c r="E186" s="103" t="s">
        <v>1096</v>
      </c>
      <c r="F186" s="127" t="s">
        <v>580</v>
      </c>
      <c r="G186" s="106" t="s">
        <v>1199</v>
      </c>
      <c r="H186" s="106"/>
      <c r="I186" s="106" t="s">
        <v>1199</v>
      </c>
      <c r="J186" s="101" t="s">
        <v>1098</v>
      </c>
      <c r="K186" s="101" t="s">
        <v>1264</v>
      </c>
      <c r="L186" s="104" t="s">
        <v>1265</v>
      </c>
      <c r="M186" s="104" t="s">
        <v>141</v>
      </c>
      <c r="N186" s="105">
        <v>0</v>
      </c>
      <c r="O186" s="106" t="str" cm="1">
        <f t="array" ref="O186">_xlfn.IFS(N186="","",ABS(N186)&lt;='Risk Matrices'!$E$7,'Risk Matrices'!$E$5,ABS(N186)&lt;='Risk Matrices'!$F$7,'Risk Matrices'!$F$5,ABS(N186)&lt;='Risk Matrices'!$G$7,'Risk Matrices'!$G$5,ABS(N186)&lt;='Risk Matrices'!$H$7,'Risk Matrices'!$H$5,ABS(N186)&gt;'Risk Matrices'!$H$7,'Risk Matrices'!$I$5)</f>
        <v>Negligible</v>
      </c>
      <c r="P186" s="101">
        <v>12</v>
      </c>
      <c r="Q186" s="104" t="s">
        <v>307</v>
      </c>
      <c r="R186" s="104" t="s">
        <v>207</v>
      </c>
      <c r="S186" s="106">
        <f t="shared" si="151"/>
        <v>3</v>
      </c>
      <c r="T186" s="106" cm="1">
        <f t="array" ref="T186">_xlfn.IFS(O186='Risk Matrices'!$D$28,'Risk Matrices'!$D$29,O186='Risk Matrices'!$E$28,'Risk Matrices'!$E$29,O186='Risk Matrices'!$F$28,'Risk Matrices'!$F$29,O186='Risk Matrices'!$G$28,'Risk Matrices'!$G$29,O186='Risk Matrices'!$H$28,'Risk Matrices'!$H$29)</f>
        <v>1</v>
      </c>
      <c r="U186" s="106">
        <f t="shared" si="153"/>
        <v>3</v>
      </c>
      <c r="V186" s="106">
        <f t="shared" si="158"/>
        <v>1</v>
      </c>
      <c r="W186" s="106">
        <f t="shared" si="154"/>
        <v>3</v>
      </c>
      <c r="X186" s="106">
        <f t="shared" si="155"/>
        <v>9</v>
      </c>
      <c r="Y186" s="107" t="str">
        <f t="shared" si="152"/>
        <v>Moderate</v>
      </c>
      <c r="Z186" s="104"/>
      <c r="AA186" s="108">
        <f t="shared" si="156"/>
        <v>0.32</v>
      </c>
      <c r="AB186" s="109">
        <f t="shared" si="157"/>
        <v>0</v>
      </c>
      <c r="AC186" s="101" t="s">
        <v>155</v>
      </c>
      <c r="AD186" s="104" t="s">
        <v>1266</v>
      </c>
      <c r="AE186" s="104"/>
      <c r="AF186" s="104"/>
      <c r="AG186" s="104"/>
      <c r="AH186" s="111" t="s">
        <v>175</v>
      </c>
      <c r="AI186" s="112">
        <v>0.3</v>
      </c>
      <c r="AJ186" s="106">
        <v>0</v>
      </c>
      <c r="AK186" s="106">
        <v>0</v>
      </c>
      <c r="AL186" s="106">
        <v>0</v>
      </c>
      <c r="AM186" s="106">
        <v>0</v>
      </c>
      <c r="AN186" s="141">
        <v>0</v>
      </c>
      <c r="AO186" s="141">
        <v>0</v>
      </c>
      <c r="AP186" s="112" t="str">
        <f>IF(OR(ISBLANK(AI186),AI186=0),"INSERT LIKELIHOOD",IF(ABS(AI186)&lt;='Risk Matrices'!$D$22,'Risk Matrices'!$C$21,IF(ABS(AI186)&lt;='Risk Matrices'!$D$19,'Risk Matrices'!$C$18,IF(ABS(AI186)&lt;='Risk Matrices'!$D$16,'Risk Matrices'!$C$15,IF(ABS(AI186)&lt;='Risk Matrices'!$D$13,'Risk Matrices'!$C$12,'Risk Matrices'!$C$10)))))</f>
        <v>Moderate</v>
      </c>
      <c r="AQ186" s="112" t="str">
        <f>IF(OR(ISBLANK(AK186),AK186=0),"None",IF(ABS(AK186)&lt;='Risk Matrices'!$E$7,'Risk Matrices'!$E$5,IF(ABS(AK186)&lt;='Risk Matrices'!$G$7,'Risk Matrices'!$G$5,IF(ABS(AK186)&lt;='Risk Matrices'!$H$7,'Risk Matrices'!$H$5,'Risk Matrices'!$I$5))))</f>
        <v>None</v>
      </c>
      <c r="AR186" s="112" t="str">
        <f>IF(AN186="","",IF(ABS(AN186)&lt;='Risk Matrices'!$E$8,"Negligible",IF(ABS(AN186)&lt;='Risk Matrices'!$F$8,"Marginal",IF(ABS(AN186)&lt;='Risk Matrices'!$G$8,"Significant",IF(ABS(AN186)&lt;='Risk Matrices'!$H$8,"Critical","Crisis")))))</f>
        <v>Negligible</v>
      </c>
      <c r="AS186" s="103" t="s">
        <v>130</v>
      </c>
      <c r="AT186" s="298">
        <f>IF(OR(ISBLANK(AI186),AI186=0),0,VLOOKUP(AP186,'Risk Matrices'!$B$30:$C$34,2,0))</f>
        <v>3</v>
      </c>
      <c r="AU186" s="298">
        <f>IF(OR(ISBLANK(AK186),AK186=0),0,HLOOKUP(AQ186,'Risk Matrices'!$D$28:$H$29,2,0))</f>
        <v>0</v>
      </c>
      <c r="AV186" s="298">
        <f>IF(OR(ISBLANK(AR186),AR186=0),0,HLOOKUP(AR186,'Risk Matrices'!$D$28:$H$29,2,0))</f>
        <v>1</v>
      </c>
      <c r="AW186" s="298">
        <f>IF(AS186="None",0,HLOOKUP(AS186,'Risk Matrices'!$D$28:$H$29,2,0))</f>
        <v>0</v>
      </c>
      <c r="AX186" s="106">
        <f t="shared" si="143"/>
        <v>1</v>
      </c>
      <c r="AY186" s="106">
        <f t="shared" si="145"/>
        <v>3</v>
      </c>
      <c r="AZ186" s="107" t="str">
        <f>IF(B186="Retired","Retired",IF(OR(ISBLANK(AY186),AY186=0),"TBD",IF(AY186&lt;='Risk Matrices'!$D$40,'Risk Matrices'!$B$40,IF(AY186&lt;='Risk Matrices'!$D$39,'Risk Matrices'!$B$39,'Risk Matrices'!$B$38))))</f>
        <v>Retired</v>
      </c>
      <c r="BA186" s="112"/>
      <c r="BB186" s="113"/>
      <c r="BC186" s="109" t="str">
        <f t="shared" si="144"/>
        <v>Retired</v>
      </c>
      <c r="BD186" s="113"/>
      <c r="BE186" s="114"/>
      <c r="BF186" s="115"/>
      <c r="BG186" s="330" t="s">
        <v>1245</v>
      </c>
      <c r="BH186" s="115"/>
      <c r="BI186" s="115"/>
      <c r="BJ186" s="874">
        <f t="shared" si="149"/>
        <v>0</v>
      </c>
      <c r="BK186" s="101" t="s">
        <v>311</v>
      </c>
      <c r="BL186" s="330">
        <v>45428</v>
      </c>
      <c r="BM186" s="116">
        <v>44463</v>
      </c>
      <c r="BN186" s="330" t="s">
        <v>1245</v>
      </c>
      <c r="BO186" s="332"/>
      <c r="BP186" s="94">
        <f t="shared" si="159"/>
        <v>0</v>
      </c>
      <c r="BQ186" s="97" t="str">
        <f t="shared" si="146"/>
        <v>0 - 0 - 0</v>
      </c>
      <c r="BR186" s="97" t="str">
        <f t="shared" si="147"/>
        <v>0 - 0 - 0</v>
      </c>
      <c r="BS186" s="715">
        <f t="shared" si="160"/>
        <v>0</v>
      </c>
      <c r="BT186" s="736">
        <f t="shared" si="148"/>
        <v>0</v>
      </c>
      <c r="BU186" s="735" t="s">
        <v>1267</v>
      </c>
    </row>
    <row r="187" spans="2:75" customFormat="1" ht="30" hidden="1" x14ac:dyDescent="0.2">
      <c r="B187" s="101" t="str">
        <f t="shared" si="150"/>
        <v>Retired</v>
      </c>
      <c r="C187" s="110">
        <v>322</v>
      </c>
      <c r="D187" s="101" t="s">
        <v>151</v>
      </c>
      <c r="E187" s="103" t="s">
        <v>1096</v>
      </c>
      <c r="F187" s="127" t="s">
        <v>580</v>
      </c>
      <c r="G187" s="106" t="s">
        <v>1199</v>
      </c>
      <c r="H187" s="106"/>
      <c r="I187" s="106" t="s">
        <v>1199</v>
      </c>
      <c r="J187" s="101" t="s">
        <v>1098</v>
      </c>
      <c r="K187" s="101" t="s">
        <v>1268</v>
      </c>
      <c r="L187" s="104" t="s">
        <v>1269</v>
      </c>
      <c r="M187" s="104"/>
      <c r="N187" s="105">
        <v>5000</v>
      </c>
      <c r="O187" s="106" t="str" cm="1">
        <f t="array" ref="O187">_xlfn.IFS(N187="","",ABS(N187)&lt;='Risk Matrices'!$E$7,'Risk Matrices'!$E$5,ABS(N187)&lt;='Risk Matrices'!$F$7,'Risk Matrices'!$F$5,ABS(N187)&lt;='Risk Matrices'!$G$7,'Risk Matrices'!$G$5,ABS(N187)&lt;='Risk Matrices'!$H$7,'Risk Matrices'!$H$5,ABS(N187)&gt;'Risk Matrices'!$H$7,'Risk Matrices'!$I$5)</f>
        <v>Significant</v>
      </c>
      <c r="P187" s="101">
        <v>0</v>
      </c>
      <c r="Q187" s="104" t="s">
        <v>207</v>
      </c>
      <c r="R187" s="104" t="s">
        <v>207</v>
      </c>
      <c r="S187" s="106">
        <f t="shared" si="151"/>
        <v>0</v>
      </c>
      <c r="T187" s="106" cm="1">
        <f t="array" ref="T187">_xlfn.IFS(O187='Risk Matrices'!$D$28,'Risk Matrices'!$D$29,O187='Risk Matrices'!$E$28,'Risk Matrices'!$E$29,O187='Risk Matrices'!$F$28,'Risk Matrices'!$F$29,O187='Risk Matrices'!$G$28,'Risk Matrices'!$G$29,O187='Risk Matrices'!$H$28,'Risk Matrices'!$H$29)</f>
        <v>3</v>
      </c>
      <c r="U187" s="106">
        <f t="shared" si="153"/>
        <v>1</v>
      </c>
      <c r="V187" s="106">
        <f t="shared" si="158"/>
        <v>1</v>
      </c>
      <c r="W187" s="106">
        <f t="shared" si="154"/>
        <v>3</v>
      </c>
      <c r="X187" s="106">
        <f t="shared" si="155"/>
        <v>0</v>
      </c>
      <c r="Y187" s="107" t="str">
        <f t="shared" si="152"/>
        <v>Low</v>
      </c>
      <c r="Z187" s="104"/>
      <c r="AA187" s="108">
        <f t="shared" si="156"/>
        <v>0</v>
      </c>
      <c r="AB187" s="109">
        <f t="shared" si="157"/>
        <v>0</v>
      </c>
      <c r="AC187" s="101" t="s">
        <v>155</v>
      </c>
      <c r="AD187" s="104"/>
      <c r="AE187" s="104"/>
      <c r="AF187" s="104"/>
      <c r="AG187" s="104"/>
      <c r="AH187" s="111" t="s">
        <v>175</v>
      </c>
      <c r="AI187" s="112">
        <v>0</v>
      </c>
      <c r="AJ187" s="106">
        <v>5000</v>
      </c>
      <c r="AK187" s="106">
        <v>5000</v>
      </c>
      <c r="AL187" s="106">
        <v>5000</v>
      </c>
      <c r="AM187" s="106">
        <v>0</v>
      </c>
      <c r="AN187" s="141">
        <v>0</v>
      </c>
      <c r="AO187" s="141">
        <v>0</v>
      </c>
      <c r="AP187" s="112" t="str">
        <f>IF(OR(ISBLANK(AI187),AI187=0),"INSERT LIKELIHOOD",IF(ABS(AI187)&lt;='Risk Matrices'!$D$22,'Risk Matrices'!$C$21,IF(ABS(AI187)&lt;='Risk Matrices'!$D$19,'Risk Matrices'!$C$18,IF(ABS(AI187)&lt;='Risk Matrices'!$D$16,'Risk Matrices'!$C$15,IF(ABS(AI187)&lt;='Risk Matrices'!$D$13,'Risk Matrices'!$C$12,'Risk Matrices'!$C$10)))))</f>
        <v>INSERT LIKELIHOOD</v>
      </c>
      <c r="AQ187" s="112" t="str">
        <f>IF(OR(ISBLANK(AK187),AK187=0),"None",IF(ABS(AK187)&lt;='Risk Matrices'!$E$7,'Risk Matrices'!$E$5,IF(ABS(AK187)&lt;='Risk Matrices'!$G$7,'Risk Matrices'!$G$5,IF(ABS(AK187)&lt;='Risk Matrices'!$H$7,'Risk Matrices'!$H$5,'Risk Matrices'!$I$5))))</f>
        <v>Significant</v>
      </c>
      <c r="AR187" s="112" t="str">
        <f>IF(AN187="","",IF(ABS(AN187)&lt;='Risk Matrices'!$E$8,"Negligible",IF(ABS(AN187)&lt;='Risk Matrices'!$F$8,"Marginal",IF(ABS(AN187)&lt;='Risk Matrices'!$G$8,"Significant",IF(ABS(AN187)&lt;='Risk Matrices'!$H$8,"Critical","Crisis")))))</f>
        <v>Negligible</v>
      </c>
      <c r="AS187" s="103" t="s">
        <v>130</v>
      </c>
      <c r="AT187" s="298">
        <f>IF(OR(ISBLANK(AI187),AI187=0),0,VLOOKUP(AP187,'Risk Matrices'!$B$30:$C$34,2,0))</f>
        <v>0</v>
      </c>
      <c r="AU187" s="298">
        <f>IF(OR(ISBLANK(AK187),AK187=0),0,HLOOKUP(AQ187,'Risk Matrices'!$D$28:$H$29,2,0))</f>
        <v>3</v>
      </c>
      <c r="AV187" s="298">
        <f>IF(OR(ISBLANK(AR187),AR187=0),0,HLOOKUP(AR187,'Risk Matrices'!$D$28:$H$29,2,0))</f>
        <v>1</v>
      </c>
      <c r="AW187" s="298">
        <f>IF(AS187="None",0,HLOOKUP(AS187,'Risk Matrices'!$D$28:$H$29,2,0))</f>
        <v>0</v>
      </c>
      <c r="AX187" s="106">
        <f t="shared" ref="AX187:AX188" si="161">MAX(AU187,AV187,AW187)</f>
        <v>3</v>
      </c>
      <c r="AY187" s="106">
        <f t="shared" si="145"/>
        <v>0</v>
      </c>
      <c r="AZ187" s="107" t="str">
        <f>IF(B187="Retired","Retired",IF(OR(ISBLANK(AY187),AY187=0),"TBD",IF(AY187&lt;='Risk Matrices'!$D$40,'Risk Matrices'!$B$40,IF(AY187&lt;='Risk Matrices'!$D$39,'Risk Matrices'!$B$39,'Risk Matrices'!$B$38))))</f>
        <v>Retired</v>
      </c>
      <c r="BA187" s="112"/>
      <c r="BB187" s="113"/>
      <c r="BC187" s="109" t="str">
        <f t="shared" si="144"/>
        <v>Retired</v>
      </c>
      <c r="BD187" s="113"/>
      <c r="BE187" s="114"/>
      <c r="BF187" s="115"/>
      <c r="BG187" s="330" t="s">
        <v>1245</v>
      </c>
      <c r="BH187" s="115"/>
      <c r="BI187" s="115"/>
      <c r="BJ187" s="874">
        <f t="shared" si="149"/>
        <v>0</v>
      </c>
      <c r="BK187" s="101" t="s">
        <v>311</v>
      </c>
      <c r="BL187" s="330">
        <v>45428</v>
      </c>
      <c r="BM187" s="116">
        <v>44463</v>
      </c>
      <c r="BN187" s="330" t="s">
        <v>1245</v>
      </c>
      <c r="BO187" s="332"/>
      <c r="BP187" s="94">
        <f t="shared" si="159"/>
        <v>0</v>
      </c>
      <c r="BQ187" s="97" t="str">
        <f t="shared" si="146"/>
        <v>5000 - 5000 - 5000</v>
      </c>
      <c r="BR187" s="97" t="str">
        <f t="shared" si="147"/>
        <v>0 - 0 - 0</v>
      </c>
      <c r="BS187" s="715">
        <f t="shared" si="160"/>
        <v>0</v>
      </c>
      <c r="BT187" s="736">
        <f t="shared" si="148"/>
        <v>0</v>
      </c>
      <c r="BU187" s="735" t="s">
        <v>1270</v>
      </c>
    </row>
    <row r="188" spans="2:75" customFormat="1" ht="60" hidden="1" x14ac:dyDescent="0.2">
      <c r="B188" s="101" t="str">
        <f t="shared" si="150"/>
        <v>Retired</v>
      </c>
      <c r="C188" s="790" t="s">
        <v>1271</v>
      </c>
      <c r="D188" s="101" t="s">
        <v>151</v>
      </c>
      <c r="E188" s="120" t="s">
        <v>1272</v>
      </c>
      <c r="F188" s="161" t="s">
        <v>124</v>
      </c>
      <c r="G188" s="157" t="s">
        <v>1273</v>
      </c>
      <c r="H188" s="157"/>
      <c r="I188" s="103" t="s">
        <v>1274</v>
      </c>
      <c r="J188" s="161" t="s">
        <v>1275</v>
      </c>
      <c r="K188" s="120" t="s">
        <v>1276</v>
      </c>
      <c r="L188" s="138" t="s">
        <v>1277</v>
      </c>
      <c r="M188" s="898" t="s">
        <v>141</v>
      </c>
      <c r="N188" s="183">
        <v>250</v>
      </c>
      <c r="O188" s="106" t="str" cm="1">
        <f t="array" ref="O188">_xlfn.IFS(N188="","",ABS(N188)&lt;='Risk Matrices'!$E$7,'Risk Matrices'!$E$5,ABS(N188)&lt;='Risk Matrices'!$F$7,'Risk Matrices'!$F$5,ABS(N188)&lt;='Risk Matrices'!$G$7,'Risk Matrices'!$G$5,ABS(N188)&lt;='Risk Matrices'!$H$7,'Risk Matrices'!$H$5,ABS(N188)&gt;'Risk Matrices'!$H$7,'Risk Matrices'!$I$5)</f>
        <v>Negligible</v>
      </c>
      <c r="P188" s="157">
        <v>12</v>
      </c>
      <c r="Q188" s="101" t="str">
        <f>IF(P188="","",IF(P188&lt;=3,"Negligible",IF(P188&lt;=6,"Marginal",IF(P188&lt;=12,"Significant",IF(P188&lt;=18,"Critical","Crisis")))))</f>
        <v>Significant</v>
      </c>
      <c r="R188" s="113"/>
      <c r="S188" s="140">
        <f t="shared" si="151"/>
        <v>3</v>
      </c>
      <c r="T188" s="106" cm="1">
        <f t="array" ref="T188">_xlfn.IFS(O188='Risk Matrices'!$D$28,'Risk Matrices'!$D$29,O188='Risk Matrices'!$E$28,'Risk Matrices'!$E$29,O188='Risk Matrices'!$F$28,'Risk Matrices'!$F$29,O188='Risk Matrices'!$G$28,'Risk Matrices'!$G$29,O188='Risk Matrices'!$H$28,'Risk Matrices'!$H$29)</f>
        <v>1</v>
      </c>
      <c r="U188" s="106">
        <f t="shared" si="153"/>
        <v>3</v>
      </c>
      <c r="V188" s="106">
        <f t="shared" si="158"/>
        <v>0</v>
      </c>
      <c r="W188" s="106">
        <f t="shared" si="154"/>
        <v>3</v>
      </c>
      <c r="X188" s="140">
        <f t="shared" si="155"/>
        <v>9</v>
      </c>
      <c r="Y188" s="107" t="str">
        <f t="shared" si="152"/>
        <v>Moderate</v>
      </c>
      <c r="Z188" s="113"/>
      <c r="AA188" s="184">
        <f t="shared" si="156"/>
        <v>0.32</v>
      </c>
      <c r="AB188" s="180">
        <f t="shared" si="157"/>
        <v>80</v>
      </c>
      <c r="AC188" s="180" t="s">
        <v>155</v>
      </c>
      <c r="AD188" s="113" t="s">
        <v>1278</v>
      </c>
      <c r="AE188" s="113"/>
      <c r="AF188" s="116" t="s">
        <v>531</v>
      </c>
      <c r="AG188" s="116"/>
      <c r="AH188" s="101" t="s">
        <v>1279</v>
      </c>
      <c r="AI188" s="160">
        <v>0.1</v>
      </c>
      <c r="AJ188" s="157">
        <v>250</v>
      </c>
      <c r="AK188" s="157">
        <v>409</v>
      </c>
      <c r="AL188" s="157">
        <v>818</v>
      </c>
      <c r="AM188" s="157">
        <v>0</v>
      </c>
      <c r="AN188" s="157">
        <v>0</v>
      </c>
      <c r="AO188" s="157">
        <v>0</v>
      </c>
      <c r="AP188" s="112" t="str">
        <f>IF(OR(ISBLANK(AI188),AI188=0),"INSERT LIKELIHOOD",IF(ABS(AI188)&lt;='Risk Matrices'!$D$22,'Risk Matrices'!$C$21,IF(ABS(AI188)&lt;='Risk Matrices'!$D$19,'Risk Matrices'!$C$18,IF(ABS(AI188)&lt;='Risk Matrices'!$D$16,'Risk Matrices'!$C$15,IF(ABS(AI188)&lt;='Risk Matrices'!$D$13,'Risk Matrices'!$C$12,'Risk Matrices'!$C$10)))))</f>
        <v>Very Low</v>
      </c>
      <c r="AQ188" s="112" t="str">
        <f>IF(OR(ISBLANK(AK188),AK188=0),"None",IF(ABS(AK188)&lt;='Risk Matrices'!$E$7,'Risk Matrices'!$E$5,IF(ABS(AK188)&lt;='Risk Matrices'!$G$7,'Risk Matrices'!$G$5,IF(ABS(AK188)&lt;='Risk Matrices'!$H$7,'Risk Matrices'!$H$5,'Risk Matrices'!$I$5))))</f>
        <v>Significant</v>
      </c>
      <c r="AR188" s="112" t="str">
        <f>IF(AN188="","",IF(ABS(AN188)&lt;='Risk Matrices'!$E$8,"Negligible",IF(ABS(AN188)&lt;='Risk Matrices'!$F$8,"Marginal",IF(ABS(AN188)&lt;='Risk Matrices'!$G$8,"Significant",IF(ABS(AN188)&lt;='Risk Matrices'!$H$8,"Critical","Crisis")))))</f>
        <v>Negligible</v>
      </c>
      <c r="AS188" s="120" t="s">
        <v>280</v>
      </c>
      <c r="AT188" s="298">
        <f>IF(OR(ISBLANK(AI188),AI188=0),0,VLOOKUP(AP188,'Risk Matrices'!$B$30:$C$34,2,0))</f>
        <v>1</v>
      </c>
      <c r="AU188" s="298">
        <f>IF(OR(ISBLANK(AK188),AK188=0),0,HLOOKUP(AQ188,'Risk Matrices'!$D$28:$H$29,2,0))</f>
        <v>3</v>
      </c>
      <c r="AV188" s="298">
        <f>IF(OR(ISBLANK(AR188),AR188=0),0,HLOOKUP(AR188,'Risk Matrices'!$D$28:$H$29,2,0))</f>
        <v>1</v>
      </c>
      <c r="AW188" s="298">
        <f>IF(OR(ISBLANK(AS188),AS188=0),0,HLOOKUP(AS188,'Risk Matrices'!$D$28:$H$29,2,0))</f>
        <v>2</v>
      </c>
      <c r="AX188" s="106">
        <f t="shared" si="161"/>
        <v>3</v>
      </c>
      <c r="AY188" s="106">
        <f t="shared" si="145"/>
        <v>3</v>
      </c>
      <c r="AZ188" s="107" t="str">
        <f>IF(B188="Retired","Retired",IF(OR(ISBLANK(AY188),AY188=0),"TBD",IF(AY188&lt;='Risk Matrices'!$D$40,'Risk Matrices'!$B$40,IF(AY188&lt;='Risk Matrices'!$D$39,'Risk Matrices'!$B$39,'Risk Matrices'!$B$38))))</f>
        <v>Retired</v>
      </c>
      <c r="BA188" s="113"/>
      <c r="BB188" s="113" t="s">
        <v>1280</v>
      </c>
      <c r="BC188" s="109" t="str">
        <f t="shared" si="144"/>
        <v>Retired</v>
      </c>
      <c r="BD188" s="113"/>
      <c r="BE188" s="113"/>
      <c r="BF188" s="113"/>
      <c r="BG188" s="157" t="s">
        <v>1281</v>
      </c>
      <c r="BH188" s="113"/>
      <c r="BI188" s="113"/>
      <c r="BJ188" s="874">
        <f t="shared" si="149"/>
        <v>49.233333333333334</v>
      </c>
      <c r="BK188" s="101" t="s">
        <v>294</v>
      </c>
      <c r="BL188" s="185">
        <v>45299</v>
      </c>
      <c r="BM188" s="116">
        <v>44012</v>
      </c>
      <c r="BN188" s="330">
        <v>44134</v>
      </c>
      <c r="BO188" s="332"/>
      <c r="BP188" s="94">
        <f>AI188*((AJ188+4*AK188+AL188)/6)</f>
        <v>45.06666666666667</v>
      </c>
      <c r="BQ188" s="97" t="str">
        <f t="shared" si="146"/>
        <v>250 - 409 - 818</v>
      </c>
      <c r="BR188" s="97" t="str">
        <f t="shared" si="147"/>
        <v>0 - 0 - 0</v>
      </c>
      <c r="BS188" s="715">
        <f t="shared" si="160"/>
        <v>49.233333333333334</v>
      </c>
      <c r="BT188" s="736">
        <f t="shared" si="148"/>
        <v>0</v>
      </c>
      <c r="BU188" s="735" t="s">
        <v>1282</v>
      </c>
      <c r="BV188" s="873">
        <v>45260</v>
      </c>
      <c r="BW188">
        <f>BV188-BN188</f>
        <v>1126</v>
      </c>
    </row>
    <row r="189" spans="2:75" customFormat="1" ht="45" hidden="1" x14ac:dyDescent="0.2">
      <c r="B189" s="101" t="str">
        <f t="shared" si="150"/>
        <v>Retired</v>
      </c>
      <c r="C189" s="790" t="s">
        <v>1283</v>
      </c>
      <c r="D189" s="101" t="s">
        <v>151</v>
      </c>
      <c r="E189" s="120" t="s">
        <v>1272</v>
      </c>
      <c r="F189" s="161" t="s">
        <v>580</v>
      </c>
      <c r="G189" s="157" t="s">
        <v>1273</v>
      </c>
      <c r="H189" s="157"/>
      <c r="I189" s="103" t="s">
        <v>1274</v>
      </c>
      <c r="J189" s="161" t="s">
        <v>1275</v>
      </c>
      <c r="K189" s="120" t="s">
        <v>1284</v>
      </c>
      <c r="L189" s="138" t="s">
        <v>1285</v>
      </c>
      <c r="M189" s="898"/>
      <c r="N189" s="183"/>
      <c r="O189" s="106" t="str" cm="1">
        <f t="array" ref="O189">_xlfn.IFS(N189="","",ABS(N189)&lt;='Risk Matrices'!$E$7,'Risk Matrices'!$E$5,ABS(N189)&lt;='Risk Matrices'!$F$7,'Risk Matrices'!$F$5,ABS(N189)&lt;='Risk Matrices'!$G$7,'Risk Matrices'!$G$5,ABS(N189)&lt;='Risk Matrices'!$H$7,'Risk Matrices'!$H$5,ABS(N189)&gt;'Risk Matrices'!$H$7,'Risk Matrices'!$I$5)</f>
        <v/>
      </c>
      <c r="P189" s="157"/>
      <c r="Q189" s="101"/>
      <c r="R189" s="113"/>
      <c r="S189" s="140"/>
      <c r="T189" s="106" t="e" cm="1">
        <f t="array" ref="T189">_xlfn.IFS(O189='Risk Matrices'!$D$28,'Risk Matrices'!$D$29,O189='Risk Matrices'!$E$28,'Risk Matrices'!$E$29,O189='Risk Matrices'!$F$28,'Risk Matrices'!$F$29,O189='Risk Matrices'!$G$28,'Risk Matrices'!$G$29,O189='Risk Matrices'!$H$28,'Risk Matrices'!$H$29)</f>
        <v>#N/A</v>
      </c>
      <c r="U189" s="106"/>
      <c r="V189" s="106"/>
      <c r="W189" s="106"/>
      <c r="X189" s="140"/>
      <c r="Y189" s="107"/>
      <c r="Z189" s="113"/>
      <c r="AA189" s="184"/>
      <c r="AB189" s="180"/>
      <c r="AC189" s="180" t="s">
        <v>155</v>
      </c>
      <c r="AD189" s="113"/>
      <c r="AE189" s="113"/>
      <c r="AF189" s="116"/>
      <c r="AG189" s="116"/>
      <c r="AH189" s="101"/>
      <c r="AI189" s="160">
        <v>0.3</v>
      </c>
      <c r="AJ189" s="157"/>
      <c r="AK189" s="157"/>
      <c r="AL189" s="157"/>
      <c r="AM189" s="157"/>
      <c r="AN189" s="157"/>
      <c r="AO189" s="157"/>
      <c r="AP189" s="112"/>
      <c r="AQ189" s="112"/>
      <c r="AR189" s="112"/>
      <c r="AS189" s="120"/>
      <c r="AT189" s="298"/>
      <c r="AU189" s="298"/>
      <c r="AV189" s="298"/>
      <c r="AW189" s="298"/>
      <c r="AX189" s="106"/>
      <c r="AY189" s="106"/>
      <c r="AZ189" s="107"/>
      <c r="BA189" s="113"/>
      <c r="BB189" s="113"/>
      <c r="BC189" s="109"/>
      <c r="BD189" s="113"/>
      <c r="BE189" s="113"/>
      <c r="BF189" s="113"/>
      <c r="BG189" s="113" t="s">
        <v>1286</v>
      </c>
      <c r="BH189" s="113"/>
      <c r="BI189" s="113"/>
      <c r="BJ189" s="874"/>
      <c r="BK189" s="101" t="s">
        <v>294</v>
      </c>
      <c r="BL189" s="185">
        <v>45414</v>
      </c>
      <c r="BM189" s="116">
        <v>45299</v>
      </c>
      <c r="BN189" s="116" t="s">
        <v>1287</v>
      </c>
      <c r="BO189" s="332"/>
      <c r="BP189" s="94"/>
      <c r="BQ189" s="97"/>
      <c r="BR189" s="97"/>
      <c r="BS189" s="715"/>
      <c r="BT189" s="736"/>
      <c r="BU189" s="735"/>
      <c r="BV189" s="873"/>
    </row>
    <row r="190" spans="2:75" customFormat="1" ht="80" hidden="1" customHeight="1" x14ac:dyDescent="0.2">
      <c r="B190" s="101" t="str">
        <f t="shared" si="150"/>
        <v>Active</v>
      </c>
      <c r="C190" s="790" t="s">
        <v>1288</v>
      </c>
      <c r="D190" s="101" t="s">
        <v>151</v>
      </c>
      <c r="E190" s="120" t="s">
        <v>1272</v>
      </c>
      <c r="F190" s="161" t="s">
        <v>580</v>
      </c>
      <c r="G190" s="157" t="s">
        <v>1289</v>
      </c>
      <c r="H190" s="120" t="str">
        <f t="shared" ref="H190:H196" si="162">C190</f>
        <v>RT-6-009-009</v>
      </c>
      <c r="I190" s="103" t="s">
        <v>1290</v>
      </c>
      <c r="J190" s="161" t="s">
        <v>1275</v>
      </c>
      <c r="K190" s="120" t="s">
        <v>1291</v>
      </c>
      <c r="L190" s="138" t="s">
        <v>1292</v>
      </c>
      <c r="M190" s="898"/>
      <c r="N190" s="183"/>
      <c r="O190" s="106" t="str" cm="1">
        <f t="array" ref="O190">_xlfn.IFS(N190="","",ABS(N190)&lt;='Risk Matrices'!$E$7,'Risk Matrices'!$E$5,ABS(N190)&lt;='Risk Matrices'!$F$7,'Risk Matrices'!$F$5,ABS(N190)&lt;='Risk Matrices'!$G$7,'Risk Matrices'!$G$5,ABS(N190)&lt;='Risk Matrices'!$H$7,'Risk Matrices'!$H$5,ABS(N190)&gt;'Risk Matrices'!$H$7,'Risk Matrices'!$I$5)</f>
        <v/>
      </c>
      <c r="P190" s="157"/>
      <c r="Q190" s="101"/>
      <c r="R190" s="113"/>
      <c r="S190" s="140"/>
      <c r="T190" s="106" t="e" cm="1">
        <f t="array" ref="T190">_xlfn.IFS(O190='Risk Matrices'!$D$28,'Risk Matrices'!$D$29,O190='Risk Matrices'!$E$28,'Risk Matrices'!$E$29,O190='Risk Matrices'!$F$28,'Risk Matrices'!$F$29,O190='Risk Matrices'!$G$28,'Risk Matrices'!$G$29,O190='Risk Matrices'!$H$28,'Risk Matrices'!$H$29)</f>
        <v>#N/A</v>
      </c>
      <c r="U190" s="106"/>
      <c r="V190" s="106"/>
      <c r="W190" s="106"/>
      <c r="X190" s="140"/>
      <c r="Y190" s="107"/>
      <c r="Z190" s="113"/>
      <c r="AA190" s="184"/>
      <c r="AB190" s="180"/>
      <c r="AC190" s="180" t="s">
        <v>155</v>
      </c>
      <c r="AD190" s="113" t="s">
        <v>1293</v>
      </c>
      <c r="AE190" s="113"/>
      <c r="AF190" s="116" t="s">
        <v>1023</v>
      </c>
      <c r="AG190" s="116"/>
      <c r="AH190" s="101" t="s">
        <v>1294</v>
      </c>
      <c r="AI190" s="160">
        <v>0.3</v>
      </c>
      <c r="AJ190" s="157">
        <v>107.3</v>
      </c>
      <c r="AK190" s="157">
        <v>294.60000000000002</v>
      </c>
      <c r="AL190" s="157">
        <v>589.20000000000005</v>
      </c>
      <c r="AM190" s="157">
        <v>3</v>
      </c>
      <c r="AN190" s="157">
        <v>6</v>
      </c>
      <c r="AO190" s="157">
        <v>12</v>
      </c>
      <c r="AP190" s="112" t="str">
        <f>IF(OR(ISBLANK(AI190),AI190=0),"INSERT LIKELIHOOD",IF(ABS(AI190)&lt;='Risk Matrices'!$D$22,'Risk Matrices'!$C$21,IF(ABS(AI190)&lt;='Risk Matrices'!$D$19,'Risk Matrices'!$C$18,IF(ABS(AI190)&lt;='Risk Matrices'!$D$16,'Risk Matrices'!$C$15,IF(ABS(AI190)&lt;='Risk Matrices'!$D$13,'Risk Matrices'!$C$12,'Risk Matrices'!$C$10)))))</f>
        <v>Moderate</v>
      </c>
      <c r="AQ190" s="112" t="str">
        <f>IF(OR(ISBLANK(AK190),AK190=0),"None",IF(ABS(AK190)&lt;='Risk Matrices'!$E$7,'Risk Matrices'!$E$5,IF(ABS(AK190)&lt;='Risk Matrices'!$G$7,'Risk Matrices'!$G$5,IF(ABS(AK190)&lt;='Risk Matrices'!$H$7,'Risk Matrices'!$H$5,'Risk Matrices'!$I$5))))</f>
        <v>Significant</v>
      </c>
      <c r="AR190" s="112" t="str">
        <f>IF(AN190="","",IF(ABS(AN190)&lt;='Risk Matrices'!$E$8,"Negligible",IF(ABS(AN190)&lt;='Risk Matrices'!$F$8,"Marginal",IF(ABS(AN190)&lt;='Risk Matrices'!$G$8,"Significant",IF(ABS(AN190)&lt;='Risk Matrices'!$H$8,"Critical","Crisis")))))</f>
        <v>Marginal</v>
      </c>
      <c r="AS190" s="120" t="s">
        <v>130</v>
      </c>
      <c r="AT190" s="298">
        <f>IF(OR(ISBLANK(AI190),AI190=0),0,VLOOKUP(AP190,'Risk Matrices'!$B$30:$C$34,2,0))</f>
        <v>3</v>
      </c>
      <c r="AU190" s="298">
        <f>IF(OR(ISBLANK(AK190),AK190=0),0,HLOOKUP(AQ190,'Risk Matrices'!$D$28:$H$29,2,0))</f>
        <v>3</v>
      </c>
      <c r="AV190" s="298">
        <f>IF(OR(ISBLANK(AR190),AR190=0),0,HLOOKUP(AR190,'Risk Matrices'!$D$28:$H$29,2,0))</f>
        <v>2</v>
      </c>
      <c r="AW190" s="298">
        <f>IF(AS190="None",0,HLOOKUP(AS190,'Risk Matrices'!$D$28:$H$29,2,0))</f>
        <v>0</v>
      </c>
      <c r="AX190" s="106">
        <f t="shared" ref="AX190:AX221" si="163">MAX(AU190,AV190,AW190)</f>
        <v>3</v>
      </c>
      <c r="AY190" s="106">
        <f t="shared" ref="AY190:AY221" si="164">AT190*AX190</f>
        <v>9</v>
      </c>
      <c r="AZ190" s="107" t="str">
        <f>IF(B190="Retired","Retired",IF(OR(ISBLANK(AY190),AY190=0),"TBD",IF(AY190&lt;='Risk Matrices'!$D$40,'Risk Matrices'!$B$40,IF(AY190&lt;='Risk Matrices'!$D$39,'Risk Matrices'!$B$39,'Risk Matrices'!$B$38))))</f>
        <v>Moderate</v>
      </c>
      <c r="BA190" s="113"/>
      <c r="BB190" s="113" t="s">
        <v>1295</v>
      </c>
      <c r="BC190" s="109">
        <f t="shared" ref="BC190:BC221" si="165">IF(B190="Active",AI190*AK190,B190)</f>
        <v>88.38000000000001</v>
      </c>
      <c r="BD190" s="185">
        <v>45414</v>
      </c>
      <c r="BE190" s="113"/>
      <c r="BF190" s="113"/>
      <c r="BG190" s="113"/>
      <c r="BH190" s="113"/>
      <c r="BI190" s="113"/>
      <c r="BJ190" s="874">
        <f>IF(B190="Active",AI190*(SUM(AJ190:AL190)/3),B190)</f>
        <v>99.110000000000014</v>
      </c>
      <c r="BK190" s="101"/>
      <c r="BL190" s="157"/>
      <c r="BM190" s="116">
        <v>45299</v>
      </c>
      <c r="BN190" s="116">
        <v>45299</v>
      </c>
      <c r="BO190" s="332"/>
      <c r="BP190" s="94">
        <f t="shared" ref="BP190:BP196" si="166">AI190*((AJ190+4*AK190+AL190)/6)</f>
        <v>93.745000000000005</v>
      </c>
      <c r="BQ190" s="97" t="str">
        <f t="shared" ref="BQ190:BQ221" si="167">CONCATENATE(AJ190," - ",AK190," - ",AL190)</f>
        <v>107.3 - 294.6 - 589.2</v>
      </c>
      <c r="BR190" s="97" t="str">
        <f t="shared" ref="BR190:BR221" si="168">CONCATENATE(AM190," - ",AN190," - ",AO190)</f>
        <v>3 - 6 - 12</v>
      </c>
      <c r="BS190" s="715">
        <f t="shared" ref="BS190:BS197" si="169">BJ190</f>
        <v>99.110000000000014</v>
      </c>
      <c r="BT190" s="736">
        <f t="shared" ref="BT190:BT221" si="170">AI190*(AM190+AN190+AO190)/3</f>
        <v>2.1</v>
      </c>
      <c r="BU190" s="735"/>
      <c r="BV190" s="873"/>
    </row>
    <row r="191" spans="2:75" customFormat="1" ht="68" hidden="1" customHeight="1" x14ac:dyDescent="0.2">
      <c r="B191" s="101" t="str">
        <f t="shared" si="150"/>
        <v>Active</v>
      </c>
      <c r="C191" s="816" t="s">
        <v>1296</v>
      </c>
      <c r="D191" s="101" t="s">
        <v>151</v>
      </c>
      <c r="E191" s="120" t="s">
        <v>1272</v>
      </c>
      <c r="F191" s="161" t="s">
        <v>580</v>
      </c>
      <c r="G191" s="157" t="s">
        <v>1289</v>
      </c>
      <c r="H191" s="120" t="str">
        <f t="shared" si="162"/>
        <v>RT-6-009-002-LLP-CD3A</v>
      </c>
      <c r="I191" s="157" t="s">
        <v>1289</v>
      </c>
      <c r="J191" s="161" t="s">
        <v>1275</v>
      </c>
      <c r="K191" s="120" t="s">
        <v>1297</v>
      </c>
      <c r="L191" s="104" t="s">
        <v>1298</v>
      </c>
      <c r="M191" s="815" t="s">
        <v>129</v>
      </c>
      <c r="N191" s="183">
        <v>250</v>
      </c>
      <c r="O191" s="106" t="str" cm="1">
        <f t="array" ref="O191">_xlfn.IFS(N191="","",ABS(N191)&lt;='Risk Matrices'!$E$7,'Risk Matrices'!$E$5,ABS(N191)&lt;='Risk Matrices'!$F$7,'Risk Matrices'!$F$5,ABS(N191)&lt;='Risk Matrices'!$G$7,'Risk Matrices'!$G$5,ABS(N191)&lt;='Risk Matrices'!$H$7,'Risk Matrices'!$H$5,ABS(N191)&gt;'Risk Matrices'!$H$7,'Risk Matrices'!$I$5)</f>
        <v>Negligible</v>
      </c>
      <c r="P191" s="157">
        <v>15</v>
      </c>
      <c r="Q191" s="101" t="str" cm="1">
        <f t="array" ref="Q191">_xlfn.IFS(P191="","",ABS(P191)&lt;='Risk Matrices'!$E$8,'Risk Matrices'!$E$5,ABS(P191)&lt;='Risk Matrices'!$F$8,'Risk Matrices'!$F$5,ABS(P191)&lt;='Risk Matrices'!$G$8,'Risk Matrices'!$G$5,ABS(P191)&lt;='Risk Matrices'!$H$8,'Risk Matrices'!$H$5,ABS(P191)&gt;'Risk Matrices'!$H$8,'Risk Matrices'!$I$5)</f>
        <v>Critical</v>
      </c>
      <c r="R191" s="102" t="s">
        <v>130</v>
      </c>
      <c r="S191" s="140">
        <f t="shared" ref="S191:S222" si="171">IF(M191="",0,IF(M191="Very Low (There is a &lt;10% chance that this event will occur)",1,IF(M191="Low (Risk is likely to occur with a probability of &gt; 10% to &lt; 25%)",2,IF(M191="Moderate (Risk is likely to occur with a probability of &gt; 25% to &lt; 40%)",3,IF(M191="High (Risk is likely to occur with a probability of &gt;40 to &lt;65%)",4,IF(M191="Very High (Risk is likely to occur with a probability of &gt;65%)",5))))))</f>
        <v>4</v>
      </c>
      <c r="T191" s="106" cm="1">
        <f t="array" ref="T191">_xlfn.IFS(O191='Risk Matrices'!$D$28,'Risk Matrices'!$D$29,O191='Risk Matrices'!$E$28,'Risk Matrices'!$E$29,O191='Risk Matrices'!$F$28,'Risk Matrices'!$F$29,O191='Risk Matrices'!$G$28,'Risk Matrices'!$G$29,O191='Risk Matrices'!$H$28,'Risk Matrices'!$H$29)</f>
        <v>1</v>
      </c>
      <c r="U191" s="106">
        <f t="shared" ref="U191:U212" si="172">IF(Q191="",0,IF(Q191="Negligible",1,IF(Q191="Marginal",2,IF(Q191="Significant",3,IF(Q191="Critical",4,IF(Q191="Crisis",5))))))</f>
        <v>4</v>
      </c>
      <c r="V191" s="106">
        <f t="shared" ref="V191:V196" si="173">IF(R191="None",0,IF(R191="Negligible",1,IF(R191="Marginal",2,IF(R191="Significant",3,IF(R191="Critical",4,IF(R191="Crisis",5))))))</f>
        <v>0</v>
      </c>
      <c r="W191" s="106">
        <f t="shared" ref="W191:W212" si="174">MAX(T191,U191,V191)</f>
        <v>4</v>
      </c>
      <c r="X191" s="140">
        <f t="shared" ref="X191:X212" si="175">S191*W191</f>
        <v>16</v>
      </c>
      <c r="Y191" s="107" t="str">
        <f t="shared" ref="Y191:Y203" si="176">IF(X191&lt;=6,"Low",IF(X191&lt;=14,"Moderate",IF(X191&lt;=25,"High")))</f>
        <v>High</v>
      </c>
      <c r="Z191" s="113"/>
      <c r="AA191" s="184">
        <f t="shared" ref="AA191:AA211" si="177">IF(M191="",0,IF(M191="Very Low (There is a &lt;10% chance that this event will occur)",0.05,IF(M191="Low (Risk is likely to occur with a probability of &gt; 10% to &lt; 25%)",0.17,IF(M191="Moderate (Risk is likely to occur with a probability of &gt; 25% to &lt; 40%)",0.32,IF(M191="High (Risk is likely to occur with a probability of &gt;40 to &lt;65%)",0.52,IF(M191="Very High (Risk is likely to occur with a probability of &gt;65%)",0.82))))))</f>
        <v>0.52</v>
      </c>
      <c r="AB191" s="180">
        <f t="shared" ref="AB191:AB209" si="178">+AA191*N191</f>
        <v>130</v>
      </c>
      <c r="AC191" s="180" t="s">
        <v>155</v>
      </c>
      <c r="AD191" s="122" t="s">
        <v>1299</v>
      </c>
      <c r="AE191" s="122"/>
      <c r="AF191" s="116" t="s">
        <v>167</v>
      </c>
      <c r="AG191" s="116"/>
      <c r="AH191" s="101" t="s">
        <v>1300</v>
      </c>
      <c r="AI191" s="160">
        <v>0.3</v>
      </c>
      <c r="AJ191" s="157">
        <v>160</v>
      </c>
      <c r="AK191" s="157">
        <v>314</v>
      </c>
      <c r="AL191" s="157">
        <v>4314</v>
      </c>
      <c r="AM191" s="157">
        <v>3</v>
      </c>
      <c r="AN191" s="157">
        <v>12</v>
      </c>
      <c r="AO191" s="157">
        <v>18</v>
      </c>
      <c r="AP191" s="112" t="str">
        <f>IF(OR(ISBLANK(AI191),AI191=0),"INSERT LIKELIHOOD",IF(ABS(AI191)&lt;='Risk Matrices'!$D$22,'Risk Matrices'!$C$21,IF(ABS(AI191)&lt;='Risk Matrices'!$D$19,'Risk Matrices'!$C$18,IF(ABS(AI191)&lt;='Risk Matrices'!$D$16,'Risk Matrices'!$C$15,IF(ABS(AI191)&lt;='Risk Matrices'!$D$13,'Risk Matrices'!$C$12,'Risk Matrices'!$C$10)))))</f>
        <v>Moderate</v>
      </c>
      <c r="AQ191" s="112" t="str">
        <f>IF(OR(ISBLANK(AK191),AK191=0),"None",IF(ABS(AK191)&lt;='Risk Matrices'!$E$7,'Risk Matrices'!$E$5,IF(ABS(AK191)&lt;='Risk Matrices'!$G$7,'Risk Matrices'!$G$5,IF(ABS(AK191)&lt;='Risk Matrices'!$H$7,'Risk Matrices'!$H$5,'Risk Matrices'!$I$5))))</f>
        <v>Significant</v>
      </c>
      <c r="AR191" s="112" t="str">
        <f>IF(AN191="","",IF(ABS(AN191)&lt;='Risk Matrices'!$E$8,"Negligible",IF(ABS(AN191)&lt;='Risk Matrices'!$F$8,"Marginal",IF(ABS(AN191)&lt;='Risk Matrices'!$G$8,"Significant",IF(ABS(AN191)&lt;='Risk Matrices'!$H$8,"Critical","Crisis")))))</f>
        <v>Significant</v>
      </c>
      <c r="AS191" s="103" t="s">
        <v>130</v>
      </c>
      <c r="AT191" s="205">
        <f>IF(OR(ISBLANK(AI191),AI191=0),0,VLOOKUP(AP191,'Risk Matrices'!$B$30:$C$34,2,0))</f>
        <v>3</v>
      </c>
      <c r="AU191" s="205">
        <f>IF(OR(ISBLANK(AK191),AK191=0),0,HLOOKUP(AQ191,'Risk Matrices'!$D$28:$H$29,2,0))</f>
        <v>3</v>
      </c>
      <c r="AV191" s="205">
        <f>IF(OR(ISBLANK(AR191),AR191=0),0,HLOOKUP(AR191,'Risk Matrices'!$D$28:$H$29,2,0))</f>
        <v>3</v>
      </c>
      <c r="AW191" s="298">
        <f>IF(AS191="None",0,HLOOKUP(AS191,'Risk Matrices'!$D$28:$H$29,2,0))</f>
        <v>0</v>
      </c>
      <c r="AX191" s="106">
        <f t="shared" si="163"/>
        <v>3</v>
      </c>
      <c r="AY191" s="106">
        <f t="shared" si="164"/>
        <v>9</v>
      </c>
      <c r="AZ191" s="107" t="str">
        <f>IF(B191="Retired","Retired",IF(OR(ISBLANK(AY191),AY191=0),"TBD",IF(AY191&lt;='Risk Matrices'!$D$40,'Risk Matrices'!$B$40,IF(AY191&lt;='Risk Matrices'!$D$39,'Risk Matrices'!$B$39,'Risk Matrices'!$B$38))))</f>
        <v>Moderate</v>
      </c>
      <c r="BA191" s="113"/>
      <c r="BB191" s="113" t="s">
        <v>1301</v>
      </c>
      <c r="BC191" s="109">
        <f t="shared" si="165"/>
        <v>94.2</v>
      </c>
      <c r="BD191" s="185">
        <v>45518</v>
      </c>
      <c r="BE191" s="113"/>
      <c r="BF191" s="113"/>
      <c r="BG191" s="113"/>
      <c r="BH191" s="113"/>
      <c r="BI191" s="113"/>
      <c r="BJ191" s="874">
        <f t="shared" ref="BJ191:BJ222" si="179">AI191*(SUM(AJ191:AL191)/3)</f>
        <v>478.79999999999995</v>
      </c>
      <c r="BK191" s="101"/>
      <c r="BL191" s="157"/>
      <c r="BM191" s="185">
        <v>44407</v>
      </c>
      <c r="BN191" s="330">
        <v>44466</v>
      </c>
      <c r="BO191" s="332"/>
      <c r="BP191" s="94">
        <f t="shared" si="166"/>
        <v>286.5</v>
      </c>
      <c r="BQ191" s="97" t="str">
        <f t="shared" si="167"/>
        <v>160 - 314 - 4314</v>
      </c>
      <c r="BR191" s="97" t="str">
        <f t="shared" si="168"/>
        <v>3 - 12 - 18</v>
      </c>
      <c r="BS191" s="715">
        <f t="shared" si="169"/>
        <v>478.79999999999995</v>
      </c>
      <c r="BT191" s="736">
        <f t="shared" si="170"/>
        <v>3.3000000000000003</v>
      </c>
      <c r="BU191" s="735" t="s">
        <v>1302</v>
      </c>
      <c r="BV191" s="873">
        <v>45382</v>
      </c>
      <c r="BW191">
        <f t="shared" ref="BW191:BW196" si="180">BV191-BN191</f>
        <v>916</v>
      </c>
    </row>
    <row r="192" spans="2:75" customFormat="1" ht="60" hidden="1" x14ac:dyDescent="0.2">
      <c r="B192" s="101" t="str">
        <f t="shared" si="150"/>
        <v>Active</v>
      </c>
      <c r="C192" s="790" t="s">
        <v>1303</v>
      </c>
      <c r="D192" s="101" t="s">
        <v>151</v>
      </c>
      <c r="E192" s="120" t="s">
        <v>1272</v>
      </c>
      <c r="F192" s="161" t="s">
        <v>124</v>
      </c>
      <c r="G192" s="157" t="s">
        <v>1289</v>
      </c>
      <c r="H192" s="120" t="str">
        <f t="shared" si="162"/>
        <v>RT-6-009-003</v>
      </c>
      <c r="I192" s="103" t="s">
        <v>1304</v>
      </c>
      <c r="J192" s="161" t="s">
        <v>1275</v>
      </c>
      <c r="K192" s="103" t="s">
        <v>1305</v>
      </c>
      <c r="L192" s="104" t="s">
        <v>1306</v>
      </c>
      <c r="M192" s="815" t="s">
        <v>141</v>
      </c>
      <c r="N192" s="105">
        <v>250</v>
      </c>
      <c r="O192" s="106" t="str" cm="1">
        <f t="array" ref="O192">_xlfn.IFS(N192="","",ABS(N192)&lt;='Risk Matrices'!$E$7,'Risk Matrices'!$E$5,ABS(N192)&lt;='Risk Matrices'!$F$7,'Risk Matrices'!$F$5,ABS(N192)&lt;='Risk Matrices'!$G$7,'Risk Matrices'!$G$5,ABS(N192)&lt;='Risk Matrices'!$H$7,'Risk Matrices'!$H$5,ABS(N192)&gt;'Risk Matrices'!$H$7,'Risk Matrices'!$I$5)</f>
        <v>Negligible</v>
      </c>
      <c r="P192" s="106">
        <v>6</v>
      </c>
      <c r="Q192" s="101" t="str" cm="1">
        <f t="array" ref="Q192">_xlfn.IFS(P192="","",ABS(P192)&lt;='Risk Matrices'!$E$8,'Risk Matrices'!$E$5,ABS(P192)&lt;='Risk Matrices'!$F$8,'Risk Matrices'!$F$5,ABS(P192)&lt;='Risk Matrices'!$G$8,'Risk Matrices'!$G$5,ABS(P192)&lt;='Risk Matrices'!$H$8,'Risk Matrices'!$H$5,ABS(P192)&gt;'Risk Matrices'!$H$8,'Risk Matrices'!$I$5)</f>
        <v>Marginal</v>
      </c>
      <c r="R192" s="102" t="s">
        <v>207</v>
      </c>
      <c r="S192" s="106">
        <f t="shared" si="171"/>
        <v>3</v>
      </c>
      <c r="T192" s="106" cm="1">
        <f t="array" ref="T192">_xlfn.IFS(O192='Risk Matrices'!$D$28,'Risk Matrices'!$D$29,O192='Risk Matrices'!$E$28,'Risk Matrices'!$E$29,O192='Risk Matrices'!$F$28,'Risk Matrices'!$F$29,O192='Risk Matrices'!$G$28,'Risk Matrices'!$G$29,O192='Risk Matrices'!$H$28,'Risk Matrices'!$H$29)</f>
        <v>1</v>
      </c>
      <c r="U192" s="106">
        <f t="shared" si="172"/>
        <v>2</v>
      </c>
      <c r="V192" s="106">
        <f t="shared" si="173"/>
        <v>1</v>
      </c>
      <c r="W192" s="106">
        <f t="shared" si="174"/>
        <v>2</v>
      </c>
      <c r="X192" s="106">
        <f t="shared" si="175"/>
        <v>6</v>
      </c>
      <c r="Y192" s="107" t="str">
        <f t="shared" si="176"/>
        <v>Low</v>
      </c>
      <c r="Z192" s="104"/>
      <c r="AA192" s="108">
        <f t="shared" si="177"/>
        <v>0.32</v>
      </c>
      <c r="AB192" s="109">
        <f t="shared" si="178"/>
        <v>80</v>
      </c>
      <c r="AC192" s="109" t="s">
        <v>155</v>
      </c>
      <c r="AD192" s="104" t="s">
        <v>1307</v>
      </c>
      <c r="AE192" s="104"/>
      <c r="AF192" s="103" t="s">
        <v>200</v>
      </c>
      <c r="AG192" s="103"/>
      <c r="AH192" s="101" t="s">
        <v>1308</v>
      </c>
      <c r="AI192" s="112">
        <v>0.3</v>
      </c>
      <c r="AJ192" s="106">
        <v>110</v>
      </c>
      <c r="AK192" s="106">
        <v>250</v>
      </c>
      <c r="AL192" s="106">
        <v>409</v>
      </c>
      <c r="AM192" s="106">
        <v>0</v>
      </c>
      <c r="AN192" s="106">
        <v>6</v>
      </c>
      <c r="AO192" s="106">
        <v>6</v>
      </c>
      <c r="AP192" s="112" t="str">
        <f>IF(OR(ISBLANK(AI192),AI192=0),"INSERT LIKELIHOOD",IF(ABS(AI192)&lt;='Risk Matrices'!$D$22,'Risk Matrices'!$C$21,IF(ABS(AI192)&lt;='Risk Matrices'!$D$19,'Risk Matrices'!$C$18,IF(ABS(AI192)&lt;='Risk Matrices'!$D$16,'Risk Matrices'!$C$15,IF(ABS(AI192)&lt;='Risk Matrices'!$D$13,'Risk Matrices'!$C$12,'Risk Matrices'!$C$10)))))</f>
        <v>Moderate</v>
      </c>
      <c r="AQ192" s="112" t="str">
        <f>IF(OR(ISBLANK(AK192),AK192=0),"None",IF(ABS(AK192)&lt;='Risk Matrices'!$E$7,'Risk Matrices'!$E$5,IF(ABS(AK192)&lt;='Risk Matrices'!$G$7,'Risk Matrices'!$G$5,IF(ABS(AK192)&lt;='Risk Matrices'!$H$7,'Risk Matrices'!$H$5,'Risk Matrices'!$I$5))))</f>
        <v>Negligible</v>
      </c>
      <c r="AR192" s="112" t="str">
        <f>IF(AN192="","",IF(ABS(AN192)&lt;='Risk Matrices'!$E$8,"Negligible",IF(ABS(AN192)&lt;='Risk Matrices'!$F$8,"Marginal",IF(ABS(AN192)&lt;='Risk Matrices'!$G$8,"Significant",IF(ABS(AN192)&lt;='Risk Matrices'!$H$8,"Critical","Crisis")))))</f>
        <v>Marginal</v>
      </c>
      <c r="AS192" s="103" t="s">
        <v>207</v>
      </c>
      <c r="AT192" s="298">
        <f>IF(OR(ISBLANK(AI192),AI192=0),0,VLOOKUP(AP192,'Risk Matrices'!$B$30:$C$34,2,0))</f>
        <v>3</v>
      </c>
      <c r="AU192" s="298">
        <f>IF(OR(ISBLANK(AK192),AK192=0),0,HLOOKUP(AQ192,'Risk Matrices'!$D$28:$H$29,2,0))</f>
        <v>1</v>
      </c>
      <c r="AV192" s="298">
        <f>IF(OR(ISBLANK(AR192),AR192=0),0,HLOOKUP(AR192,'Risk Matrices'!$D$28:$H$29,2,0))</f>
        <v>2</v>
      </c>
      <c r="AW192" s="298">
        <f>IF(OR(ISBLANK(AS192),AS192=0),0,HLOOKUP(AS192,'Risk Matrices'!$D$28:$H$29,2,0))</f>
        <v>1</v>
      </c>
      <c r="AX192" s="106">
        <f t="shared" si="163"/>
        <v>2</v>
      </c>
      <c r="AY192" s="106">
        <f t="shared" si="164"/>
        <v>6</v>
      </c>
      <c r="AZ192" s="107" t="str">
        <f>IF(B192="Retired","Retired",IF(OR(ISBLANK(AY192),AY192=0),"TBD",IF(AY192&lt;='Risk Matrices'!$D$40,'Risk Matrices'!$B$40,IF(AY192&lt;='Risk Matrices'!$D$39,'Risk Matrices'!$B$39,'Risk Matrices'!$B$38))))</f>
        <v>Low</v>
      </c>
      <c r="BA192" s="112"/>
      <c r="BB192" s="104" t="s">
        <v>1309</v>
      </c>
      <c r="BC192" s="109">
        <f t="shared" si="165"/>
        <v>75</v>
      </c>
      <c r="BD192" s="929">
        <v>45320</v>
      </c>
      <c r="BE192" s="114"/>
      <c r="BF192" s="115"/>
      <c r="BG192" s="115"/>
      <c r="BH192" s="104"/>
      <c r="BI192" s="115"/>
      <c r="BJ192" s="874">
        <f t="shared" si="179"/>
        <v>76.899999999999991</v>
      </c>
      <c r="BK192" s="101"/>
      <c r="BL192" s="101"/>
      <c r="BM192" s="116">
        <v>44012</v>
      </c>
      <c r="BN192" s="330">
        <v>44134</v>
      </c>
      <c r="BO192" s="332"/>
      <c r="BP192" s="94">
        <f t="shared" si="166"/>
        <v>75.949999999999989</v>
      </c>
      <c r="BQ192" s="97" t="str">
        <f t="shared" si="167"/>
        <v>110 - 250 - 409</v>
      </c>
      <c r="BR192" s="97" t="str">
        <f t="shared" si="168"/>
        <v>0 - 6 - 6</v>
      </c>
      <c r="BS192" s="715">
        <f t="shared" si="169"/>
        <v>76.899999999999991</v>
      </c>
      <c r="BT192" s="736">
        <f t="shared" si="170"/>
        <v>1.2</v>
      </c>
      <c r="BU192" s="735" t="s">
        <v>1310</v>
      </c>
      <c r="BV192" s="873">
        <v>45382</v>
      </c>
      <c r="BW192">
        <f t="shared" si="180"/>
        <v>1248</v>
      </c>
    </row>
    <row r="193" spans="2:75" customFormat="1" ht="60" hidden="1" x14ac:dyDescent="0.2">
      <c r="B193" s="101" t="str">
        <f t="shared" si="150"/>
        <v>Active</v>
      </c>
      <c r="C193" s="790" t="s">
        <v>1311</v>
      </c>
      <c r="D193" s="101" t="s">
        <v>151</v>
      </c>
      <c r="E193" s="120" t="s">
        <v>1272</v>
      </c>
      <c r="F193" s="161" t="s">
        <v>124</v>
      </c>
      <c r="G193" s="157" t="s">
        <v>1289</v>
      </c>
      <c r="H193" s="120" t="str">
        <f t="shared" si="162"/>
        <v>RT-6-009-004</v>
      </c>
      <c r="I193" s="157" t="s">
        <v>1289</v>
      </c>
      <c r="J193" s="161" t="s">
        <v>1275</v>
      </c>
      <c r="K193" s="103" t="s">
        <v>1312</v>
      </c>
      <c r="L193" s="104" t="s">
        <v>1313</v>
      </c>
      <c r="M193" s="815" t="s">
        <v>141</v>
      </c>
      <c r="N193" s="105">
        <v>800</v>
      </c>
      <c r="O193" s="106" t="str" cm="1">
        <f t="array" ref="O193">_xlfn.IFS(N193="","",ABS(N193)&lt;='Risk Matrices'!$E$7,'Risk Matrices'!$E$5,ABS(N193)&lt;='Risk Matrices'!$F$7,'Risk Matrices'!$F$5,ABS(N193)&lt;='Risk Matrices'!$G$7,'Risk Matrices'!$G$5,ABS(N193)&lt;='Risk Matrices'!$H$7,'Risk Matrices'!$H$5,ABS(N193)&gt;'Risk Matrices'!$H$7,'Risk Matrices'!$I$5)</f>
        <v>Marginal</v>
      </c>
      <c r="P193" s="106">
        <v>6</v>
      </c>
      <c r="Q193" s="101" t="str" cm="1">
        <f t="array" ref="Q193">_xlfn.IFS(P193="","",ABS(P193)&lt;='Risk Matrices'!$E$8,'Risk Matrices'!$E$5,ABS(P193)&lt;='Risk Matrices'!$F$8,'Risk Matrices'!$F$5,ABS(P193)&lt;='Risk Matrices'!$G$8,'Risk Matrices'!$G$5,ABS(P193)&lt;='Risk Matrices'!$H$8,'Risk Matrices'!$H$5,ABS(P193)&gt;'Risk Matrices'!$H$8,'Risk Matrices'!$I$5)</f>
        <v>Marginal</v>
      </c>
      <c r="R193" s="102" t="s">
        <v>207</v>
      </c>
      <c r="S193" s="106">
        <f t="shared" si="171"/>
        <v>3</v>
      </c>
      <c r="T193" s="106" cm="1">
        <f t="array" ref="T193">_xlfn.IFS(O193='Risk Matrices'!$D$28,'Risk Matrices'!$D$29,O193='Risk Matrices'!$E$28,'Risk Matrices'!$E$29,O193='Risk Matrices'!$F$28,'Risk Matrices'!$F$29,O193='Risk Matrices'!$G$28,'Risk Matrices'!$G$29,O193='Risk Matrices'!$H$28,'Risk Matrices'!$H$29)</f>
        <v>2</v>
      </c>
      <c r="U193" s="106">
        <f t="shared" si="172"/>
        <v>2</v>
      </c>
      <c r="V193" s="106">
        <f t="shared" si="173"/>
        <v>1</v>
      </c>
      <c r="W193" s="106">
        <f t="shared" si="174"/>
        <v>2</v>
      </c>
      <c r="X193" s="106">
        <f t="shared" si="175"/>
        <v>6</v>
      </c>
      <c r="Y193" s="107" t="str">
        <f t="shared" si="176"/>
        <v>Low</v>
      </c>
      <c r="Z193" s="104"/>
      <c r="AA193" s="108">
        <f t="shared" si="177"/>
        <v>0.32</v>
      </c>
      <c r="AB193" s="109">
        <f t="shared" si="178"/>
        <v>256</v>
      </c>
      <c r="AC193" s="109" t="s">
        <v>155</v>
      </c>
      <c r="AD193" s="104" t="s">
        <v>1314</v>
      </c>
      <c r="AE193" s="104"/>
      <c r="AF193" s="101" t="s">
        <v>134</v>
      </c>
      <c r="AG193" s="101"/>
      <c r="AH193" s="101" t="s">
        <v>1315</v>
      </c>
      <c r="AI193" s="112">
        <v>0.2</v>
      </c>
      <c r="AJ193" s="106">
        <v>110</v>
      </c>
      <c r="AK193" s="106">
        <v>250</v>
      </c>
      <c r="AL193" s="106">
        <v>409</v>
      </c>
      <c r="AM193" s="106">
        <v>3</v>
      </c>
      <c r="AN193" s="106">
        <v>6</v>
      </c>
      <c r="AO193" s="106">
        <v>12</v>
      </c>
      <c r="AP193" s="112" t="str">
        <f>IF(OR(ISBLANK(AI193),AI193=0),"INSERT LIKELIHOOD",IF(ABS(AI193)&lt;='Risk Matrices'!$D$22,'Risk Matrices'!$C$21,IF(ABS(AI193)&lt;='Risk Matrices'!$D$19,'Risk Matrices'!$C$18,IF(ABS(AI193)&lt;='Risk Matrices'!$D$16,'Risk Matrices'!$C$15,IF(ABS(AI193)&lt;='Risk Matrices'!$D$13,'Risk Matrices'!$C$12,'Risk Matrices'!$C$10)))))</f>
        <v>Low</v>
      </c>
      <c r="AQ193" s="112" t="str">
        <f>IF(OR(ISBLANK(AK193),AK193=0),"None",IF(ABS(AK193)&lt;='Risk Matrices'!$E$7,'Risk Matrices'!$E$5,IF(ABS(AK193)&lt;='Risk Matrices'!$G$7,'Risk Matrices'!$G$5,IF(ABS(AK193)&lt;='Risk Matrices'!$H$7,'Risk Matrices'!$H$5,'Risk Matrices'!$I$5))))</f>
        <v>Negligible</v>
      </c>
      <c r="AR193" s="112" t="str">
        <f>IF(AN193="","",IF(ABS(AN193)&lt;='Risk Matrices'!$E$8,"Negligible",IF(ABS(AN193)&lt;='Risk Matrices'!$F$8,"Marginal",IF(ABS(AN193)&lt;='Risk Matrices'!$G$8,"Significant",IF(ABS(AN193)&lt;='Risk Matrices'!$H$8,"Critical","Crisis")))))</f>
        <v>Marginal</v>
      </c>
      <c r="AS193" s="103" t="s">
        <v>207</v>
      </c>
      <c r="AT193" s="298">
        <f>IF(OR(ISBLANK(AI193),AI193=0),0,VLOOKUP(AP193,'Risk Matrices'!$B$30:$C$34,2,0))</f>
        <v>2</v>
      </c>
      <c r="AU193" s="298">
        <f>IF(OR(ISBLANK(AK193),AK193=0),0,HLOOKUP(AQ193,'Risk Matrices'!$D$28:$H$29,2,0))</f>
        <v>1</v>
      </c>
      <c r="AV193" s="298">
        <f>IF(OR(ISBLANK(AR193),AR193=0),0,HLOOKUP(AR193,'Risk Matrices'!$D$28:$H$29,2,0))</f>
        <v>2</v>
      </c>
      <c r="AW193" s="298">
        <f>IF(OR(ISBLANK(AS193),AS193=0),0,HLOOKUP(AS193,'Risk Matrices'!$D$28:$H$29,2,0))</f>
        <v>1</v>
      </c>
      <c r="AX193" s="106">
        <f t="shared" si="163"/>
        <v>2</v>
      </c>
      <c r="AY193" s="106">
        <f t="shared" si="164"/>
        <v>4</v>
      </c>
      <c r="AZ193" s="107" t="str">
        <f>IF(B193="Retired","Retired",IF(OR(ISBLANK(AY193),AY193=0),"TBD",IF(AY193&lt;='Risk Matrices'!$D$40,'Risk Matrices'!$B$40,IF(AY193&lt;='Risk Matrices'!$D$39,'Risk Matrices'!$B$39,'Risk Matrices'!$B$38))))</f>
        <v>Low</v>
      </c>
      <c r="BA193" s="112"/>
      <c r="BB193" s="104" t="s">
        <v>1309</v>
      </c>
      <c r="BC193" s="109">
        <f t="shared" si="165"/>
        <v>50</v>
      </c>
      <c r="BD193" s="185">
        <v>45330</v>
      </c>
      <c r="BE193" s="114"/>
      <c r="BF193" s="188"/>
      <c r="BG193" s="115"/>
      <c r="BH193" s="115"/>
      <c r="BI193" s="115"/>
      <c r="BJ193" s="874">
        <f t="shared" si="179"/>
        <v>51.266666666666666</v>
      </c>
      <c r="BK193" s="101"/>
      <c r="BL193" s="101"/>
      <c r="BM193" s="116">
        <v>44012</v>
      </c>
      <c r="BN193" s="330">
        <v>44134</v>
      </c>
      <c r="BO193" s="332"/>
      <c r="BP193" s="94">
        <f t="shared" si="166"/>
        <v>50.633333333333333</v>
      </c>
      <c r="BQ193" s="97" t="str">
        <f t="shared" si="167"/>
        <v>110 - 250 - 409</v>
      </c>
      <c r="BR193" s="97" t="str">
        <f t="shared" si="168"/>
        <v>3 - 6 - 12</v>
      </c>
      <c r="BS193" s="715">
        <f t="shared" si="169"/>
        <v>51.266666666666666</v>
      </c>
      <c r="BT193" s="736">
        <f t="shared" si="170"/>
        <v>1.4000000000000001</v>
      </c>
      <c r="BU193" s="735" t="s">
        <v>1316</v>
      </c>
      <c r="BV193" s="873">
        <v>45382</v>
      </c>
      <c r="BW193">
        <f t="shared" si="180"/>
        <v>1248</v>
      </c>
    </row>
    <row r="194" spans="2:75" customFormat="1" ht="135" hidden="1" x14ac:dyDescent="0.2">
      <c r="B194" s="101" t="str">
        <f t="shared" si="150"/>
        <v>Active</v>
      </c>
      <c r="C194" s="790" t="s">
        <v>1317</v>
      </c>
      <c r="D194" s="101" t="s">
        <v>151</v>
      </c>
      <c r="E194" s="120" t="s">
        <v>1272</v>
      </c>
      <c r="F194" s="161" t="s">
        <v>580</v>
      </c>
      <c r="G194" s="157" t="s">
        <v>1289</v>
      </c>
      <c r="H194" s="120" t="str">
        <f t="shared" si="162"/>
        <v>RT-6-009-005</v>
      </c>
      <c r="I194" s="157" t="s">
        <v>1289</v>
      </c>
      <c r="J194" s="161" t="s">
        <v>1275</v>
      </c>
      <c r="K194" s="101" t="s">
        <v>1318</v>
      </c>
      <c r="L194" s="138" t="s">
        <v>1319</v>
      </c>
      <c r="M194" s="898" t="s">
        <v>141</v>
      </c>
      <c r="N194" s="105">
        <v>4152</v>
      </c>
      <c r="O194" s="106" t="str" cm="1">
        <f t="array" ref="O194">_xlfn.IFS(N194="","",ABS(N194)&lt;='Risk Matrices'!$E$7,'Risk Matrices'!$E$5,ABS(N194)&lt;='Risk Matrices'!$F$7,'Risk Matrices'!$F$5,ABS(N194)&lt;='Risk Matrices'!$G$7,'Risk Matrices'!$G$5,ABS(N194)&lt;='Risk Matrices'!$H$7,'Risk Matrices'!$H$5,ABS(N194)&gt;'Risk Matrices'!$H$7,'Risk Matrices'!$I$5)</f>
        <v>Significant</v>
      </c>
      <c r="P194" s="106">
        <v>9</v>
      </c>
      <c r="Q194" s="101" t="str" cm="1">
        <f t="array" ref="Q194">_xlfn.IFS(P194="","",ABS(P194)&lt;='Risk Matrices'!$E$8,'Risk Matrices'!$E$5,ABS(P194)&lt;='Risk Matrices'!$F$8,'Risk Matrices'!$F$5,ABS(P194)&lt;='Risk Matrices'!$G$8,'Risk Matrices'!$G$5,ABS(P194)&lt;='Risk Matrices'!$H$8,'Risk Matrices'!$H$5,ABS(P194)&gt;'Risk Matrices'!$H$8,'Risk Matrices'!$I$5)</f>
        <v>Significant</v>
      </c>
      <c r="R194" s="102" t="s">
        <v>207</v>
      </c>
      <c r="S194" s="140">
        <f t="shared" si="171"/>
        <v>3</v>
      </c>
      <c r="T194" s="106" cm="1">
        <f t="array" ref="T194">_xlfn.IFS(O194='Risk Matrices'!$D$28,'Risk Matrices'!$D$29,O194='Risk Matrices'!$E$28,'Risk Matrices'!$E$29,O194='Risk Matrices'!$F$28,'Risk Matrices'!$F$29,O194='Risk Matrices'!$G$28,'Risk Matrices'!$G$29,O194='Risk Matrices'!$H$28,'Risk Matrices'!$H$29)</f>
        <v>3</v>
      </c>
      <c r="U194" s="106">
        <f t="shared" si="172"/>
        <v>3</v>
      </c>
      <c r="V194" s="106">
        <f t="shared" si="173"/>
        <v>1</v>
      </c>
      <c r="W194" s="106">
        <f t="shared" si="174"/>
        <v>3</v>
      </c>
      <c r="X194" s="140">
        <f t="shared" si="175"/>
        <v>9</v>
      </c>
      <c r="Y194" s="107" t="str">
        <f t="shared" si="176"/>
        <v>Moderate</v>
      </c>
      <c r="Z194" s="104" t="s">
        <v>1320</v>
      </c>
      <c r="AA194" s="184">
        <f t="shared" si="177"/>
        <v>0.32</v>
      </c>
      <c r="AB194" s="180">
        <f t="shared" si="178"/>
        <v>1328.64</v>
      </c>
      <c r="AC194" s="180" t="s">
        <v>155</v>
      </c>
      <c r="AD194" s="104" t="s">
        <v>1321</v>
      </c>
      <c r="AE194" s="104"/>
      <c r="AF194" s="101" t="s">
        <v>1322</v>
      </c>
      <c r="AG194" s="101"/>
      <c r="AH194" s="101" t="s">
        <v>1323</v>
      </c>
      <c r="AI194" s="112">
        <v>0.1</v>
      </c>
      <c r="AJ194" s="101">
        <v>400</v>
      </c>
      <c r="AK194" s="101">
        <v>1000</v>
      </c>
      <c r="AL194" s="101">
        <v>4000</v>
      </c>
      <c r="AM194" s="101">
        <v>3</v>
      </c>
      <c r="AN194" s="101">
        <v>9</v>
      </c>
      <c r="AO194" s="101">
        <v>18</v>
      </c>
      <c r="AP194" s="112" t="str">
        <f>IF(OR(ISBLANK(AI194),AI194=0),"INSERT LIKELIHOOD",IF(ABS(AI194)&lt;='Risk Matrices'!$D$22,'Risk Matrices'!$C$21,IF(ABS(AI194)&lt;='Risk Matrices'!$D$19,'Risk Matrices'!$C$18,IF(ABS(AI194)&lt;='Risk Matrices'!$D$16,'Risk Matrices'!$C$15,IF(ABS(AI194)&lt;='Risk Matrices'!$D$13,'Risk Matrices'!$C$12,'Risk Matrices'!$C$10)))))</f>
        <v>Very Low</v>
      </c>
      <c r="AQ194" s="112" t="str">
        <f>IF(OR(ISBLANK(AK194),AK194=0),"None",IF(ABS(AK194)&lt;='Risk Matrices'!$E$7,'Risk Matrices'!$E$5,IF(ABS(AK194)&lt;='Risk Matrices'!$G$7,'Risk Matrices'!$G$5,IF(ABS(AK194)&lt;='Risk Matrices'!$H$7,'Risk Matrices'!$H$5,'Risk Matrices'!$I$5))))</f>
        <v>Significant</v>
      </c>
      <c r="AR194" s="112" t="str">
        <f>IF(AN194="","",IF(ABS(AN194)&lt;='Risk Matrices'!$E$8,"Negligible",IF(ABS(AN194)&lt;='Risk Matrices'!$F$8,"Marginal",IF(ABS(AN194)&lt;='Risk Matrices'!$G$8,"Significant",IF(ABS(AN194)&lt;='Risk Matrices'!$H$8,"Critical","Crisis")))))</f>
        <v>Significant</v>
      </c>
      <c r="AS194" s="103" t="s">
        <v>280</v>
      </c>
      <c r="AT194" s="298">
        <f>IF(OR(ISBLANK(AI194),AI194=0),0,VLOOKUP(AP194,'Risk Matrices'!$B$30:$C$34,2,0))</f>
        <v>1</v>
      </c>
      <c r="AU194" s="298">
        <f>IF(OR(ISBLANK(AK194),AK194=0),0,HLOOKUP(AQ194,'Risk Matrices'!$D$28:$H$29,2,0))</f>
        <v>3</v>
      </c>
      <c r="AV194" s="298">
        <f>IF(OR(ISBLANK(AR194),AR194=0),0,HLOOKUP(AR194,'Risk Matrices'!$D$28:$H$29,2,0))</f>
        <v>3</v>
      </c>
      <c r="AW194" s="298">
        <f>IF(OR(ISBLANK(AS194),AS194=0),0,HLOOKUP(AS194,'Risk Matrices'!$D$28:$H$29,2,0))</f>
        <v>2</v>
      </c>
      <c r="AX194" s="106">
        <f t="shared" si="163"/>
        <v>3</v>
      </c>
      <c r="AY194" s="106">
        <f t="shared" si="164"/>
        <v>3</v>
      </c>
      <c r="AZ194" s="107" t="str">
        <f>IF(B194="Retired","Retired",IF(OR(ISBLANK(AY194),AY194=0),"TBD",IF(AY194&lt;='Risk Matrices'!$D$40,'Risk Matrices'!$B$40,IF(AY194&lt;='Risk Matrices'!$D$39,'Risk Matrices'!$B$39,'Risk Matrices'!$B$38))))</f>
        <v>Low</v>
      </c>
      <c r="BA194" s="112"/>
      <c r="BB194" s="104" t="s">
        <v>1324</v>
      </c>
      <c r="BC194" s="109">
        <f t="shared" si="165"/>
        <v>100</v>
      </c>
      <c r="BD194" s="185">
        <v>45330</v>
      </c>
      <c r="BE194" s="114"/>
      <c r="BF194" s="188"/>
      <c r="BG194" s="115"/>
      <c r="BH194" s="115"/>
      <c r="BI194" s="115"/>
      <c r="BJ194" s="874">
        <f t="shared" si="179"/>
        <v>180</v>
      </c>
      <c r="BK194" s="101"/>
      <c r="BL194" s="101"/>
      <c r="BM194" s="116">
        <v>44664</v>
      </c>
      <c r="BN194" s="116">
        <v>44664</v>
      </c>
      <c r="BO194" s="332"/>
      <c r="BP194" s="94">
        <f t="shared" si="166"/>
        <v>140</v>
      </c>
      <c r="BQ194" s="97" t="str">
        <f t="shared" si="167"/>
        <v>400 - 1000 - 4000</v>
      </c>
      <c r="BR194" s="97" t="str">
        <f t="shared" si="168"/>
        <v>3 - 9 - 18</v>
      </c>
      <c r="BS194" s="715">
        <f t="shared" si="169"/>
        <v>180</v>
      </c>
      <c r="BT194" s="736">
        <f t="shared" si="170"/>
        <v>1</v>
      </c>
      <c r="BU194" s="735" t="s">
        <v>1325</v>
      </c>
      <c r="BV194" s="873">
        <v>45382</v>
      </c>
      <c r="BW194">
        <f t="shared" si="180"/>
        <v>718</v>
      </c>
    </row>
    <row r="195" spans="2:75" customFormat="1" ht="68" hidden="1" customHeight="1" x14ac:dyDescent="0.2">
      <c r="B195" s="101" t="str">
        <f t="shared" si="150"/>
        <v>Active</v>
      </c>
      <c r="C195" s="816" t="s">
        <v>1326</v>
      </c>
      <c r="D195" s="691" t="s">
        <v>151</v>
      </c>
      <c r="E195" s="817" t="s">
        <v>1272</v>
      </c>
      <c r="F195" s="161" t="s">
        <v>580</v>
      </c>
      <c r="G195" s="157" t="s">
        <v>1289</v>
      </c>
      <c r="H195" s="120" t="str">
        <f t="shared" si="162"/>
        <v>RT-6-009-006-LLP-CD3A</v>
      </c>
      <c r="I195" s="157" t="s">
        <v>1289</v>
      </c>
      <c r="J195" s="161" t="s">
        <v>1275</v>
      </c>
      <c r="K195" s="101" t="s">
        <v>1327</v>
      </c>
      <c r="L195" s="104" t="s">
        <v>1328</v>
      </c>
      <c r="M195" s="815" t="s">
        <v>129</v>
      </c>
      <c r="N195" s="105">
        <v>2000</v>
      </c>
      <c r="O195" s="106" t="str" cm="1">
        <f t="array" ref="O195">_xlfn.IFS(N195="","",ABS(N195)&lt;='Risk Matrices'!$E$7,'Risk Matrices'!$E$5,ABS(N195)&lt;='Risk Matrices'!$F$7,'Risk Matrices'!$F$5,ABS(N195)&lt;='Risk Matrices'!$G$7,'Risk Matrices'!$G$5,ABS(N195)&lt;='Risk Matrices'!$H$7,'Risk Matrices'!$H$5,ABS(N195)&gt;'Risk Matrices'!$H$7,'Risk Matrices'!$I$5)</f>
        <v>Significant</v>
      </c>
      <c r="P195" s="106">
        <v>12</v>
      </c>
      <c r="Q195" s="101" t="str" cm="1">
        <f t="array" ref="Q195">_xlfn.IFS(P195="","",ABS(P195)&lt;='Risk Matrices'!$E$8,'Risk Matrices'!$E$5,ABS(P195)&lt;='Risk Matrices'!$F$8,'Risk Matrices'!$F$5,ABS(P195)&lt;='Risk Matrices'!$G$8,'Risk Matrices'!$G$5,ABS(P195)&lt;='Risk Matrices'!$H$8,'Risk Matrices'!$H$5,ABS(P195)&gt;'Risk Matrices'!$H$8,'Risk Matrices'!$I$5)</f>
        <v>Significant</v>
      </c>
      <c r="R195" s="101" t="s">
        <v>130</v>
      </c>
      <c r="S195" s="106">
        <f t="shared" si="171"/>
        <v>4</v>
      </c>
      <c r="T195" s="106" cm="1">
        <f t="array" ref="T195">_xlfn.IFS(O195='Risk Matrices'!$D$28,'Risk Matrices'!$D$29,O195='Risk Matrices'!$E$28,'Risk Matrices'!$E$29,O195='Risk Matrices'!$F$28,'Risk Matrices'!$F$29,O195='Risk Matrices'!$G$28,'Risk Matrices'!$G$29,O195='Risk Matrices'!$H$28,'Risk Matrices'!$H$29)</f>
        <v>3</v>
      </c>
      <c r="U195" s="106">
        <f t="shared" si="172"/>
        <v>3</v>
      </c>
      <c r="V195" s="106">
        <f t="shared" si="173"/>
        <v>0</v>
      </c>
      <c r="W195" s="106">
        <f t="shared" si="174"/>
        <v>3</v>
      </c>
      <c r="X195" s="106">
        <f t="shared" si="175"/>
        <v>12</v>
      </c>
      <c r="Y195" s="107" t="str">
        <f t="shared" si="176"/>
        <v>Moderate</v>
      </c>
      <c r="Z195" s="104"/>
      <c r="AA195" s="108">
        <f t="shared" si="177"/>
        <v>0.52</v>
      </c>
      <c r="AB195" s="109">
        <f t="shared" si="178"/>
        <v>1040</v>
      </c>
      <c r="AC195" s="180" t="s">
        <v>155</v>
      </c>
      <c r="AD195" s="104" t="s">
        <v>1329</v>
      </c>
      <c r="AE195" s="104"/>
      <c r="AF195" s="116" t="s">
        <v>167</v>
      </c>
      <c r="AG195" s="116"/>
      <c r="AH195" s="101" t="s">
        <v>1300</v>
      </c>
      <c r="AI195" s="160">
        <v>0.3</v>
      </c>
      <c r="AJ195" s="101">
        <v>750</v>
      </c>
      <c r="AK195" s="101">
        <v>1400</v>
      </c>
      <c r="AL195" s="101">
        <v>2800</v>
      </c>
      <c r="AM195" s="101">
        <v>1</v>
      </c>
      <c r="AN195" s="101">
        <v>3</v>
      </c>
      <c r="AO195" s="101">
        <v>6</v>
      </c>
      <c r="AP195" s="112" t="str">
        <f>IF(OR(ISBLANK(AI195),AI195=0),"INSERT LIKELIHOOD",IF(ABS(AI195)&lt;='Risk Matrices'!$D$22,'Risk Matrices'!$C$21,IF(ABS(AI195)&lt;='Risk Matrices'!$D$19,'Risk Matrices'!$C$18,IF(ABS(AI195)&lt;='Risk Matrices'!$D$16,'Risk Matrices'!$C$15,IF(ABS(AI195)&lt;='Risk Matrices'!$D$13,'Risk Matrices'!$C$12,'Risk Matrices'!$C$10)))))</f>
        <v>Moderate</v>
      </c>
      <c r="AQ195" s="112" t="str">
        <f>IF(OR(ISBLANK(AK195),AK195=0),"None",IF(ABS(AK195)&lt;='Risk Matrices'!$E$7,'Risk Matrices'!$E$5,IF(ABS(AK195)&lt;='Risk Matrices'!$G$7,'Risk Matrices'!$G$5,IF(ABS(AK195)&lt;='Risk Matrices'!$H$7,'Risk Matrices'!$H$5,'Risk Matrices'!$I$5))))</f>
        <v>Significant</v>
      </c>
      <c r="AR195" s="112" t="str">
        <f>IF(AN195="","",IF(ABS(AN195)&lt;='Risk Matrices'!$E$8,"Negligible",IF(ABS(AN195)&lt;='Risk Matrices'!$F$8,"Marginal",IF(ABS(AN195)&lt;='Risk Matrices'!$G$8,"Significant",IF(ABS(AN195)&lt;='Risk Matrices'!$H$8,"Critical","Crisis")))))</f>
        <v>Negligible</v>
      </c>
      <c r="AS195" s="103" t="s">
        <v>130</v>
      </c>
      <c r="AT195" s="298">
        <f>IF(OR(ISBLANK(AI195),AI195=0),0,VLOOKUP(AP195,'Risk Matrices'!$B$30:$C$34,2,0))</f>
        <v>3</v>
      </c>
      <c r="AU195" s="298">
        <f>IF(OR(ISBLANK(AK195),AK195=0),0,HLOOKUP(AQ195,'Risk Matrices'!$D$28:$H$29,2,0))</f>
        <v>3</v>
      </c>
      <c r="AV195" s="298">
        <f>IF(OR(ISBLANK(AR195),AR195=0),0,HLOOKUP(AR195,'Risk Matrices'!$D$28:$H$29,2,0))</f>
        <v>1</v>
      </c>
      <c r="AW195" s="298">
        <f>IF(AS195="None",0,HLOOKUP(AS195,'Risk Matrices'!$D$28:$H$29,2,0))</f>
        <v>0</v>
      </c>
      <c r="AX195" s="106">
        <f t="shared" si="163"/>
        <v>3</v>
      </c>
      <c r="AY195" s="106">
        <f t="shared" si="164"/>
        <v>9</v>
      </c>
      <c r="AZ195" s="107" t="str">
        <f>IF(B195="Retired","Retired",IF(OR(ISBLANK(AY195),AY195=0),"TBD",IF(AY195&lt;='Risk Matrices'!$D$40,'Risk Matrices'!$B$40,IF(AY195&lt;='Risk Matrices'!$D$39,'Risk Matrices'!$B$39,'Risk Matrices'!$B$38))))</f>
        <v>Moderate</v>
      </c>
      <c r="BA195" s="112"/>
      <c r="BB195" s="104" t="s">
        <v>1330</v>
      </c>
      <c r="BC195" s="109">
        <f t="shared" si="165"/>
        <v>420</v>
      </c>
      <c r="BD195" s="185">
        <v>45518</v>
      </c>
      <c r="BE195" s="114"/>
      <c r="BF195" s="188"/>
      <c r="BG195" s="115"/>
      <c r="BH195" s="115"/>
      <c r="BI195" s="115"/>
      <c r="BJ195" s="874">
        <f t="shared" si="179"/>
        <v>495</v>
      </c>
      <c r="BK195" s="101"/>
      <c r="BL195" s="101"/>
      <c r="BM195" s="116">
        <v>45174</v>
      </c>
      <c r="BN195" s="116">
        <v>45174</v>
      </c>
      <c r="BO195" s="332"/>
      <c r="BP195" s="94">
        <f t="shared" si="166"/>
        <v>457.5</v>
      </c>
      <c r="BQ195" s="97" t="str">
        <f t="shared" si="167"/>
        <v>750 - 1400 - 2800</v>
      </c>
      <c r="BR195" s="97" t="str">
        <f t="shared" si="168"/>
        <v>1 - 3 - 6</v>
      </c>
      <c r="BS195" s="715">
        <f t="shared" si="169"/>
        <v>495</v>
      </c>
      <c r="BT195" s="736">
        <f t="shared" si="170"/>
        <v>1</v>
      </c>
      <c r="BU195" s="735"/>
      <c r="BV195" s="873">
        <v>45382</v>
      </c>
      <c r="BW195">
        <f t="shared" si="180"/>
        <v>208</v>
      </c>
    </row>
    <row r="196" spans="2:75" customFormat="1" ht="68" hidden="1" customHeight="1" x14ac:dyDescent="0.2">
      <c r="B196" s="101" t="str">
        <f t="shared" si="150"/>
        <v>Active</v>
      </c>
      <c r="C196" s="790" t="s">
        <v>1331</v>
      </c>
      <c r="D196" s="101" t="s">
        <v>151</v>
      </c>
      <c r="E196" s="120" t="s">
        <v>1272</v>
      </c>
      <c r="F196" s="161" t="s">
        <v>580</v>
      </c>
      <c r="G196" s="157" t="s">
        <v>1289</v>
      </c>
      <c r="H196" s="120" t="str">
        <f t="shared" si="162"/>
        <v>RT-6-009-007-LLP-CD3A</v>
      </c>
      <c r="I196" s="157" t="s">
        <v>1289</v>
      </c>
      <c r="J196" s="161" t="s">
        <v>1275</v>
      </c>
      <c r="K196" s="101" t="s">
        <v>1332</v>
      </c>
      <c r="L196" s="104" t="s">
        <v>1333</v>
      </c>
      <c r="M196" s="899" t="s">
        <v>164</v>
      </c>
      <c r="N196" s="105">
        <v>140</v>
      </c>
      <c r="O196" s="106" t="str" cm="1">
        <f t="array" ref="O196">_xlfn.IFS(N196="","",ABS(N196)&lt;='Risk Matrices'!$E$7,'Risk Matrices'!$E$5,ABS(N196)&lt;='Risk Matrices'!$F$7,'Risk Matrices'!$F$5,ABS(N196)&lt;='Risk Matrices'!$G$7,'Risk Matrices'!$G$5,ABS(N196)&lt;='Risk Matrices'!$H$7,'Risk Matrices'!$H$5,ABS(N196)&gt;'Risk Matrices'!$H$7,'Risk Matrices'!$I$5)</f>
        <v>Negligible</v>
      </c>
      <c r="P196" s="106">
        <v>0</v>
      </c>
      <c r="Q196" s="101" t="str" cm="1">
        <f t="array" ref="Q196">_xlfn.IFS(P196="","",ABS(P196)&lt;='Risk Matrices'!$E$8,'Risk Matrices'!$E$5,ABS(P196)&lt;='Risk Matrices'!$F$8,'Risk Matrices'!$F$5,ABS(P196)&lt;='Risk Matrices'!$G$8,'Risk Matrices'!$G$5,ABS(P196)&lt;='Risk Matrices'!$H$8,'Risk Matrices'!$H$5,ABS(P196)&gt;'Risk Matrices'!$H$8,'Risk Matrices'!$I$5)</f>
        <v>Negligible</v>
      </c>
      <c r="R196" s="101" t="s">
        <v>130</v>
      </c>
      <c r="S196" s="106">
        <f t="shared" si="171"/>
        <v>2</v>
      </c>
      <c r="T196" s="106" cm="1">
        <f t="array" ref="T196">_xlfn.IFS(O196='Risk Matrices'!$D$28,'Risk Matrices'!$D$29,O196='Risk Matrices'!$E$28,'Risk Matrices'!$E$29,O196='Risk Matrices'!$F$28,'Risk Matrices'!$F$29,O196='Risk Matrices'!$G$28,'Risk Matrices'!$G$29,O196='Risk Matrices'!$H$28,'Risk Matrices'!$H$29)</f>
        <v>1</v>
      </c>
      <c r="U196" s="106">
        <f t="shared" si="172"/>
        <v>1</v>
      </c>
      <c r="V196" s="106">
        <f t="shared" si="173"/>
        <v>0</v>
      </c>
      <c r="W196" s="106">
        <f t="shared" si="174"/>
        <v>1</v>
      </c>
      <c r="X196" s="106">
        <f t="shared" si="175"/>
        <v>2</v>
      </c>
      <c r="Y196" s="107" t="str">
        <f t="shared" si="176"/>
        <v>Low</v>
      </c>
      <c r="Z196" s="104"/>
      <c r="AA196" s="108">
        <f t="shared" si="177"/>
        <v>0.17</v>
      </c>
      <c r="AB196" s="109">
        <f t="shared" si="178"/>
        <v>23.8</v>
      </c>
      <c r="AC196" s="180" t="s">
        <v>155</v>
      </c>
      <c r="AD196" s="197" t="s">
        <v>1334</v>
      </c>
      <c r="AE196" s="197"/>
      <c r="AF196" s="116" t="s">
        <v>1335</v>
      </c>
      <c r="AG196" s="116"/>
      <c r="AH196" s="101" t="s">
        <v>1336</v>
      </c>
      <c r="AI196" s="160">
        <v>0.1</v>
      </c>
      <c r="AJ196" s="101">
        <v>20</v>
      </c>
      <c r="AK196" s="101">
        <v>120</v>
      </c>
      <c r="AL196" s="101">
        <v>240</v>
      </c>
      <c r="AM196" s="101">
        <v>0</v>
      </c>
      <c r="AN196" s="101">
        <v>0</v>
      </c>
      <c r="AO196" s="101">
        <v>0</v>
      </c>
      <c r="AP196" s="112" t="str">
        <f>IF(OR(ISBLANK(AI196),AI196=0),"INSERT LIKELIHOOD",IF(ABS(AI196)&lt;='Risk Matrices'!$D$22,'Risk Matrices'!$C$21,IF(ABS(AI196)&lt;='Risk Matrices'!$D$19,'Risk Matrices'!$C$18,IF(ABS(AI196)&lt;='Risk Matrices'!$D$16,'Risk Matrices'!$C$15,IF(ABS(AI196)&lt;='Risk Matrices'!$D$13,'Risk Matrices'!$C$12,'Risk Matrices'!$C$10)))))</f>
        <v>Very Low</v>
      </c>
      <c r="AQ196" s="112" t="str">
        <f>IF(OR(ISBLANK(AK196),AK196=0),"None",IF(ABS(AK196)&lt;='Risk Matrices'!$E$7,'Risk Matrices'!$E$5,IF(ABS(AK196)&lt;='Risk Matrices'!$G$7,'Risk Matrices'!$G$5,IF(ABS(AK196)&lt;='Risk Matrices'!$H$7,'Risk Matrices'!$H$5,'Risk Matrices'!$I$5))))</f>
        <v>Negligible</v>
      </c>
      <c r="AR196" s="112" t="str">
        <f>IF(AN196="","",IF(ABS(AN196)&lt;='Risk Matrices'!$E$8,"Negligible",IF(ABS(AN196)&lt;='Risk Matrices'!$F$8,"Marginal",IF(ABS(AN196)&lt;='Risk Matrices'!$G$8,"Significant",IF(ABS(AN196)&lt;='Risk Matrices'!$H$8,"Critical","Crisis")))))</f>
        <v>Negligible</v>
      </c>
      <c r="AS196" s="103" t="s">
        <v>130</v>
      </c>
      <c r="AT196" s="298">
        <f>IF(OR(ISBLANK(AI196),AI196=0),0,VLOOKUP(AP196,'Risk Matrices'!$B$30:$C$34,2,0))</f>
        <v>1</v>
      </c>
      <c r="AU196" s="298">
        <f>IF(OR(ISBLANK(AK196),AK196=0),0,HLOOKUP(AQ196,'Risk Matrices'!$D$28:$H$29,2,0))</f>
        <v>1</v>
      </c>
      <c r="AV196" s="298">
        <f>IF(OR(ISBLANK(AR196),AR196=0),0,HLOOKUP(AR196,'Risk Matrices'!$D$28:$H$29,2,0))</f>
        <v>1</v>
      </c>
      <c r="AW196" s="298">
        <f>IF(AS196="None",0,HLOOKUP(AS196,'Risk Matrices'!$D$28:$H$29,2,0))</f>
        <v>0</v>
      </c>
      <c r="AX196" s="106">
        <f t="shared" si="163"/>
        <v>1</v>
      </c>
      <c r="AY196" s="106">
        <f t="shared" si="164"/>
        <v>1</v>
      </c>
      <c r="AZ196" s="107" t="str">
        <f>IF(B196="Retired","Retired",IF(OR(ISBLANK(AY196),AY196=0),"TBD",IF(AY196&lt;='Risk Matrices'!$D$40,'Risk Matrices'!$B$40,IF(AY196&lt;='Risk Matrices'!$D$39,'Risk Matrices'!$B$39,'Risk Matrices'!$B$38))))</f>
        <v>Low</v>
      </c>
      <c r="BA196" s="112"/>
      <c r="BB196" s="807" t="s">
        <v>1337</v>
      </c>
      <c r="BC196" s="109">
        <f t="shared" si="165"/>
        <v>12</v>
      </c>
      <c r="BD196" s="185">
        <v>45518</v>
      </c>
      <c r="BE196" s="114"/>
      <c r="BF196" s="188"/>
      <c r="BG196" s="115"/>
      <c r="BH196" s="115"/>
      <c r="BI196" s="115"/>
      <c r="BJ196" s="874">
        <f t="shared" si="179"/>
        <v>12.666666666666668</v>
      </c>
      <c r="BK196" s="101"/>
      <c r="BL196" s="101"/>
      <c r="BM196" s="116">
        <v>45224</v>
      </c>
      <c r="BN196" s="330">
        <v>45224</v>
      </c>
      <c r="BO196" s="332"/>
      <c r="BP196" s="94">
        <f t="shared" si="166"/>
        <v>12.333333333333334</v>
      </c>
      <c r="BQ196" s="97" t="str">
        <f t="shared" si="167"/>
        <v>20 - 120 - 240</v>
      </c>
      <c r="BR196" s="97" t="str">
        <f t="shared" si="168"/>
        <v>0 - 0 - 0</v>
      </c>
      <c r="BS196" s="715">
        <f t="shared" si="169"/>
        <v>12.666666666666668</v>
      </c>
      <c r="BT196" s="736">
        <f t="shared" si="170"/>
        <v>0</v>
      </c>
      <c r="BU196" s="735"/>
      <c r="BV196" s="873">
        <v>45382</v>
      </c>
      <c r="BW196">
        <f t="shared" si="180"/>
        <v>158</v>
      </c>
    </row>
    <row r="197" spans="2:75" customFormat="1" ht="150" hidden="1" x14ac:dyDescent="0.2">
      <c r="B197" s="101" t="str">
        <f t="shared" si="150"/>
        <v>Retired</v>
      </c>
      <c r="C197" s="110">
        <v>182</v>
      </c>
      <c r="D197" s="101" t="s">
        <v>151</v>
      </c>
      <c r="E197" s="120" t="s">
        <v>1272</v>
      </c>
      <c r="F197" s="102" t="s">
        <v>124</v>
      </c>
      <c r="G197" s="157" t="s">
        <v>1273</v>
      </c>
      <c r="H197" s="157"/>
      <c r="I197" s="106" t="s">
        <v>797</v>
      </c>
      <c r="J197" s="161" t="s">
        <v>1275</v>
      </c>
      <c r="K197" s="101" t="s">
        <v>1338</v>
      </c>
      <c r="L197" s="104" t="s">
        <v>1339</v>
      </c>
      <c r="M197" s="104" t="s">
        <v>164</v>
      </c>
      <c r="N197" s="105">
        <v>2000</v>
      </c>
      <c r="O197" s="106" t="str" cm="1">
        <f t="array" ref="O197">_xlfn.IFS(N197="","",ABS(N197)&lt;='Risk Matrices'!$E$7,'Risk Matrices'!$E$5,ABS(N197)&lt;='Risk Matrices'!$F$7,'Risk Matrices'!$F$5,ABS(N197)&lt;='Risk Matrices'!$G$7,'Risk Matrices'!$G$5,ABS(N197)&lt;='Risk Matrices'!$H$7,'Risk Matrices'!$H$5,ABS(N197)&gt;'Risk Matrices'!$H$7,'Risk Matrices'!$I$5)</f>
        <v>Significant</v>
      </c>
      <c r="P197" s="101">
        <v>0</v>
      </c>
      <c r="Q197" s="104"/>
      <c r="R197" s="104"/>
      <c r="S197" s="101">
        <f t="shared" si="171"/>
        <v>2</v>
      </c>
      <c r="T197" s="106" cm="1">
        <f t="array" ref="T197">_xlfn.IFS(O197='Risk Matrices'!$D$28,'Risk Matrices'!$D$29,O197='Risk Matrices'!$E$28,'Risk Matrices'!$E$29,O197='Risk Matrices'!$F$28,'Risk Matrices'!$F$29,O197='Risk Matrices'!$G$28,'Risk Matrices'!$G$29,O197='Risk Matrices'!$H$28,'Risk Matrices'!$H$29)</f>
        <v>3</v>
      </c>
      <c r="U197" s="106">
        <f t="shared" si="172"/>
        <v>0</v>
      </c>
      <c r="V197" s="106">
        <f>IF(R197="",0,IF(R197="Negligible",1,IF(R197="Marginal",2,IF(R197="Significant",3,IF(R197="Critical",4,IF(R197="Crisis",5))))))</f>
        <v>0</v>
      </c>
      <c r="W197" s="106">
        <f t="shared" si="174"/>
        <v>3</v>
      </c>
      <c r="X197" s="101">
        <f t="shared" si="175"/>
        <v>6</v>
      </c>
      <c r="Y197" s="107" t="str">
        <f t="shared" si="176"/>
        <v>Low</v>
      </c>
      <c r="Z197" s="104"/>
      <c r="AA197" s="108">
        <f t="shared" si="177"/>
        <v>0.17</v>
      </c>
      <c r="AB197" s="109">
        <f t="shared" si="178"/>
        <v>340</v>
      </c>
      <c r="AC197" s="109" t="s">
        <v>155</v>
      </c>
      <c r="AD197" s="104" t="s">
        <v>1340</v>
      </c>
      <c r="AE197" s="104"/>
      <c r="AF197" s="104"/>
      <c r="AG197" s="104"/>
      <c r="AH197" s="104"/>
      <c r="AI197" s="112"/>
      <c r="AJ197" s="105"/>
      <c r="AK197" s="105"/>
      <c r="AL197" s="105"/>
      <c r="AM197" s="106"/>
      <c r="AN197" s="106"/>
      <c r="AO197" s="106"/>
      <c r="AP197" s="112" t="str">
        <f>IF(OR(ISBLANK(AI197),AI197=0),"INSERT LIKELIHOOD",IF(ABS(AI197)&lt;='Risk Matrices'!$D$22,'Risk Matrices'!$C$21,IF(ABS(AI197)&lt;='Risk Matrices'!$D$19,'Risk Matrices'!$C$18,IF(ABS(AI197)&lt;='Risk Matrices'!$D$16,'Risk Matrices'!$C$15,IF(ABS(AI197)&lt;='Risk Matrices'!$D$13,'Risk Matrices'!$C$12,'Risk Matrices'!$C$10)))))</f>
        <v>INSERT LIKELIHOOD</v>
      </c>
      <c r="AQ197" s="112" t="str">
        <f>IF(OR(ISBLANK(AK197),AK197=0),"None",IF(ABS(AK197)&lt;='Risk Matrices'!$E$7,'Risk Matrices'!$E$5,IF(ABS(AK197)&lt;='Risk Matrices'!$G$7,'Risk Matrices'!$G$5,IF(ABS(AK197)&lt;='Risk Matrices'!$H$7,'Risk Matrices'!$H$5,'Risk Matrices'!$I$5))))</f>
        <v>None</v>
      </c>
      <c r="AR197" s="112" t="str">
        <f>IF(AN197="","",IF(ABS(AN197)&lt;='Risk Matrices'!$E$8,"Negligible",IF(ABS(AN197)&lt;='Risk Matrices'!$F$8,"Marginal",IF(ABS(AN197)&lt;='Risk Matrices'!$G$8,"Significant",IF(ABS(AN197)&lt;='Risk Matrices'!$H$8,"Critical","Crisis")))))</f>
        <v/>
      </c>
      <c r="AS197" s="103" t="s">
        <v>130</v>
      </c>
      <c r="AT197" s="298">
        <f>IF(OR(ISBLANK(AI197),AI197=0),0,VLOOKUP(AP197,'Risk Matrices'!$B$30:$C$34,2,0))</f>
        <v>0</v>
      </c>
      <c r="AU197" s="298">
        <f>IF(OR(ISBLANK(AK197),AK197=0),0,HLOOKUP(AQ197,'Risk Matrices'!$D$28:$H$29,2,0))</f>
        <v>0</v>
      </c>
      <c r="AV197" s="298" t="e">
        <f>IF(OR(ISBLANK(AR197),AR197=0),0,HLOOKUP(AR197,'Risk Matrices'!$D$28:$H$29,2,0))</f>
        <v>#N/A</v>
      </c>
      <c r="AW197" s="298">
        <f>IF(AS197="None",0,HLOOKUP(AS197,'Risk Matrices'!$D$28:$H$29,2,0))</f>
        <v>0</v>
      </c>
      <c r="AX197" s="106" t="e">
        <f t="shared" si="163"/>
        <v>#N/A</v>
      </c>
      <c r="AY197" s="106" t="e">
        <f t="shared" si="164"/>
        <v>#N/A</v>
      </c>
      <c r="AZ197" s="107" t="str">
        <f>IF(B197="Retired","Retired",IF(OR(ISBLANK(AY197),AY197=0),"TBD",IF(AY197&lt;='Risk Matrices'!$D$40,'Risk Matrices'!$B$40,IF(AY197&lt;='Risk Matrices'!$D$39,'Risk Matrices'!$B$39,'Risk Matrices'!$B$38))))</f>
        <v>Retired</v>
      </c>
      <c r="BA197" s="112"/>
      <c r="BB197" s="113"/>
      <c r="BC197" s="109" t="str">
        <f t="shared" si="165"/>
        <v>Retired</v>
      </c>
      <c r="BD197" s="113"/>
      <c r="BE197" s="114"/>
      <c r="BF197" s="104"/>
      <c r="BG197" s="924" t="s">
        <v>1341</v>
      </c>
      <c r="BH197" s="115"/>
      <c r="BI197" s="115"/>
      <c r="BJ197" s="874">
        <f t="shared" si="179"/>
        <v>0</v>
      </c>
      <c r="BK197" s="101" t="s">
        <v>311</v>
      </c>
      <c r="BL197" s="116">
        <v>44642</v>
      </c>
      <c r="BM197" s="116">
        <v>44012</v>
      </c>
      <c r="BN197" s="330">
        <v>44134</v>
      </c>
      <c r="BO197" s="333" t="s">
        <v>1342</v>
      </c>
      <c r="BP197" s="94">
        <f>AI197*((2*AJ197+4*AK197+2*AL197)/6)</f>
        <v>0</v>
      </c>
      <c r="BQ197" s="97" t="str">
        <f t="shared" si="167"/>
        <v xml:space="preserve"> -  - </v>
      </c>
      <c r="BR197" s="97" t="str">
        <f t="shared" si="168"/>
        <v xml:space="preserve"> -  - </v>
      </c>
      <c r="BS197" s="715">
        <f t="shared" si="169"/>
        <v>0</v>
      </c>
      <c r="BT197" s="736">
        <f t="shared" si="170"/>
        <v>0</v>
      </c>
      <c r="BU197" s="735" t="s">
        <v>1343</v>
      </c>
      <c r="BV197" s="873"/>
    </row>
    <row r="198" spans="2:75" customFormat="1" ht="75" hidden="1" x14ac:dyDescent="0.2">
      <c r="B198" s="101" t="s">
        <v>803</v>
      </c>
      <c r="C198" s="814" t="s">
        <v>1344</v>
      </c>
      <c r="D198" s="118" t="s">
        <v>122</v>
      </c>
      <c r="E198" s="691" t="s">
        <v>1345</v>
      </c>
      <c r="F198" s="102" t="s">
        <v>124</v>
      </c>
      <c r="G198" s="106" t="s">
        <v>1346</v>
      </c>
      <c r="H198" s="103" t="str">
        <f t="shared" ref="H198:H205" si="181">C198</f>
        <v>RO-6-010-001-LLP-CD3A</v>
      </c>
      <c r="I198" s="699" t="s">
        <v>1347</v>
      </c>
      <c r="J198" s="143" t="s">
        <v>969</v>
      </c>
      <c r="K198" s="101" t="s">
        <v>1348</v>
      </c>
      <c r="L198" s="138" t="s">
        <v>1349</v>
      </c>
      <c r="M198" s="103" t="s">
        <v>129</v>
      </c>
      <c r="N198" s="105">
        <v>0</v>
      </c>
      <c r="O198" s="106" t="str" cm="1">
        <f t="array" ref="O198">_xlfn.IFS(N198="","",ABS(N198)&lt;='Risk Matrices'!$E$7,'Risk Matrices'!$E$5,ABS(N198)&lt;='Risk Matrices'!$F$7,'Risk Matrices'!$F$5,ABS(N198)&lt;='Risk Matrices'!$G$7,'Risk Matrices'!$G$5,ABS(N198)&lt;='Risk Matrices'!$H$7,'Risk Matrices'!$H$5,ABS(N198)&gt;'Risk Matrices'!$H$7,'Risk Matrices'!$I$5)</f>
        <v>Negligible</v>
      </c>
      <c r="P198" s="106">
        <v>0</v>
      </c>
      <c r="Q198" s="101" t="str" cm="1">
        <f t="array" ref="Q198">_xlfn.IFS(P198="","",ABS(P198)&lt;='Risk Matrices'!$E$8,'Risk Matrices'!$E$5,ABS(P198)&lt;='Risk Matrices'!$F$8,'Risk Matrices'!$F$5,ABS(P198)&lt;='Risk Matrices'!$G$8,'Risk Matrices'!$G$5,ABS(P198)&lt;='Risk Matrices'!$H$8,'Risk Matrices'!$H$5,ABS(P198)&gt;'Risk Matrices'!$H$8,'Risk Matrices'!$I$5)</f>
        <v>Negligible</v>
      </c>
      <c r="R198" s="101" t="s">
        <v>130</v>
      </c>
      <c r="S198" s="106">
        <f t="shared" si="171"/>
        <v>4</v>
      </c>
      <c r="T198" s="106" cm="1">
        <f t="array" ref="T198">_xlfn.IFS(O198='Risk Matrices'!$D$28,'Risk Matrices'!$D$29,O198='Risk Matrices'!$E$28,'Risk Matrices'!$E$29,O198='Risk Matrices'!$F$28,'Risk Matrices'!$F$29,O198='Risk Matrices'!$G$28,'Risk Matrices'!$G$29,O198='Risk Matrices'!$H$28,'Risk Matrices'!$H$29)</f>
        <v>1</v>
      </c>
      <c r="U198" s="106">
        <f t="shared" si="172"/>
        <v>1</v>
      </c>
      <c r="V198" s="106">
        <f t="shared" ref="V198:V205" si="182">IF(R198="None",0,IF(R198="Negligible",1,IF(R198="Marginal",2,IF(R198="Significant",3,IF(R198="Critical",4,IF(R198="Crisis",5))))))</f>
        <v>0</v>
      </c>
      <c r="W198" s="106">
        <f t="shared" si="174"/>
        <v>1</v>
      </c>
      <c r="X198" s="106">
        <f t="shared" si="175"/>
        <v>4</v>
      </c>
      <c r="Y198" s="107" t="str">
        <f t="shared" si="176"/>
        <v>Low</v>
      </c>
      <c r="Z198" s="104"/>
      <c r="AA198" s="108">
        <f t="shared" si="177"/>
        <v>0.52</v>
      </c>
      <c r="AB198" s="109">
        <f t="shared" si="178"/>
        <v>0</v>
      </c>
      <c r="AC198" s="180" t="s">
        <v>132</v>
      </c>
      <c r="AD198" s="104" t="s">
        <v>1350</v>
      </c>
      <c r="AE198" s="104"/>
      <c r="AF198" s="185" t="s">
        <v>1351</v>
      </c>
      <c r="AG198" s="185"/>
      <c r="AH198" s="157" t="s">
        <v>1352</v>
      </c>
      <c r="AI198" s="112">
        <v>0.5</v>
      </c>
      <c r="AJ198" s="101">
        <v>-3117</v>
      </c>
      <c r="AK198" s="101">
        <v>-3117</v>
      </c>
      <c r="AL198" s="101">
        <v>-3117</v>
      </c>
      <c r="AM198" s="101">
        <v>0</v>
      </c>
      <c r="AN198" s="101">
        <v>0</v>
      </c>
      <c r="AO198" s="101">
        <v>0</v>
      </c>
      <c r="AP198" s="112" t="str">
        <f>IF(OR(ISBLANK(AI198),AI198=0),"INSERT LIKELIHOOD",IF(ABS(AI198)&lt;='Risk Matrices'!$D$22,'Risk Matrices'!$C$21,IF(ABS(AI198)&lt;='Risk Matrices'!$D$19,'Risk Matrices'!$C$18,IF(ABS(AI198)&lt;='Risk Matrices'!$D$16,'Risk Matrices'!$C$15,IF(ABS(AI198)&lt;='Risk Matrices'!$D$13,'Risk Matrices'!$C$12,'Risk Matrices'!$C$10)))))</f>
        <v>High</v>
      </c>
      <c r="AQ198" s="112" t="str">
        <f>IF(OR(ISBLANK(AK198),AK198=0),"None",IF(ABS(AK198)&lt;='Risk Matrices'!$E$7,'Risk Matrices'!$E$5,IF(ABS(AK198)&lt;='Risk Matrices'!$G$7,'Risk Matrices'!$G$5,IF(ABS(AK198)&lt;='Risk Matrices'!$H$7,'Risk Matrices'!$H$5,'Risk Matrices'!$I$5))))</f>
        <v>Significant</v>
      </c>
      <c r="AR198" s="112" t="str">
        <f>IF(AN198="","",IF(ABS(AN198)&lt;='Risk Matrices'!$E$8,"Negligible",IF(ABS(AN198)&lt;='Risk Matrices'!$F$8,"Marginal",IF(ABS(AN198)&lt;='Risk Matrices'!$G$8,"Significant",IF(ABS(AN198)&lt;='Risk Matrices'!$H$8,"Critical","Crisis")))))</f>
        <v>Negligible</v>
      </c>
      <c r="AS198" s="103" t="s">
        <v>130</v>
      </c>
      <c r="AT198" s="700">
        <f>IF(OR(ISBLANK(AI198),AI198=0),0,VLOOKUP(AP198,'Risk Matrices'!$B$30:$C$34,2,0))</f>
        <v>4</v>
      </c>
      <c r="AU198" s="700">
        <f>IF(OR(ISBLANK(AK198),AK198=0),0,HLOOKUP(AQ198,'Risk Matrices'!$D$28:$H$29,2,0))</f>
        <v>3</v>
      </c>
      <c r="AV198" s="700">
        <f>IF(OR(ISBLANK(AR198),AR198=0),0,HLOOKUP(AR198,'Risk Matrices'!$D$28:$H$29,2,0))</f>
        <v>1</v>
      </c>
      <c r="AW198" s="298">
        <f>IF(AS198="None",0,HLOOKUP(AS198,'Risk Matrices'!$D$28:$H$29,2,0))</f>
        <v>0</v>
      </c>
      <c r="AX198" s="699">
        <f t="shared" si="163"/>
        <v>3</v>
      </c>
      <c r="AY198" s="699">
        <f t="shared" si="164"/>
        <v>12</v>
      </c>
      <c r="AZ198" s="107" t="str">
        <f>IF(B198="Retired","Retired",IF(OR(ISBLANK(AY198),AY198=0),"TBD",IF(AY198&lt;='Risk Matrices'!$D$40,'Risk Matrices'!$B$40,IF(AY198&lt;='Risk Matrices'!$D$39,'Risk Matrices'!$B$39,'Risk Matrices'!$B$38))))</f>
        <v>Retired</v>
      </c>
      <c r="BA198" s="112"/>
      <c r="BB198" s="104" t="s">
        <v>1353</v>
      </c>
      <c r="BC198" s="109" t="str">
        <f t="shared" si="165"/>
        <v>Retired</v>
      </c>
      <c r="BD198" s="929">
        <v>45316</v>
      </c>
      <c r="BE198" s="114"/>
      <c r="BF198" s="188"/>
      <c r="BG198" s="115" t="s">
        <v>1354</v>
      </c>
      <c r="BH198" s="115"/>
      <c r="BI198" s="115"/>
      <c r="BJ198" s="874">
        <f t="shared" si="179"/>
        <v>-1558.5</v>
      </c>
      <c r="BK198" s="101" t="s">
        <v>294</v>
      </c>
      <c r="BL198" s="116">
        <v>45525</v>
      </c>
      <c r="BM198" s="116">
        <v>45083</v>
      </c>
      <c r="BN198" s="330">
        <v>45083</v>
      </c>
      <c r="BO198" s="332"/>
      <c r="BP198" s="94">
        <f t="shared" ref="BP198:BP205" si="183">AI198*((AJ198+4*AK198+AL198)/6)</f>
        <v>-1558.5</v>
      </c>
      <c r="BQ198" s="97" t="str">
        <f t="shared" si="167"/>
        <v>-3117 - -3117 - -3117</v>
      </c>
      <c r="BR198" s="97" t="str">
        <f t="shared" si="168"/>
        <v>0 - 0 - 0</v>
      </c>
      <c r="BS198" s="715"/>
      <c r="BT198" s="736">
        <f t="shared" si="170"/>
        <v>0</v>
      </c>
      <c r="BU198" s="735"/>
      <c r="BV198" s="873">
        <v>45504</v>
      </c>
      <c r="BW198">
        <f>BV198-BN198</f>
        <v>421</v>
      </c>
    </row>
    <row r="199" spans="2:75" ht="45" x14ac:dyDescent="0.2">
      <c r="B199" s="101" t="str">
        <f t="shared" si="150"/>
        <v>Active</v>
      </c>
      <c r="C199" s="814" t="s">
        <v>1355</v>
      </c>
      <c r="D199" s="118" t="s">
        <v>122</v>
      </c>
      <c r="E199" s="691" t="s">
        <v>1345</v>
      </c>
      <c r="F199" s="102" t="s">
        <v>124</v>
      </c>
      <c r="G199" s="106" t="s">
        <v>1346</v>
      </c>
      <c r="H199" s="103" t="str">
        <f t="shared" si="181"/>
        <v>RO-6-010-002-LLP-CD3A</v>
      </c>
      <c r="I199" s="699" t="s">
        <v>1347</v>
      </c>
      <c r="J199" s="143" t="s">
        <v>969</v>
      </c>
      <c r="K199" s="157" t="s">
        <v>1356</v>
      </c>
      <c r="L199" s="138" t="s">
        <v>1357</v>
      </c>
      <c r="M199" s="103" t="s">
        <v>129</v>
      </c>
      <c r="N199" s="157">
        <v>0</v>
      </c>
      <c r="O199" s="106" t="str" cm="1">
        <f t="array" ref="O199">_xlfn.IFS(N199="","",ABS(N199)&lt;='Risk Matrices'!$E$7,'Risk Matrices'!$E$5,ABS(N199)&lt;='Risk Matrices'!$F$7,'Risk Matrices'!$F$5,ABS(N199)&lt;='Risk Matrices'!$G$7,'Risk Matrices'!$G$5,ABS(N199)&lt;='Risk Matrices'!$H$7,'Risk Matrices'!$H$5,ABS(N199)&gt;'Risk Matrices'!$H$7,'Risk Matrices'!$I$5)</f>
        <v>Negligible</v>
      </c>
      <c r="P199" s="106">
        <v>0</v>
      </c>
      <c r="Q199" s="101" t="str" cm="1">
        <f t="array" ref="Q199">_xlfn.IFS(P199="","",ABS(P199)&lt;='Risk Matrices'!$E$8,'Risk Matrices'!$E$5,ABS(P199)&lt;='Risk Matrices'!$F$8,'Risk Matrices'!$F$5,ABS(P199)&lt;='Risk Matrices'!$G$8,'Risk Matrices'!$G$5,ABS(P199)&lt;='Risk Matrices'!$H$8,'Risk Matrices'!$H$5,ABS(P199)&gt;'Risk Matrices'!$H$8,'Risk Matrices'!$I$5)</f>
        <v>Negligible</v>
      </c>
      <c r="R199" s="101" t="s">
        <v>130</v>
      </c>
      <c r="S199" s="106">
        <f t="shared" si="171"/>
        <v>4</v>
      </c>
      <c r="T199" s="106" cm="1">
        <f t="array" ref="T199">_xlfn.IFS(O199='Risk Matrices'!$D$28,'Risk Matrices'!$D$29,O199='Risk Matrices'!$E$28,'Risk Matrices'!$E$29,O199='Risk Matrices'!$F$28,'Risk Matrices'!$F$29,O199='Risk Matrices'!$G$28,'Risk Matrices'!$G$29,O199='Risk Matrices'!$H$28,'Risk Matrices'!$H$29)</f>
        <v>1</v>
      </c>
      <c r="U199" s="106">
        <f t="shared" si="172"/>
        <v>1</v>
      </c>
      <c r="V199" s="106">
        <f t="shared" si="182"/>
        <v>0</v>
      </c>
      <c r="W199" s="106">
        <f t="shared" si="174"/>
        <v>1</v>
      </c>
      <c r="X199" s="106">
        <f t="shared" si="175"/>
        <v>4</v>
      </c>
      <c r="Y199" s="107" t="str">
        <f t="shared" si="176"/>
        <v>Low</v>
      </c>
      <c r="Z199" s="104"/>
      <c r="AA199" s="108">
        <f t="shared" si="177"/>
        <v>0.52</v>
      </c>
      <c r="AB199" s="109">
        <f t="shared" si="178"/>
        <v>0</v>
      </c>
      <c r="AC199" s="180" t="s">
        <v>132</v>
      </c>
      <c r="AD199" s="113" t="s">
        <v>1358</v>
      </c>
      <c r="AE199" s="113"/>
      <c r="AF199" s="116" t="s">
        <v>265</v>
      </c>
      <c r="AG199" s="116"/>
      <c r="AH199" s="157" t="s">
        <v>1359</v>
      </c>
      <c r="AI199" s="160">
        <v>0.25</v>
      </c>
      <c r="AJ199" s="157">
        <v>-13971</v>
      </c>
      <c r="AK199" s="157">
        <v>-13971</v>
      </c>
      <c r="AL199" s="157">
        <v>-13971</v>
      </c>
      <c r="AM199" s="157">
        <v>0</v>
      </c>
      <c r="AN199" s="157">
        <v>0</v>
      </c>
      <c r="AO199" s="157">
        <v>0</v>
      </c>
      <c r="AP199" s="112" t="str">
        <f>IF(OR(ISBLANK(AI199),AI199=0),"INSERT LIKELIHOOD",IF(ABS(AI199)&lt;='Risk Matrices'!$D$22,'Risk Matrices'!$C$21,IF(ABS(AI199)&lt;='Risk Matrices'!$D$19,'Risk Matrices'!$C$18,IF(ABS(AI199)&lt;='Risk Matrices'!$D$16,'Risk Matrices'!$C$15,IF(ABS(AI199)&lt;='Risk Matrices'!$D$13,'Risk Matrices'!$C$12,'Risk Matrices'!$C$10)))))</f>
        <v>Low</v>
      </c>
      <c r="AQ199" s="112" t="str">
        <f>IF(OR(ISBLANK(AK199),AK199=0),"None",IF(ABS(AK199)&lt;='Risk Matrices'!$E$7,'Risk Matrices'!$E$5,IF(ABS(AK199)&lt;='Risk Matrices'!$G$7,'Risk Matrices'!$G$5,IF(ABS(AK199)&lt;='Risk Matrices'!$H$7,'Risk Matrices'!$H$5,'Risk Matrices'!$I$5))))</f>
        <v>Critical</v>
      </c>
      <c r="AR199" s="112" t="str">
        <f>IF(AN199="","",IF(ABS(AN199)&lt;='Risk Matrices'!$E$8,"Negligible",IF(ABS(AN199)&lt;='Risk Matrices'!$F$8,"Marginal",IF(ABS(AN199)&lt;='Risk Matrices'!$G$8,"Significant",IF(ABS(AN199)&lt;='Risk Matrices'!$H$8,"Critical","Crisis")))))</f>
        <v>Negligible</v>
      </c>
      <c r="AS199" s="103" t="s">
        <v>130</v>
      </c>
      <c r="AT199" s="700">
        <f>IF(OR(ISBLANK(AI199),AI199=0),0,VLOOKUP(AP199,'Risk Matrices'!$B$30:$C$34,2,0))</f>
        <v>2</v>
      </c>
      <c r="AU199" s="700">
        <f>IF(OR(ISBLANK(AK199),AK199=0),0,HLOOKUP(AQ199,'Risk Matrices'!$D$28:$H$29,2,0))</f>
        <v>4</v>
      </c>
      <c r="AV199" s="700">
        <f>IF(OR(ISBLANK(AR199),AR199=0),0,HLOOKUP(AR199,'Risk Matrices'!$D$28:$H$29,2,0))</f>
        <v>1</v>
      </c>
      <c r="AW199" s="298">
        <f>IF(AS199="None",0,HLOOKUP(AS199,'Risk Matrices'!$D$28:$H$29,2,0))</f>
        <v>0</v>
      </c>
      <c r="AX199" s="699">
        <f t="shared" si="163"/>
        <v>4</v>
      </c>
      <c r="AY199" s="699">
        <f t="shared" si="164"/>
        <v>8</v>
      </c>
      <c r="AZ199" s="107" t="str">
        <f>IF(B199="Retired","Retired",IF(OR(ISBLANK(AY199),AY199=0),"TBD",IF(AY199&lt;='Risk Matrices'!$D$40,'Risk Matrices'!$B$40,IF(AY199&lt;='Risk Matrices'!$D$39,'Risk Matrices'!$B$39,'Risk Matrices'!$B$38))))</f>
        <v>Moderate</v>
      </c>
      <c r="BA199" s="112"/>
      <c r="BB199" s="104" t="s">
        <v>1360</v>
      </c>
      <c r="BC199" s="109">
        <f t="shared" si="165"/>
        <v>-3492.75</v>
      </c>
      <c r="BD199" s="185">
        <v>45555</v>
      </c>
      <c r="BE199" s="114"/>
      <c r="BF199" s="188"/>
      <c r="BG199" s="115"/>
      <c r="BH199" s="115"/>
      <c r="BI199" s="115"/>
      <c r="BJ199" s="874">
        <f t="shared" si="179"/>
        <v>-3492.75</v>
      </c>
      <c r="BK199" s="101"/>
      <c r="BL199" s="101"/>
      <c r="BM199" s="185">
        <v>45166</v>
      </c>
      <c r="BN199" s="185">
        <v>45166</v>
      </c>
      <c r="BO199" s="1000"/>
      <c r="BP199" s="94">
        <f t="shared" si="183"/>
        <v>-3492.75</v>
      </c>
      <c r="BQ199" s="97" t="str">
        <f t="shared" si="167"/>
        <v>-13971 - -13971 - -13971</v>
      </c>
      <c r="BR199" s="97" t="str">
        <f t="shared" si="168"/>
        <v>0 - 0 - 0</v>
      </c>
      <c r="BS199" s="715"/>
      <c r="BT199" s="736">
        <f t="shared" si="170"/>
        <v>0</v>
      </c>
      <c r="BU199" s="735"/>
      <c r="BV199" s="1002">
        <v>45504</v>
      </c>
      <c r="BW199" s="931">
        <f>BV199-BN199</f>
        <v>338</v>
      </c>
    </row>
    <row r="200" spans="2:75" ht="75" x14ac:dyDescent="0.2">
      <c r="B200" s="101" t="s">
        <v>5127</v>
      </c>
      <c r="C200" s="814" t="s">
        <v>1361</v>
      </c>
      <c r="D200" s="118" t="s">
        <v>122</v>
      </c>
      <c r="E200" s="691" t="s">
        <v>1345</v>
      </c>
      <c r="F200" s="102" t="s">
        <v>124</v>
      </c>
      <c r="G200" s="106" t="s">
        <v>1346</v>
      </c>
      <c r="H200" s="103" t="str">
        <f t="shared" si="181"/>
        <v>RO-6-010-003-LLP-CD3A</v>
      </c>
      <c r="I200" s="699" t="s">
        <v>1347</v>
      </c>
      <c r="J200" s="143" t="s">
        <v>969</v>
      </c>
      <c r="K200" s="101" t="s">
        <v>1348</v>
      </c>
      <c r="L200" s="138" t="s">
        <v>1362</v>
      </c>
      <c r="M200" s="103" t="s">
        <v>129</v>
      </c>
      <c r="N200" s="105">
        <v>0</v>
      </c>
      <c r="O200" s="106" t="str" cm="1">
        <f t="array" ref="O200">_xlfn.IFS(N200="","",ABS(N200)&lt;='Risk Matrices'!$E$7,'Risk Matrices'!$E$5,ABS(N200)&lt;='Risk Matrices'!$F$7,'Risk Matrices'!$F$5,ABS(N200)&lt;='Risk Matrices'!$G$7,'Risk Matrices'!$G$5,ABS(N200)&lt;='Risk Matrices'!$H$7,'Risk Matrices'!$H$5,ABS(N200)&gt;'Risk Matrices'!$H$7,'Risk Matrices'!$I$5)</f>
        <v>Negligible</v>
      </c>
      <c r="P200" s="106">
        <v>0</v>
      </c>
      <c r="Q200" s="101" t="str" cm="1">
        <f t="array" ref="Q200">_xlfn.IFS(P200="","",ABS(P200)&lt;='Risk Matrices'!$E$8,'Risk Matrices'!$E$5,ABS(P200)&lt;='Risk Matrices'!$F$8,'Risk Matrices'!$F$5,ABS(P200)&lt;='Risk Matrices'!$G$8,'Risk Matrices'!$G$5,ABS(P200)&lt;='Risk Matrices'!$H$8,'Risk Matrices'!$H$5,ABS(P200)&gt;'Risk Matrices'!$H$8,'Risk Matrices'!$I$5)</f>
        <v>Negligible</v>
      </c>
      <c r="R200" s="101" t="s">
        <v>130</v>
      </c>
      <c r="S200" s="106">
        <f t="shared" si="171"/>
        <v>4</v>
      </c>
      <c r="T200" s="106" cm="1">
        <f t="array" ref="T200">_xlfn.IFS(O200='Risk Matrices'!$D$28,'Risk Matrices'!$D$29,O200='Risk Matrices'!$E$28,'Risk Matrices'!$E$29,O200='Risk Matrices'!$F$28,'Risk Matrices'!$F$29,O200='Risk Matrices'!$G$28,'Risk Matrices'!$G$29,O200='Risk Matrices'!$H$28,'Risk Matrices'!$H$29)</f>
        <v>1</v>
      </c>
      <c r="U200" s="106">
        <f t="shared" si="172"/>
        <v>1</v>
      </c>
      <c r="V200" s="106">
        <f t="shared" si="182"/>
        <v>0</v>
      </c>
      <c r="W200" s="106">
        <f t="shared" si="174"/>
        <v>1</v>
      </c>
      <c r="X200" s="106">
        <f t="shared" si="175"/>
        <v>4</v>
      </c>
      <c r="Y200" s="107" t="str">
        <f t="shared" si="176"/>
        <v>Low</v>
      </c>
      <c r="Z200" s="104"/>
      <c r="AA200" s="108">
        <f t="shared" si="177"/>
        <v>0.52</v>
      </c>
      <c r="AB200" s="109">
        <f t="shared" si="178"/>
        <v>0</v>
      </c>
      <c r="AC200" s="180" t="s">
        <v>132</v>
      </c>
      <c r="AD200" s="104" t="s">
        <v>1363</v>
      </c>
      <c r="AE200" s="104"/>
      <c r="AF200" s="185" t="s">
        <v>1351</v>
      </c>
      <c r="AG200" s="185"/>
      <c r="AH200" s="157" t="s">
        <v>1352</v>
      </c>
      <c r="AI200" s="112">
        <v>0.5</v>
      </c>
      <c r="AJ200" s="101">
        <v>-3847</v>
      </c>
      <c r="AK200" s="101">
        <v>-3847</v>
      </c>
      <c r="AL200" s="101">
        <v>-3847</v>
      </c>
      <c r="AM200" s="101">
        <v>0</v>
      </c>
      <c r="AN200" s="101">
        <v>0</v>
      </c>
      <c r="AO200" s="101">
        <v>0</v>
      </c>
      <c r="AP200" s="112" t="str">
        <f>IF(OR(ISBLANK(AI200),AI200=0),"INSERT LIKELIHOOD",IF(ABS(AI200)&lt;='Risk Matrices'!$D$22,'Risk Matrices'!$C$21,IF(ABS(AI200)&lt;='Risk Matrices'!$D$19,'Risk Matrices'!$C$18,IF(ABS(AI200)&lt;='Risk Matrices'!$D$16,'Risk Matrices'!$C$15,IF(ABS(AI200)&lt;='Risk Matrices'!$D$13,'Risk Matrices'!$C$12,'Risk Matrices'!$C$10)))))</f>
        <v>High</v>
      </c>
      <c r="AQ200" s="112" t="str">
        <f>IF(OR(ISBLANK(AK200),AK200=0),"None",IF(ABS(AK200)&lt;='Risk Matrices'!$E$7,'Risk Matrices'!$E$5,IF(ABS(AK200)&lt;='Risk Matrices'!$G$7,'Risk Matrices'!$G$5,IF(ABS(AK200)&lt;='Risk Matrices'!$H$7,'Risk Matrices'!$H$5,'Risk Matrices'!$I$5))))</f>
        <v>Significant</v>
      </c>
      <c r="AR200" s="112" t="str">
        <f>IF(AN200="","",IF(ABS(AN200)&lt;='Risk Matrices'!$E$8,"Negligible",IF(ABS(AN200)&lt;='Risk Matrices'!$F$8,"Marginal",IF(ABS(AN200)&lt;='Risk Matrices'!$G$8,"Significant",IF(ABS(AN200)&lt;='Risk Matrices'!$H$8,"Critical","Crisis")))))</f>
        <v>Negligible</v>
      </c>
      <c r="AS200" s="103" t="s">
        <v>130</v>
      </c>
      <c r="AT200" s="700">
        <f>IF(OR(ISBLANK(AI200),AI200=0),0,VLOOKUP(AP200,'Risk Matrices'!$B$30:$C$34,2,0))</f>
        <v>4</v>
      </c>
      <c r="AU200" s="700">
        <f>IF(OR(ISBLANK(AK200),AK200=0),0,HLOOKUP(AQ200,'Risk Matrices'!$D$28:$H$29,2,0))</f>
        <v>3</v>
      </c>
      <c r="AV200" s="700">
        <f>IF(OR(ISBLANK(AR200),AR200=0),0,HLOOKUP(AR200,'Risk Matrices'!$D$28:$H$29,2,0))</f>
        <v>1</v>
      </c>
      <c r="AW200" s="298">
        <f>IF(AS200="None",0,HLOOKUP(AS200,'Risk Matrices'!$D$28:$H$29,2,0))</f>
        <v>0</v>
      </c>
      <c r="AX200" s="699">
        <f t="shared" si="163"/>
        <v>3</v>
      </c>
      <c r="AY200" s="699">
        <f t="shared" si="164"/>
        <v>12</v>
      </c>
      <c r="AZ200" s="107" t="str">
        <f>IF(B200="Retired","Retired",IF(OR(ISBLANK(AY200),AY200=0),"TBD",IF(AY200&lt;='Risk Matrices'!$D$40,'Risk Matrices'!$B$40,IF(AY200&lt;='Risk Matrices'!$D$39,'Risk Matrices'!$B$39,'Risk Matrices'!$B$38))))</f>
        <v>Moderate</v>
      </c>
      <c r="BA200" s="112"/>
      <c r="BB200" s="104" t="s">
        <v>1353</v>
      </c>
      <c r="BC200" s="109">
        <f t="shared" si="165"/>
        <v>-1923.5</v>
      </c>
      <c r="BD200" s="185">
        <v>45517</v>
      </c>
      <c r="BE200" s="114"/>
      <c r="BF200" s="188"/>
      <c r="BG200" s="115" t="s">
        <v>1364</v>
      </c>
      <c r="BH200" s="115"/>
      <c r="BI200" s="115"/>
      <c r="BJ200" s="874">
        <f t="shared" si="179"/>
        <v>-1923.5</v>
      </c>
      <c r="BK200" s="101"/>
      <c r="BL200" s="116">
        <v>45525</v>
      </c>
      <c r="BM200" s="116">
        <v>45174</v>
      </c>
      <c r="BN200" s="116">
        <v>45174</v>
      </c>
      <c r="BO200" s="1000"/>
      <c r="BP200" s="94">
        <f t="shared" si="183"/>
        <v>-1923.5</v>
      </c>
      <c r="BQ200" s="97" t="str">
        <f t="shared" si="167"/>
        <v>-3847 - -3847 - -3847</v>
      </c>
      <c r="BR200" s="97" t="str">
        <f t="shared" si="168"/>
        <v>0 - 0 - 0</v>
      </c>
      <c r="BS200" s="715"/>
      <c r="BT200" s="736">
        <f t="shared" si="170"/>
        <v>0</v>
      </c>
      <c r="BU200" s="735"/>
      <c r="BV200" s="1002"/>
    </row>
    <row r="201" spans="2:75" ht="165" x14ac:dyDescent="0.2">
      <c r="B201" s="101" t="str">
        <f t="shared" ref="B201:B232" si="184">IF(BN201="","Proposed",IF(BG201="","Active","Retired"))</f>
        <v>Active</v>
      </c>
      <c r="C201" s="785" t="s">
        <v>1365</v>
      </c>
      <c r="D201" s="691" t="s">
        <v>151</v>
      </c>
      <c r="E201" s="691" t="s">
        <v>1345</v>
      </c>
      <c r="F201" s="102" t="s">
        <v>124</v>
      </c>
      <c r="G201" s="106" t="s">
        <v>1346</v>
      </c>
      <c r="H201" s="103" t="str">
        <f t="shared" si="181"/>
        <v>RT-6-010-001-LLP-CD3A</v>
      </c>
      <c r="I201" s="699" t="s">
        <v>1347</v>
      </c>
      <c r="J201" s="143" t="s">
        <v>969</v>
      </c>
      <c r="K201" s="101" t="s">
        <v>1366</v>
      </c>
      <c r="L201" s="138" t="s">
        <v>1367</v>
      </c>
      <c r="M201" s="103" t="s">
        <v>129</v>
      </c>
      <c r="N201" s="105">
        <v>10000</v>
      </c>
      <c r="O201" s="106" t="str" cm="1">
        <f t="array" ref="O201">_xlfn.IFS(N201="","",ABS(N201)&lt;='Risk Matrices'!$E$7,'Risk Matrices'!$E$5,ABS(N201)&lt;='Risk Matrices'!$F$7,'Risk Matrices'!$F$5,ABS(N201)&lt;='Risk Matrices'!$G$7,'Risk Matrices'!$G$5,ABS(N201)&lt;='Risk Matrices'!$H$7,'Risk Matrices'!$H$5,ABS(N201)&gt;'Risk Matrices'!$H$7,'Risk Matrices'!$I$5)</f>
        <v>Critical</v>
      </c>
      <c r="P201" s="101">
        <v>12</v>
      </c>
      <c r="Q201" s="101" t="str" cm="1">
        <f t="array" ref="Q201">_xlfn.IFS(P201="","",ABS(P201)&lt;='Risk Matrices'!$E$8,'Risk Matrices'!$E$5,ABS(P201)&lt;='Risk Matrices'!$F$8,'Risk Matrices'!$F$5,ABS(P201)&lt;='Risk Matrices'!$G$8,'Risk Matrices'!$G$5,ABS(P201)&lt;='Risk Matrices'!$H$8,'Risk Matrices'!$H$5,ABS(P201)&gt;'Risk Matrices'!$H$8,'Risk Matrices'!$I$5)</f>
        <v>Significant</v>
      </c>
      <c r="R201" s="101" t="s">
        <v>600</v>
      </c>
      <c r="S201" s="106">
        <f t="shared" si="171"/>
        <v>4</v>
      </c>
      <c r="T201" s="106" cm="1">
        <f t="array" ref="T201">_xlfn.IFS(O201='Risk Matrices'!$D$28,'Risk Matrices'!$D$29,O201='Risk Matrices'!$E$28,'Risk Matrices'!$E$29,O201='Risk Matrices'!$F$28,'Risk Matrices'!$F$29,O201='Risk Matrices'!$G$28,'Risk Matrices'!$G$29,O201='Risk Matrices'!$H$28,'Risk Matrices'!$H$29)</f>
        <v>4</v>
      </c>
      <c r="U201" s="106">
        <f t="shared" si="172"/>
        <v>3</v>
      </c>
      <c r="V201" s="106">
        <f t="shared" si="182"/>
        <v>5</v>
      </c>
      <c r="W201" s="106">
        <f t="shared" si="174"/>
        <v>5</v>
      </c>
      <c r="X201" s="106">
        <f t="shared" si="175"/>
        <v>20</v>
      </c>
      <c r="Y201" s="107" t="str">
        <f t="shared" si="176"/>
        <v>High</v>
      </c>
      <c r="Z201" s="189" t="s">
        <v>1368</v>
      </c>
      <c r="AA201" s="108">
        <f t="shared" si="177"/>
        <v>0.52</v>
      </c>
      <c r="AB201" s="109">
        <f t="shared" si="178"/>
        <v>5200</v>
      </c>
      <c r="AC201" s="109" t="s">
        <v>155</v>
      </c>
      <c r="AD201" s="713" t="s">
        <v>1369</v>
      </c>
      <c r="AE201" s="713"/>
      <c r="AF201" s="185" t="s">
        <v>145</v>
      </c>
      <c r="AG201" s="185"/>
      <c r="AH201" s="157" t="s">
        <v>1370</v>
      </c>
      <c r="AI201" s="881">
        <v>0.5</v>
      </c>
      <c r="AJ201" s="157">
        <v>5000</v>
      </c>
      <c r="AK201" s="157">
        <v>7000</v>
      </c>
      <c r="AL201" s="157">
        <v>10000</v>
      </c>
      <c r="AM201" s="101">
        <v>6</v>
      </c>
      <c r="AN201" s="101">
        <v>12</v>
      </c>
      <c r="AO201" s="101">
        <v>24</v>
      </c>
      <c r="AP201" s="112" t="str">
        <f>IF(OR(ISBLANK(AI201),AI201=0),"INSERT LIKELIHOOD",IF(ABS(AI201)&lt;='Risk Matrices'!$D$22,'Risk Matrices'!$C$21,IF(ABS(AI201)&lt;='Risk Matrices'!$D$19,'Risk Matrices'!$C$18,IF(ABS(AI201)&lt;='Risk Matrices'!$D$16,'Risk Matrices'!$C$15,IF(ABS(AI201)&lt;='Risk Matrices'!$D$13,'Risk Matrices'!$C$12,'Risk Matrices'!$C$10)))))</f>
        <v>High</v>
      </c>
      <c r="AQ201" s="112" t="str">
        <f>IF(OR(ISBLANK(AK201),AK201=0),"None",IF(ABS(AK201)&lt;='Risk Matrices'!$E$7,'Risk Matrices'!$E$5,IF(ABS(AK201)&lt;='Risk Matrices'!$G$7,'Risk Matrices'!$G$5,IF(ABS(AK201)&lt;='Risk Matrices'!$H$7,'Risk Matrices'!$H$5,'Risk Matrices'!$I$5))))</f>
        <v>Critical</v>
      </c>
      <c r="AR201" s="112" t="str">
        <f>IF(AN201="","",IF(ABS(AN201)&lt;='Risk Matrices'!$E$8,"Negligible",IF(ABS(AN201)&lt;='Risk Matrices'!$F$8,"Marginal",IF(ABS(AN201)&lt;='Risk Matrices'!$G$8,"Significant",IF(ABS(AN201)&lt;='Risk Matrices'!$H$8,"Critical","Crisis")))))</f>
        <v>Significant</v>
      </c>
      <c r="AS201" s="103" t="s">
        <v>130</v>
      </c>
      <c r="AT201" s="700">
        <f>IF(OR(ISBLANK(AI201),AI201=0),0,VLOOKUP(AP201,'Risk Matrices'!$B$30:$C$34,2,0))</f>
        <v>4</v>
      </c>
      <c r="AU201" s="700">
        <f>IF(OR(ISBLANK(AK201),AK201=0),0,HLOOKUP(AQ201,'Risk Matrices'!$D$28:$H$29,2,0))</f>
        <v>4</v>
      </c>
      <c r="AV201" s="700">
        <f>IF(OR(ISBLANK(AR201),AR201=0),0,HLOOKUP(AR201,'Risk Matrices'!$D$28:$H$29,2,0))</f>
        <v>3</v>
      </c>
      <c r="AW201" s="298">
        <f>IF(AS201="None",0,HLOOKUP(AS201,'Risk Matrices'!$D$28:$H$29,2,0))</f>
        <v>0</v>
      </c>
      <c r="AX201" s="106">
        <f t="shared" si="163"/>
        <v>4</v>
      </c>
      <c r="AY201" s="106">
        <f t="shared" si="164"/>
        <v>16</v>
      </c>
      <c r="AZ201" s="165" t="str">
        <f>IF(B201="Retired","Retired",IF(OR(ISBLANK(AY201),AY201=0),"TBD",IF(AY201&lt;='Risk Matrices'!$D$40,'Risk Matrices'!$B$40,IF(AY201&lt;='Risk Matrices'!$D$39,'Risk Matrices'!$B$39,'Risk Matrices'!$B$38))))</f>
        <v>High</v>
      </c>
      <c r="BA201" s="104"/>
      <c r="BB201" s="113" t="s">
        <v>1371</v>
      </c>
      <c r="BC201" s="109">
        <f t="shared" si="165"/>
        <v>3500</v>
      </c>
      <c r="BD201" s="185">
        <v>45555</v>
      </c>
      <c r="BE201" s="104"/>
      <c r="BF201" s="104"/>
      <c r="BG201" s="1001"/>
      <c r="BH201" s="104"/>
      <c r="BI201" s="104"/>
      <c r="BJ201" s="874">
        <f t="shared" si="179"/>
        <v>3666.6666666666665</v>
      </c>
      <c r="BK201" s="101"/>
      <c r="BL201" s="130"/>
      <c r="BM201" s="116">
        <v>44012</v>
      </c>
      <c r="BN201" s="116">
        <v>44134</v>
      </c>
      <c r="BO201" s="1000"/>
      <c r="BP201" s="94">
        <f t="shared" si="183"/>
        <v>3583.3333333333335</v>
      </c>
      <c r="BQ201" s="97" t="str">
        <f t="shared" si="167"/>
        <v>5000 - 7000 - 10000</v>
      </c>
      <c r="BR201" s="97" t="str">
        <f t="shared" si="168"/>
        <v>6 - 12 - 24</v>
      </c>
      <c r="BS201" s="715">
        <f t="shared" ref="BS201:BS232" si="185">BJ201</f>
        <v>3666.6666666666665</v>
      </c>
      <c r="BT201" s="736">
        <f t="shared" si="170"/>
        <v>7</v>
      </c>
      <c r="BU201" s="735" t="s">
        <v>1372</v>
      </c>
      <c r="BV201" s="1002">
        <v>45504</v>
      </c>
      <c r="BW201" s="931">
        <f>BV201-BN201</f>
        <v>1370</v>
      </c>
    </row>
    <row r="202" spans="2:75" ht="118" customHeight="1" x14ac:dyDescent="0.2">
      <c r="B202" s="101" t="str">
        <f t="shared" si="184"/>
        <v>Active</v>
      </c>
      <c r="C202" s="814" t="s">
        <v>1373</v>
      </c>
      <c r="D202" s="691" t="s">
        <v>151</v>
      </c>
      <c r="E202" s="691" t="s">
        <v>1345</v>
      </c>
      <c r="F202" s="102" t="s">
        <v>124</v>
      </c>
      <c r="G202" s="106" t="s">
        <v>1346</v>
      </c>
      <c r="H202" s="103" t="str">
        <f t="shared" si="181"/>
        <v>RT-6-010-001a-LLP-CD3A</v>
      </c>
      <c r="I202" s="699" t="s">
        <v>1347</v>
      </c>
      <c r="J202" s="143" t="s">
        <v>969</v>
      </c>
      <c r="K202" s="157" t="s">
        <v>1374</v>
      </c>
      <c r="L202" s="113" t="s">
        <v>1375</v>
      </c>
      <c r="M202" s="103" t="s">
        <v>129</v>
      </c>
      <c r="N202" s="105">
        <v>18000</v>
      </c>
      <c r="O202" s="106" t="str" cm="1">
        <f t="array" ref="O202">_xlfn.IFS(N202="","",ABS(N202)&lt;='Risk Matrices'!$E$7,'Risk Matrices'!$E$5,ABS(N202)&lt;='Risk Matrices'!$F$7,'Risk Matrices'!$F$5,ABS(N202)&lt;='Risk Matrices'!$G$7,'Risk Matrices'!$G$5,ABS(N202)&lt;='Risk Matrices'!$H$7,'Risk Matrices'!$H$5,ABS(N202)&gt;'Risk Matrices'!$H$7,'Risk Matrices'!$I$5)</f>
        <v>Critical</v>
      </c>
      <c r="P202" s="101">
        <v>54</v>
      </c>
      <c r="Q202" s="101" t="str" cm="1">
        <f t="array" ref="Q202">_xlfn.IFS(P202="","",ABS(P202)&lt;='Risk Matrices'!$E$8,'Risk Matrices'!$E$5,ABS(P202)&lt;='Risk Matrices'!$F$8,'Risk Matrices'!$F$5,ABS(P202)&lt;='Risk Matrices'!$G$8,'Risk Matrices'!$G$5,ABS(P202)&lt;='Risk Matrices'!$H$8,'Risk Matrices'!$H$5,ABS(P202)&gt;'Risk Matrices'!$H$8,'Risk Matrices'!$I$5)</f>
        <v>Crisis</v>
      </c>
      <c r="R202" s="101" t="s">
        <v>406</v>
      </c>
      <c r="S202" s="106">
        <f t="shared" si="171"/>
        <v>4</v>
      </c>
      <c r="T202" s="106" cm="1">
        <f t="array" ref="T202">_xlfn.IFS(O202='Risk Matrices'!$D$28,'Risk Matrices'!$D$29,O202='Risk Matrices'!$E$28,'Risk Matrices'!$E$29,O202='Risk Matrices'!$F$28,'Risk Matrices'!$F$29,O202='Risk Matrices'!$G$28,'Risk Matrices'!$G$29,O202='Risk Matrices'!$H$28,'Risk Matrices'!$H$29)</f>
        <v>4</v>
      </c>
      <c r="U202" s="106">
        <f t="shared" si="172"/>
        <v>5</v>
      </c>
      <c r="V202" s="106">
        <f t="shared" si="182"/>
        <v>4</v>
      </c>
      <c r="W202" s="106">
        <f t="shared" si="174"/>
        <v>5</v>
      </c>
      <c r="X202" s="106">
        <f t="shared" si="175"/>
        <v>20</v>
      </c>
      <c r="Y202" s="107" t="str">
        <f t="shared" si="176"/>
        <v>High</v>
      </c>
      <c r="Z202" s="189"/>
      <c r="AA202" s="108">
        <f t="shared" si="177"/>
        <v>0.52</v>
      </c>
      <c r="AB202" s="109">
        <f t="shared" si="178"/>
        <v>9360</v>
      </c>
      <c r="AC202" s="180" t="s">
        <v>155</v>
      </c>
      <c r="AD202" s="746" t="s">
        <v>1376</v>
      </c>
      <c r="AE202" s="746"/>
      <c r="AF202" s="185" t="s">
        <v>1377</v>
      </c>
      <c r="AG202" s="185"/>
      <c r="AH202" s="157" t="s">
        <v>1370</v>
      </c>
      <c r="AI202" s="877">
        <v>0.1</v>
      </c>
      <c r="AJ202" s="157">
        <v>17805</v>
      </c>
      <c r="AK202" s="157">
        <v>17805</v>
      </c>
      <c r="AL202" s="157">
        <v>17805</v>
      </c>
      <c r="AM202" s="157">
        <v>48</v>
      </c>
      <c r="AN202" s="157">
        <v>54</v>
      </c>
      <c r="AO202" s="157">
        <v>60</v>
      </c>
      <c r="AP202" s="112" t="str">
        <f>IF(OR(ISBLANK(AI202),AI202=0),"INSERT LIKELIHOOD",IF(ABS(AI202)&lt;='Risk Matrices'!$D$22,'Risk Matrices'!$C$21,IF(ABS(AI202)&lt;='Risk Matrices'!$D$19,'Risk Matrices'!$C$18,IF(ABS(AI202)&lt;='Risk Matrices'!$D$16,'Risk Matrices'!$C$15,IF(ABS(AI202)&lt;='Risk Matrices'!$D$13,'Risk Matrices'!$C$12,'Risk Matrices'!$C$10)))))</f>
        <v>Very Low</v>
      </c>
      <c r="AQ202" s="112" t="str">
        <f>IF(OR(ISBLANK(AK202),AK202=0),"None",IF(ABS(AK202)&lt;='Risk Matrices'!$E$7,'Risk Matrices'!$E$5,IF(ABS(AK202)&lt;='Risk Matrices'!$G$7,'Risk Matrices'!$G$5,IF(ABS(AK202)&lt;='Risk Matrices'!$H$7,'Risk Matrices'!$H$5,'Risk Matrices'!$I$5))))</f>
        <v>Critical</v>
      </c>
      <c r="AR202" s="112" t="str">
        <f>IF(AN202="","",IF(ABS(AN202)&lt;='Risk Matrices'!$E$8,"Negligible",IF(ABS(AN202)&lt;='Risk Matrices'!$F$8,"Marginal",IF(ABS(AN202)&lt;='Risk Matrices'!$G$8,"Significant",IF(ABS(AN202)&lt;='Risk Matrices'!$H$8,"Critical","Crisis")))))</f>
        <v>Crisis</v>
      </c>
      <c r="AS202" s="103" t="s">
        <v>406</v>
      </c>
      <c r="AT202" s="700">
        <f>IF(OR(ISBLANK(AI202),AI202=0),0,VLOOKUP(AP202,'Risk Matrices'!$B$30:$C$34,2,0))</f>
        <v>1</v>
      </c>
      <c r="AU202" s="700">
        <f>IF(OR(ISBLANK(AK202),AK202=0),0,HLOOKUP(AQ202,'Risk Matrices'!$D$28:$H$29,2,0))</f>
        <v>4</v>
      </c>
      <c r="AV202" s="700">
        <f>IF(OR(ISBLANK(AR202),AR202=0),0,HLOOKUP(AR202,'Risk Matrices'!$D$28:$H$29,2,0))</f>
        <v>5</v>
      </c>
      <c r="AW202" s="700">
        <f>IF(OR(ISBLANK(AS202),AS202=0),0,HLOOKUP(AS202,'Risk Matrices'!$D$28:$H$29,2,0))</f>
        <v>4</v>
      </c>
      <c r="AX202" s="699">
        <f t="shared" si="163"/>
        <v>5</v>
      </c>
      <c r="AY202" s="699">
        <f t="shared" si="164"/>
        <v>5</v>
      </c>
      <c r="AZ202" s="165" t="str">
        <f>IF(B202="Retired","Retired",IF(OR(ISBLANK(AY202),AY202=0),"TBD",IF(AY202&lt;='Risk Matrices'!$D$40,'Risk Matrices'!$B$40,IF(AY202&lt;='Risk Matrices'!$D$39,'Risk Matrices'!$B$39,'Risk Matrices'!$B$38))))</f>
        <v>Low</v>
      </c>
      <c r="BA202" s="104"/>
      <c r="BB202" s="113" t="s">
        <v>1378</v>
      </c>
      <c r="BC202" s="109">
        <f t="shared" si="165"/>
        <v>1780.5</v>
      </c>
      <c r="BD202" s="185">
        <v>45555</v>
      </c>
      <c r="BE202" s="104"/>
      <c r="BF202" s="104"/>
      <c r="BG202" s="1001"/>
      <c r="BH202" s="104"/>
      <c r="BI202" s="104"/>
      <c r="BJ202" s="874">
        <f t="shared" si="179"/>
        <v>1780.5</v>
      </c>
      <c r="BK202" s="101"/>
      <c r="BL202" s="130"/>
      <c r="BM202" s="116">
        <v>45104</v>
      </c>
      <c r="BN202" s="116">
        <v>45104</v>
      </c>
      <c r="BO202" s="1000"/>
      <c r="BP202" s="94">
        <f t="shared" si="183"/>
        <v>1780.5</v>
      </c>
      <c r="BQ202" s="97" t="str">
        <f t="shared" si="167"/>
        <v>17805 - 17805 - 17805</v>
      </c>
      <c r="BR202" s="97" t="str">
        <f t="shared" si="168"/>
        <v>48 - 54 - 60</v>
      </c>
      <c r="BS202" s="715">
        <f t="shared" si="185"/>
        <v>1780.5</v>
      </c>
      <c r="BT202" s="736">
        <f t="shared" si="170"/>
        <v>5.3999999999999995</v>
      </c>
      <c r="BU202" s="735"/>
      <c r="BV202" s="1002">
        <v>45504</v>
      </c>
      <c r="BW202" s="931">
        <f>BV202-BN202</f>
        <v>400</v>
      </c>
    </row>
    <row r="203" spans="2:75" ht="105" x14ac:dyDescent="0.2">
      <c r="B203" s="101" t="str">
        <f t="shared" si="184"/>
        <v>Active</v>
      </c>
      <c r="C203" s="785" t="s">
        <v>1379</v>
      </c>
      <c r="D203" s="101" t="s">
        <v>151</v>
      </c>
      <c r="E203" s="101" t="s">
        <v>1345</v>
      </c>
      <c r="F203" s="102" t="s">
        <v>124</v>
      </c>
      <c r="G203" s="106" t="s">
        <v>1346</v>
      </c>
      <c r="H203" s="103" t="str">
        <f t="shared" si="181"/>
        <v>RT-6-010-002</v>
      </c>
      <c r="I203" s="106" t="s">
        <v>1347</v>
      </c>
      <c r="J203" s="143" t="s">
        <v>969</v>
      </c>
      <c r="K203" s="101" t="s">
        <v>1380</v>
      </c>
      <c r="L203" s="104" t="s">
        <v>1381</v>
      </c>
      <c r="M203" s="104" t="s">
        <v>141</v>
      </c>
      <c r="N203" s="105">
        <v>500000</v>
      </c>
      <c r="O203" s="106" t="str" cm="1">
        <f t="array" ref="O203">_xlfn.IFS(N203="","",ABS(N203)&lt;='Risk Matrices'!$E$7,'Risk Matrices'!$E$5,ABS(N203)&lt;='Risk Matrices'!$F$7,'Risk Matrices'!$F$5,ABS(N203)&lt;='Risk Matrices'!$G$7,'Risk Matrices'!$G$5,ABS(N203)&lt;='Risk Matrices'!$H$7,'Risk Matrices'!$H$5,ABS(N203)&gt;'Risk Matrices'!$H$7,'Risk Matrices'!$I$5)</f>
        <v>Crisis</v>
      </c>
      <c r="P203" s="101">
        <v>48</v>
      </c>
      <c r="Q203" s="101" t="str" cm="1">
        <f t="array" ref="Q203">_xlfn.IFS(P203="","",ABS(P203)&lt;='Risk Matrices'!$E$8,'Risk Matrices'!$E$5,ABS(P203)&lt;='Risk Matrices'!$F$8,'Risk Matrices'!$F$5,ABS(P203)&lt;='Risk Matrices'!$G$8,'Risk Matrices'!$G$5,ABS(P203)&lt;='Risk Matrices'!$H$8,'Risk Matrices'!$H$5,ABS(P203)&gt;'Risk Matrices'!$H$8,'Risk Matrices'!$I$5)</f>
        <v>Crisis</v>
      </c>
      <c r="R203" s="101" t="s">
        <v>406</v>
      </c>
      <c r="S203" s="106">
        <f t="shared" si="171"/>
        <v>3</v>
      </c>
      <c r="T203" s="106" cm="1">
        <f t="array" ref="T203">_xlfn.IFS(O203='Risk Matrices'!$D$28,'Risk Matrices'!$D$29,O203='Risk Matrices'!$E$28,'Risk Matrices'!$E$29,O203='Risk Matrices'!$F$28,'Risk Matrices'!$F$29,O203='Risk Matrices'!$G$28,'Risk Matrices'!$G$29,O203='Risk Matrices'!$H$28,'Risk Matrices'!$H$29)</f>
        <v>5</v>
      </c>
      <c r="U203" s="106">
        <f t="shared" si="172"/>
        <v>5</v>
      </c>
      <c r="V203" s="106">
        <f t="shared" si="182"/>
        <v>4</v>
      </c>
      <c r="W203" s="106">
        <f t="shared" si="174"/>
        <v>5</v>
      </c>
      <c r="X203" s="106">
        <f t="shared" si="175"/>
        <v>15</v>
      </c>
      <c r="Y203" s="107" t="str">
        <f t="shared" si="176"/>
        <v>High</v>
      </c>
      <c r="Z203" s="104"/>
      <c r="AA203" s="108">
        <f t="shared" si="177"/>
        <v>0.32</v>
      </c>
      <c r="AB203" s="109">
        <f t="shared" si="178"/>
        <v>160000</v>
      </c>
      <c r="AC203" s="109" t="s">
        <v>155</v>
      </c>
      <c r="AD203" s="104" t="s">
        <v>1382</v>
      </c>
      <c r="AE203" s="104"/>
      <c r="AF203" s="101" t="s">
        <v>200</v>
      </c>
      <c r="AG203" s="101"/>
      <c r="AH203" s="853" t="s">
        <v>1383</v>
      </c>
      <c r="AI203" s="880">
        <v>0.2</v>
      </c>
      <c r="AJ203" s="190">
        <v>20000</v>
      </c>
      <c r="AK203" s="190">
        <v>100000</v>
      </c>
      <c r="AL203" s="190">
        <v>150000</v>
      </c>
      <c r="AM203" s="190">
        <v>12</v>
      </c>
      <c r="AN203" s="190">
        <v>36</v>
      </c>
      <c r="AO203" s="190">
        <v>48</v>
      </c>
      <c r="AP203" s="112" t="str">
        <f>IF(OR(ISBLANK(AI203),AI203=0),"INSERT LIKELIHOOD",IF(ABS(AI203)&lt;='Risk Matrices'!$D$22,'Risk Matrices'!$C$21,IF(ABS(AI203)&lt;='Risk Matrices'!$D$19,'Risk Matrices'!$C$18,IF(ABS(AI203)&lt;='Risk Matrices'!$D$16,'Risk Matrices'!$C$15,IF(ABS(AI203)&lt;='Risk Matrices'!$D$13,'Risk Matrices'!$C$12,'Risk Matrices'!$C$10)))))</f>
        <v>Low</v>
      </c>
      <c r="AQ203" s="112" t="str">
        <f>IF(OR(ISBLANK(AK203),AK203=0),"None",IF(ABS(AK203)&lt;='Risk Matrices'!$E$7,'Risk Matrices'!$E$5,IF(ABS(AK203)&lt;='Risk Matrices'!$G$7,'Risk Matrices'!$G$5,IF(ABS(AK203)&lt;='Risk Matrices'!$H$7,'Risk Matrices'!$H$5,'Risk Matrices'!$I$5))))</f>
        <v>Crisis</v>
      </c>
      <c r="AR203" s="112" t="str">
        <f>IF(AN203="","",IF(ABS(AN203)&lt;='Risk Matrices'!$E$8,"Negligible",IF(ABS(AN203)&lt;='Risk Matrices'!$F$8,"Marginal",IF(ABS(AN203)&lt;='Risk Matrices'!$G$8,"Significant",IF(ABS(AN203)&lt;='Risk Matrices'!$H$8,"Critical","Crisis")))))</f>
        <v>Crisis</v>
      </c>
      <c r="AS203" s="103" t="s">
        <v>406</v>
      </c>
      <c r="AT203" s="298">
        <f>IF(OR(ISBLANK(AI203),AI203=0),0,VLOOKUP(AP203,'Risk Matrices'!$B$30:$C$34,2,0))</f>
        <v>2</v>
      </c>
      <c r="AU203" s="298">
        <f>IF(OR(ISBLANK(AK203),AK203=0),0,HLOOKUP(AQ203,'Risk Matrices'!$D$28:$H$29,2,0))</f>
        <v>5</v>
      </c>
      <c r="AV203" s="298">
        <f>IF(OR(ISBLANK(AR203),AR203=0),0,HLOOKUP(AR203,'Risk Matrices'!$D$28:$H$29,2,0))</f>
        <v>5</v>
      </c>
      <c r="AW203" s="298">
        <f>IF(OR(ISBLANK(AS203),AS203=0),0,HLOOKUP(AS203,'Risk Matrices'!$D$28:$H$29,2,0))</f>
        <v>4</v>
      </c>
      <c r="AX203" s="106">
        <f t="shared" si="163"/>
        <v>5</v>
      </c>
      <c r="AY203" s="106">
        <f t="shared" si="164"/>
        <v>10</v>
      </c>
      <c r="AZ203" s="107" t="str">
        <f>IF(B203="Retired","Retired",IF(OR(ISBLANK(AY203),AY203=0),"TBD",IF(AY203&lt;='Risk Matrices'!$D$40,'Risk Matrices'!$B$40,IF(AY203&lt;='Risk Matrices'!$D$39,'Risk Matrices'!$B$39,'Risk Matrices'!$B$38))))</f>
        <v>Moderate</v>
      </c>
      <c r="BA203" s="104"/>
      <c r="BB203" s="113" t="s">
        <v>1384</v>
      </c>
      <c r="BC203" s="109">
        <f t="shared" si="165"/>
        <v>20000</v>
      </c>
      <c r="BD203" s="929">
        <v>45316</v>
      </c>
      <c r="BE203" s="104"/>
      <c r="BF203" s="104"/>
      <c r="BG203" s="104"/>
      <c r="BH203" s="104"/>
      <c r="BI203" s="104"/>
      <c r="BJ203" s="874">
        <f t="shared" si="179"/>
        <v>18000</v>
      </c>
      <c r="BK203" s="101"/>
      <c r="BL203" s="101"/>
      <c r="BM203" s="116">
        <v>44012</v>
      </c>
      <c r="BN203" s="330">
        <v>44134</v>
      </c>
      <c r="BO203" s="1000"/>
      <c r="BP203" s="94">
        <f t="shared" si="183"/>
        <v>19000</v>
      </c>
      <c r="BQ203" s="97" t="str">
        <f t="shared" si="167"/>
        <v>20000 - 100000 - 150000</v>
      </c>
      <c r="BR203" s="97" t="str">
        <f t="shared" si="168"/>
        <v>12 - 36 - 48</v>
      </c>
      <c r="BS203" s="715">
        <f t="shared" si="185"/>
        <v>18000</v>
      </c>
      <c r="BT203" s="736">
        <f t="shared" si="170"/>
        <v>6.4000000000000012</v>
      </c>
      <c r="BU203" s="735" t="s">
        <v>1385</v>
      </c>
      <c r="BV203" s="1002">
        <v>45504</v>
      </c>
      <c r="BW203" s="931">
        <f>BV203-BN203</f>
        <v>1370</v>
      </c>
    </row>
    <row r="204" spans="2:75" ht="90" outlineLevel="1" x14ac:dyDescent="0.2">
      <c r="B204" s="101" t="str">
        <f t="shared" si="184"/>
        <v>Active</v>
      </c>
      <c r="C204" s="785" t="s">
        <v>1386</v>
      </c>
      <c r="D204" s="101" t="s">
        <v>151</v>
      </c>
      <c r="E204" s="101" t="s">
        <v>1345</v>
      </c>
      <c r="F204" s="102" t="s">
        <v>124</v>
      </c>
      <c r="G204" s="106" t="s">
        <v>1346</v>
      </c>
      <c r="H204" s="103" t="str">
        <f t="shared" si="181"/>
        <v>RT-6-010-003</v>
      </c>
      <c r="I204" s="106" t="s">
        <v>1347</v>
      </c>
      <c r="J204" s="143" t="s">
        <v>969</v>
      </c>
      <c r="K204" s="101" t="s">
        <v>1387</v>
      </c>
      <c r="L204" s="104" t="s">
        <v>1388</v>
      </c>
      <c r="M204" s="104" t="s">
        <v>164</v>
      </c>
      <c r="N204" s="105">
        <v>5000</v>
      </c>
      <c r="O204" s="106" t="str" cm="1">
        <f t="array" ref="O204">_xlfn.IFS(N204="","",ABS(N204)&lt;='Risk Matrices'!$E$7,'Risk Matrices'!$E$5,ABS(N204)&lt;='Risk Matrices'!$F$7,'Risk Matrices'!$F$5,ABS(N204)&lt;='Risk Matrices'!$G$7,'Risk Matrices'!$G$5,ABS(N204)&lt;='Risk Matrices'!$H$7,'Risk Matrices'!$H$5,ABS(N204)&gt;'Risk Matrices'!$H$7,'Risk Matrices'!$I$5)</f>
        <v>Significant</v>
      </c>
      <c r="P204" s="101">
        <v>9</v>
      </c>
      <c r="Q204" s="101" t="str" cm="1">
        <f t="array" ref="Q204">_xlfn.IFS(P204="","",ABS(P204)&lt;='Risk Matrices'!$E$8,'Risk Matrices'!$E$5,ABS(P204)&lt;='Risk Matrices'!$F$8,'Risk Matrices'!$F$5,ABS(P204)&lt;='Risk Matrices'!$G$8,'Risk Matrices'!$G$5,ABS(P204)&lt;='Risk Matrices'!$H$8,'Risk Matrices'!$H$5,ABS(P204)&gt;'Risk Matrices'!$H$8,'Risk Matrices'!$I$5)</f>
        <v>Significant</v>
      </c>
      <c r="R204" s="101" t="s">
        <v>280</v>
      </c>
      <c r="S204" s="106">
        <f t="shared" si="171"/>
        <v>2</v>
      </c>
      <c r="T204" s="106" cm="1">
        <f t="array" ref="T204">_xlfn.IFS(O204='Risk Matrices'!$D$28,'Risk Matrices'!$D$29,O204='Risk Matrices'!$E$28,'Risk Matrices'!$E$29,O204='Risk Matrices'!$F$28,'Risk Matrices'!$F$29,O204='Risk Matrices'!$G$28,'Risk Matrices'!$G$29,O204='Risk Matrices'!$H$28,'Risk Matrices'!$H$29)</f>
        <v>3</v>
      </c>
      <c r="U204" s="106">
        <f t="shared" si="172"/>
        <v>3</v>
      </c>
      <c r="V204" s="106">
        <f t="shared" si="182"/>
        <v>2</v>
      </c>
      <c r="W204" s="106">
        <f t="shared" si="174"/>
        <v>3</v>
      </c>
      <c r="X204" s="106">
        <f t="shared" si="175"/>
        <v>6</v>
      </c>
      <c r="Y204" s="107" t="str">
        <f t="shared" ref="Y204:Y212" si="186">IF(X204&lt;=6,"Low",IF(X204&lt;=14,"Moderate",IF(X204&lt;=25,"High")))</f>
        <v>Low</v>
      </c>
      <c r="Z204" s="104"/>
      <c r="AA204" s="108">
        <f t="shared" si="177"/>
        <v>0.17</v>
      </c>
      <c r="AB204" s="109">
        <f t="shared" si="178"/>
        <v>850.00000000000011</v>
      </c>
      <c r="AC204" s="109" t="s">
        <v>155</v>
      </c>
      <c r="AD204" s="113" t="s">
        <v>1389</v>
      </c>
      <c r="AE204" s="113"/>
      <c r="AF204" s="103" t="s">
        <v>167</v>
      </c>
      <c r="AG204" s="103"/>
      <c r="AH204" s="853" t="s">
        <v>1383</v>
      </c>
      <c r="AI204" s="880">
        <v>0.2</v>
      </c>
      <c r="AJ204" s="190">
        <v>1000</v>
      </c>
      <c r="AK204" s="190">
        <v>5000</v>
      </c>
      <c r="AL204" s="190">
        <v>7000</v>
      </c>
      <c r="AM204" s="190">
        <v>3</v>
      </c>
      <c r="AN204" s="190">
        <v>6</v>
      </c>
      <c r="AO204" s="190">
        <v>9</v>
      </c>
      <c r="AP204" s="112" t="str">
        <f>IF(OR(ISBLANK(AI204),AI204=0),"INSERT LIKELIHOOD",IF(ABS(AI204)&lt;='Risk Matrices'!$D$22,'Risk Matrices'!$C$21,IF(ABS(AI204)&lt;='Risk Matrices'!$D$19,'Risk Matrices'!$C$18,IF(ABS(AI204)&lt;='Risk Matrices'!$D$16,'Risk Matrices'!$C$15,IF(ABS(AI204)&lt;='Risk Matrices'!$D$13,'Risk Matrices'!$C$12,'Risk Matrices'!$C$10)))))</f>
        <v>Low</v>
      </c>
      <c r="AQ204" s="112" t="str">
        <f>IF(OR(ISBLANK(AK204),AK204=0),"None",IF(ABS(AK204)&lt;='Risk Matrices'!$E$7,'Risk Matrices'!$E$5,IF(ABS(AK204)&lt;='Risk Matrices'!$G$7,'Risk Matrices'!$G$5,IF(ABS(AK204)&lt;='Risk Matrices'!$H$7,'Risk Matrices'!$H$5,'Risk Matrices'!$I$5))))</f>
        <v>Significant</v>
      </c>
      <c r="AR204" s="112" t="str">
        <f>IF(AN204="","",IF(ABS(AN204)&lt;='Risk Matrices'!$E$8,"Negligible",IF(ABS(AN204)&lt;='Risk Matrices'!$F$8,"Marginal",IF(ABS(AN204)&lt;='Risk Matrices'!$G$8,"Significant",IF(ABS(AN204)&lt;='Risk Matrices'!$H$8,"Critical","Crisis")))))</f>
        <v>Marginal</v>
      </c>
      <c r="AS204" s="103" t="s">
        <v>280</v>
      </c>
      <c r="AT204" s="298">
        <f>IF(OR(ISBLANK(AI204),AI204=0),0,VLOOKUP(AP204,'Risk Matrices'!$B$30:$C$34,2,0))</f>
        <v>2</v>
      </c>
      <c r="AU204" s="298">
        <f>IF(OR(ISBLANK(AK204),AK204=0),0,HLOOKUP(AQ204,'Risk Matrices'!$D$28:$H$29,2,0))</f>
        <v>3</v>
      </c>
      <c r="AV204" s="298">
        <f>IF(OR(ISBLANK(AR204),AR204=0),0,HLOOKUP(AR204,'Risk Matrices'!$D$28:$H$29,2,0))</f>
        <v>2</v>
      </c>
      <c r="AW204" s="298">
        <f>IF(OR(ISBLANK(AS204),AS204=0),0,HLOOKUP(AS204,'Risk Matrices'!$D$28:$H$29,2,0))</f>
        <v>2</v>
      </c>
      <c r="AX204" s="106">
        <f t="shared" si="163"/>
        <v>3</v>
      </c>
      <c r="AY204" s="106">
        <f t="shared" si="164"/>
        <v>6</v>
      </c>
      <c r="AZ204" s="107" t="str">
        <f>IF(B204="Retired","Retired",IF(OR(ISBLANK(AY204),AY204=0),"TBD",IF(AY204&lt;='Risk Matrices'!$D$40,'Risk Matrices'!$B$40,IF(AY204&lt;='Risk Matrices'!$D$39,'Risk Matrices'!$B$39,'Risk Matrices'!$B$38))))</f>
        <v>Low</v>
      </c>
      <c r="BA204" s="104"/>
      <c r="BB204" s="113" t="s">
        <v>1390</v>
      </c>
      <c r="BC204" s="109">
        <f t="shared" si="165"/>
        <v>1000</v>
      </c>
      <c r="BD204" s="929">
        <v>45316</v>
      </c>
      <c r="BE204" s="104"/>
      <c r="BF204" s="104"/>
      <c r="BG204" s="104"/>
      <c r="BH204" s="104"/>
      <c r="BI204" s="104"/>
      <c r="BJ204" s="874">
        <f t="shared" si="179"/>
        <v>866.66666666666663</v>
      </c>
      <c r="BK204" s="101"/>
      <c r="BL204" s="101"/>
      <c r="BM204" s="116">
        <v>44012</v>
      </c>
      <c r="BN204" s="330">
        <v>44134</v>
      </c>
      <c r="BO204" s="1000"/>
      <c r="BP204" s="94">
        <f t="shared" si="183"/>
        <v>933.33333333333348</v>
      </c>
      <c r="BQ204" s="97" t="str">
        <f t="shared" si="167"/>
        <v>1000 - 5000 - 7000</v>
      </c>
      <c r="BR204" s="97" t="str">
        <f t="shared" si="168"/>
        <v>3 - 6 - 9</v>
      </c>
      <c r="BS204" s="715">
        <f t="shared" si="185"/>
        <v>866.66666666666663</v>
      </c>
      <c r="BT204" s="736">
        <f t="shared" si="170"/>
        <v>1.2</v>
      </c>
      <c r="BU204" s="735" t="s">
        <v>1391</v>
      </c>
      <c r="BV204" s="1002">
        <v>45504</v>
      </c>
      <c r="BW204" s="931">
        <f>BV204-BN204</f>
        <v>1370</v>
      </c>
    </row>
    <row r="205" spans="2:75" ht="165" outlineLevel="1" x14ac:dyDescent="0.2">
      <c r="B205" s="101" t="str">
        <f t="shared" si="184"/>
        <v>Active</v>
      </c>
      <c r="C205" s="785" t="s">
        <v>1392</v>
      </c>
      <c r="D205" s="101" t="s">
        <v>151</v>
      </c>
      <c r="E205" s="101" t="s">
        <v>1345</v>
      </c>
      <c r="F205" s="102" t="s">
        <v>124</v>
      </c>
      <c r="G205" s="106" t="s">
        <v>1346</v>
      </c>
      <c r="H205" s="103" t="str">
        <f t="shared" si="181"/>
        <v>RT-6-010-004</v>
      </c>
      <c r="I205" s="106" t="s">
        <v>1347</v>
      </c>
      <c r="J205" s="131" t="s">
        <v>559</v>
      </c>
      <c r="K205" s="101" t="s">
        <v>1393</v>
      </c>
      <c r="L205" s="104" t="s">
        <v>1394</v>
      </c>
      <c r="M205" s="104" t="s">
        <v>164</v>
      </c>
      <c r="N205" s="105">
        <v>10000</v>
      </c>
      <c r="O205" s="106" t="str" cm="1">
        <f t="array" ref="O205">_xlfn.IFS(N205="","",ABS(N205)&lt;='Risk Matrices'!$E$7,'Risk Matrices'!$E$5,ABS(N205)&lt;='Risk Matrices'!$F$7,'Risk Matrices'!$F$5,ABS(N205)&lt;='Risk Matrices'!$G$7,'Risk Matrices'!$G$5,ABS(N205)&lt;='Risk Matrices'!$H$7,'Risk Matrices'!$H$5,ABS(N205)&gt;'Risk Matrices'!$H$7,'Risk Matrices'!$I$5)</f>
        <v>Critical</v>
      </c>
      <c r="P205" s="101">
        <v>12</v>
      </c>
      <c r="Q205" s="101" t="str" cm="1">
        <f t="array" ref="Q205">_xlfn.IFS(P205="","",ABS(P205)&lt;='Risk Matrices'!$E$8,'Risk Matrices'!$E$5,ABS(P205)&lt;='Risk Matrices'!$F$8,'Risk Matrices'!$F$5,ABS(P205)&lt;='Risk Matrices'!$G$8,'Risk Matrices'!$G$5,ABS(P205)&lt;='Risk Matrices'!$H$8,'Risk Matrices'!$H$5,ABS(P205)&gt;'Risk Matrices'!$H$8,'Risk Matrices'!$I$5)</f>
        <v>Significant</v>
      </c>
      <c r="R205" s="101" t="s">
        <v>280</v>
      </c>
      <c r="S205" s="106">
        <f t="shared" si="171"/>
        <v>2</v>
      </c>
      <c r="T205" s="106" cm="1">
        <f t="array" ref="T205">_xlfn.IFS(O205='Risk Matrices'!$D$28,'Risk Matrices'!$D$29,O205='Risk Matrices'!$E$28,'Risk Matrices'!$E$29,O205='Risk Matrices'!$F$28,'Risk Matrices'!$F$29,O205='Risk Matrices'!$G$28,'Risk Matrices'!$G$29,O205='Risk Matrices'!$H$28,'Risk Matrices'!$H$29)</f>
        <v>4</v>
      </c>
      <c r="U205" s="106">
        <f t="shared" si="172"/>
        <v>3</v>
      </c>
      <c r="V205" s="106">
        <f t="shared" si="182"/>
        <v>2</v>
      </c>
      <c r="W205" s="106">
        <f t="shared" si="174"/>
        <v>4</v>
      </c>
      <c r="X205" s="106">
        <f t="shared" si="175"/>
        <v>8</v>
      </c>
      <c r="Y205" s="107" t="str">
        <f t="shared" si="186"/>
        <v>Moderate</v>
      </c>
      <c r="Z205" s="104"/>
      <c r="AA205" s="108">
        <f t="shared" si="177"/>
        <v>0.17</v>
      </c>
      <c r="AB205" s="109">
        <f t="shared" si="178"/>
        <v>1700.0000000000002</v>
      </c>
      <c r="AC205" s="109" t="s">
        <v>155</v>
      </c>
      <c r="AD205" s="124" t="s">
        <v>1395</v>
      </c>
      <c r="AE205" s="124"/>
      <c r="AF205" s="103" t="s">
        <v>1396</v>
      </c>
      <c r="AG205" s="103"/>
      <c r="AH205" s="854" t="s">
        <v>1397</v>
      </c>
      <c r="AI205" s="880">
        <v>0.2</v>
      </c>
      <c r="AJ205" s="190">
        <v>5000</v>
      </c>
      <c r="AK205" s="190">
        <v>10000</v>
      </c>
      <c r="AL205" s="190">
        <v>15000</v>
      </c>
      <c r="AM205" s="190">
        <v>9</v>
      </c>
      <c r="AN205" s="190">
        <v>12</v>
      </c>
      <c r="AO205" s="190">
        <v>18</v>
      </c>
      <c r="AP205" s="112" t="str">
        <f>IF(OR(ISBLANK(AI205),AI205=0),"INSERT LIKELIHOOD",IF(ABS(AI205)&lt;='Risk Matrices'!$D$22,'Risk Matrices'!$C$21,IF(ABS(AI205)&lt;='Risk Matrices'!$D$19,'Risk Matrices'!$C$18,IF(ABS(AI205)&lt;='Risk Matrices'!$D$16,'Risk Matrices'!$C$15,IF(ABS(AI205)&lt;='Risk Matrices'!$D$13,'Risk Matrices'!$C$12,'Risk Matrices'!$C$10)))))</f>
        <v>Low</v>
      </c>
      <c r="AQ205" s="112" t="str">
        <f>IF(OR(ISBLANK(AK205),AK205=0),"None",IF(ABS(AK205)&lt;='Risk Matrices'!$E$7,'Risk Matrices'!$E$5,IF(ABS(AK205)&lt;='Risk Matrices'!$G$7,'Risk Matrices'!$G$5,IF(ABS(AK205)&lt;='Risk Matrices'!$H$7,'Risk Matrices'!$H$5,'Risk Matrices'!$I$5))))</f>
        <v>Critical</v>
      </c>
      <c r="AR205" s="112" t="str">
        <f>IF(AN205="","",IF(ABS(AN205)&lt;='Risk Matrices'!$E$8,"Negligible",IF(ABS(AN205)&lt;='Risk Matrices'!$F$8,"Marginal",IF(ABS(AN205)&lt;='Risk Matrices'!$G$8,"Significant",IF(ABS(AN205)&lt;='Risk Matrices'!$H$8,"Critical","Crisis")))))</f>
        <v>Significant</v>
      </c>
      <c r="AS205" s="103" t="s">
        <v>280</v>
      </c>
      <c r="AT205" s="298">
        <f>IF(OR(ISBLANK(AI205),AI205=0),0,VLOOKUP(AP205,'Risk Matrices'!$B$30:$C$34,2,0))</f>
        <v>2</v>
      </c>
      <c r="AU205" s="298">
        <f>IF(OR(ISBLANK(AK205),AK205=0),0,HLOOKUP(AQ205,'Risk Matrices'!$D$28:$H$29,2,0))</f>
        <v>4</v>
      </c>
      <c r="AV205" s="298">
        <f>IF(OR(ISBLANK(AR205),AR205=0),0,HLOOKUP(AR205,'Risk Matrices'!$D$28:$H$29,2,0))</f>
        <v>3</v>
      </c>
      <c r="AW205" s="298">
        <f>IF(OR(ISBLANK(AS205),AS205=0),0,HLOOKUP(AS205,'Risk Matrices'!$D$28:$H$29,2,0))</f>
        <v>2</v>
      </c>
      <c r="AX205" s="106">
        <f t="shared" si="163"/>
        <v>4</v>
      </c>
      <c r="AY205" s="106">
        <f t="shared" si="164"/>
        <v>8</v>
      </c>
      <c r="AZ205" s="107" t="str">
        <f>IF(B205="Retired","Retired",IF(OR(ISBLANK(AY205),AY205=0),"TBD",IF(AY205&lt;='Risk Matrices'!$D$40,'Risk Matrices'!$B$40,IF(AY205&lt;='Risk Matrices'!$D$39,'Risk Matrices'!$B$39,'Risk Matrices'!$B$38))))</f>
        <v>Moderate</v>
      </c>
      <c r="BA205" s="104"/>
      <c r="BB205" s="113" t="s">
        <v>1398</v>
      </c>
      <c r="BC205" s="109">
        <f t="shared" si="165"/>
        <v>2000</v>
      </c>
      <c r="BD205" s="929">
        <v>45316</v>
      </c>
      <c r="BE205" s="104"/>
      <c r="BF205" s="104"/>
      <c r="BG205" s="104"/>
      <c r="BH205" s="104"/>
      <c r="BI205" s="104"/>
      <c r="BJ205" s="874">
        <f t="shared" si="179"/>
        <v>2000</v>
      </c>
      <c r="BK205" s="101"/>
      <c r="BL205" s="101"/>
      <c r="BM205" s="116">
        <v>44012</v>
      </c>
      <c r="BN205" s="330">
        <v>44134</v>
      </c>
      <c r="BO205" s="1000"/>
      <c r="BP205" s="94">
        <f t="shared" si="183"/>
        <v>2000</v>
      </c>
      <c r="BQ205" s="97" t="str">
        <f t="shared" si="167"/>
        <v>5000 - 10000 - 15000</v>
      </c>
      <c r="BR205" s="97" t="str">
        <f t="shared" si="168"/>
        <v>9 - 12 - 18</v>
      </c>
      <c r="BS205" s="715">
        <f t="shared" si="185"/>
        <v>2000</v>
      </c>
      <c r="BT205" s="736">
        <f t="shared" si="170"/>
        <v>2.6</v>
      </c>
      <c r="BU205" s="735" t="s">
        <v>1399</v>
      </c>
      <c r="BV205" s="1002">
        <v>45504</v>
      </c>
      <c r="BW205" s="931">
        <f>BV205-BN205</f>
        <v>1370</v>
      </c>
    </row>
    <row r="206" spans="2:75" ht="120" hidden="1" x14ac:dyDescent="0.2">
      <c r="B206" s="101" t="str">
        <f t="shared" si="184"/>
        <v>Retired</v>
      </c>
      <c r="C206" s="110" t="s">
        <v>1400</v>
      </c>
      <c r="D206" s="101" t="s">
        <v>151</v>
      </c>
      <c r="E206" s="101" t="s">
        <v>1345</v>
      </c>
      <c r="F206" s="102" t="s">
        <v>124</v>
      </c>
      <c r="G206" s="106" t="s">
        <v>1346</v>
      </c>
      <c r="H206" s="106"/>
      <c r="I206" s="106" t="s">
        <v>1347</v>
      </c>
      <c r="J206" s="143" t="s">
        <v>969</v>
      </c>
      <c r="K206" s="101" t="s">
        <v>1401</v>
      </c>
      <c r="L206" s="104" t="s">
        <v>1402</v>
      </c>
      <c r="M206" s="104" t="s">
        <v>164</v>
      </c>
      <c r="N206" s="105">
        <v>5000</v>
      </c>
      <c r="O206" s="106" t="str" cm="1">
        <f t="array" ref="O206">_xlfn.IFS(N206="","",ABS(N206)&lt;='Risk Matrices'!$E$7,'Risk Matrices'!$E$5,ABS(N206)&lt;='Risk Matrices'!$F$7,'Risk Matrices'!$F$5,ABS(N206)&lt;='Risk Matrices'!$G$7,'Risk Matrices'!$G$5,ABS(N206)&lt;='Risk Matrices'!$H$7,'Risk Matrices'!$H$5,ABS(N206)&gt;'Risk Matrices'!$H$7,'Risk Matrices'!$I$5)</f>
        <v>Significant</v>
      </c>
      <c r="P206" s="101">
        <v>6</v>
      </c>
      <c r="Q206" s="101" t="s">
        <v>280</v>
      </c>
      <c r="R206" s="101" t="s">
        <v>280</v>
      </c>
      <c r="S206" s="106">
        <f t="shared" si="171"/>
        <v>2</v>
      </c>
      <c r="T206" s="106" cm="1">
        <f t="array" ref="T206">_xlfn.IFS(O206='Risk Matrices'!$D$28,'Risk Matrices'!$D$29,O206='Risk Matrices'!$E$28,'Risk Matrices'!$E$29,O206='Risk Matrices'!$F$28,'Risk Matrices'!$F$29,O206='Risk Matrices'!$G$28,'Risk Matrices'!$G$29,O206='Risk Matrices'!$H$28,'Risk Matrices'!$H$29)</f>
        <v>3</v>
      </c>
      <c r="U206" s="106">
        <f t="shared" si="172"/>
        <v>2</v>
      </c>
      <c r="V206" s="106">
        <f>IF(R206="",0,IF(R206="Negligible",1,IF(R206="Marginal",2,IF(R206="Significant",3,IF(R206="Critical",4,IF(R206="Crisis",5))))))</f>
        <v>2</v>
      </c>
      <c r="W206" s="106">
        <f t="shared" si="174"/>
        <v>3</v>
      </c>
      <c r="X206" s="106">
        <f t="shared" si="175"/>
        <v>6</v>
      </c>
      <c r="Y206" s="107" t="str">
        <f t="shared" si="186"/>
        <v>Low</v>
      </c>
      <c r="Z206" s="104"/>
      <c r="AA206" s="108">
        <f t="shared" si="177"/>
        <v>0.17</v>
      </c>
      <c r="AB206" s="109">
        <f t="shared" si="178"/>
        <v>850.00000000000011</v>
      </c>
      <c r="AC206" s="109" t="s">
        <v>155</v>
      </c>
      <c r="AD206" s="104" t="s">
        <v>1403</v>
      </c>
      <c r="AE206" s="104"/>
      <c r="AF206" s="104"/>
      <c r="AG206" s="104"/>
      <c r="AH206" s="771" t="s">
        <v>1404</v>
      </c>
      <c r="AI206" s="880">
        <v>0.2</v>
      </c>
      <c r="AJ206" s="190">
        <v>5000</v>
      </c>
      <c r="AK206" s="190">
        <v>10000</v>
      </c>
      <c r="AL206" s="190">
        <v>15000</v>
      </c>
      <c r="AM206" s="190">
        <v>6</v>
      </c>
      <c r="AN206" s="190">
        <v>12</v>
      </c>
      <c r="AO206" s="190">
        <v>18</v>
      </c>
      <c r="AP206" s="112" t="str">
        <f>IF(OR(ISBLANK(AI206),AI206=0),"INSERT LIKELIHOOD",IF(ABS(AI206)&lt;='Risk Matrices'!$D$22,'Risk Matrices'!$C$21,IF(ABS(AI206)&lt;='Risk Matrices'!$D$19,'Risk Matrices'!$C$18,IF(ABS(AI206)&lt;='Risk Matrices'!$D$16,'Risk Matrices'!$C$15,IF(ABS(AI206)&lt;='Risk Matrices'!$D$13,'Risk Matrices'!$C$12,'Risk Matrices'!$C$10)))))</f>
        <v>Low</v>
      </c>
      <c r="AQ206" s="112" t="str">
        <f>IF(OR(ISBLANK(AK206),AK206=0),"None",IF(ABS(AK206)&lt;='Risk Matrices'!$E$7,'Risk Matrices'!$E$5,IF(ABS(AK206)&lt;='Risk Matrices'!$G$7,'Risk Matrices'!$G$5,IF(ABS(AK206)&lt;='Risk Matrices'!$H$7,'Risk Matrices'!$H$5,'Risk Matrices'!$I$5))))</f>
        <v>Critical</v>
      </c>
      <c r="AR206" s="112" t="str">
        <f>IF(AN206="","",IF(ABS(AN206)&lt;='Risk Matrices'!$E$8,"Negligible",IF(ABS(AN206)&lt;='Risk Matrices'!$F$8,"Marginal",IF(ABS(AN206)&lt;='Risk Matrices'!$G$8,"Significant",IF(ABS(AN206)&lt;='Risk Matrices'!$H$8,"Critical","Crisis")))))</f>
        <v>Significant</v>
      </c>
      <c r="AS206" s="103" t="s">
        <v>280</v>
      </c>
      <c r="AT206" s="298">
        <f>IF(OR(ISBLANK(AI206),AI206=0),0,VLOOKUP(AP206,'Risk Matrices'!$B$30:$C$34,2,0))</f>
        <v>2</v>
      </c>
      <c r="AU206" s="298">
        <f>IF(OR(ISBLANK(AK206),AK206=0),0,HLOOKUP(AQ206,'Risk Matrices'!$D$28:$H$29,2,0))</f>
        <v>4</v>
      </c>
      <c r="AV206" s="298">
        <f>IF(OR(ISBLANK(AR206),AR206=0),0,HLOOKUP(AR206,'Risk Matrices'!$D$28:$H$29,2,0))</f>
        <v>3</v>
      </c>
      <c r="AW206" s="298">
        <f>IF(OR(ISBLANK(AS206),AS206=0),0,HLOOKUP(AS206,'Risk Matrices'!$D$28:$H$29,2,0))</f>
        <v>2</v>
      </c>
      <c r="AX206" s="106">
        <f t="shared" si="163"/>
        <v>4</v>
      </c>
      <c r="AY206" s="106">
        <f t="shared" si="164"/>
        <v>8</v>
      </c>
      <c r="AZ206" s="107" t="str">
        <f>IF(B206="Retired","Retired",IF(OR(ISBLANK(AY206),AY206=0),"TBD",IF(AY206&lt;='Risk Matrices'!$D$40,'Risk Matrices'!$B$40,IF(AY206&lt;='Risk Matrices'!$D$39,'Risk Matrices'!$B$39,'Risk Matrices'!$B$38))))</f>
        <v>Retired</v>
      </c>
      <c r="BA206" s="104"/>
      <c r="BB206" s="113" t="s">
        <v>1405</v>
      </c>
      <c r="BC206" s="109" t="str">
        <f t="shared" si="165"/>
        <v>Retired</v>
      </c>
      <c r="BD206" s="104"/>
      <c r="BE206" s="104"/>
      <c r="BF206" s="104"/>
      <c r="BG206" s="104" t="s">
        <v>1406</v>
      </c>
      <c r="BH206" s="104"/>
      <c r="BI206" s="104"/>
      <c r="BJ206" s="874">
        <f t="shared" si="179"/>
        <v>2000</v>
      </c>
      <c r="BK206" s="101"/>
      <c r="BL206" s="116">
        <v>45069</v>
      </c>
      <c r="BM206" s="116">
        <v>44012</v>
      </c>
      <c r="BN206" s="330">
        <v>44134</v>
      </c>
      <c r="BO206" s="1000"/>
      <c r="BP206" s="94">
        <f>AI206*((2*AJ206+4*AK206+2*AL206)/6)</f>
        <v>2666.666666666667</v>
      </c>
      <c r="BQ206" s="97" t="str">
        <f t="shared" si="167"/>
        <v>5000 - 10000 - 15000</v>
      </c>
      <c r="BR206" s="97" t="str">
        <f t="shared" si="168"/>
        <v>6 - 12 - 18</v>
      </c>
      <c r="BS206" s="715">
        <f t="shared" si="185"/>
        <v>2000</v>
      </c>
      <c r="BT206" s="736">
        <f t="shared" si="170"/>
        <v>2.4</v>
      </c>
      <c r="BU206" s="735" t="s">
        <v>1407</v>
      </c>
    </row>
    <row r="207" spans="2:75" ht="75" x14ac:dyDescent="0.2">
      <c r="B207" s="101" t="str">
        <f t="shared" si="184"/>
        <v>Active</v>
      </c>
      <c r="C207" s="785" t="s">
        <v>1408</v>
      </c>
      <c r="D207" s="101" t="s">
        <v>151</v>
      </c>
      <c r="E207" s="101" t="s">
        <v>1345</v>
      </c>
      <c r="F207" s="102" t="s">
        <v>124</v>
      </c>
      <c r="G207" s="106" t="s">
        <v>1346</v>
      </c>
      <c r="H207" s="103" t="str">
        <f>C207</f>
        <v>RT-6-010-005b</v>
      </c>
      <c r="I207" s="106" t="s">
        <v>1347</v>
      </c>
      <c r="J207" s="143" t="s">
        <v>969</v>
      </c>
      <c r="K207" s="101" t="s">
        <v>1401</v>
      </c>
      <c r="L207" s="104" t="s">
        <v>1409</v>
      </c>
      <c r="M207" s="104" t="s">
        <v>164</v>
      </c>
      <c r="N207" s="105">
        <v>10000</v>
      </c>
      <c r="O207" s="106" t="str" cm="1">
        <f t="array" ref="O207">_xlfn.IFS(N207="","",ABS(N207)&lt;='Risk Matrices'!$E$7,'Risk Matrices'!$E$5,ABS(N207)&lt;='Risk Matrices'!$F$7,'Risk Matrices'!$F$5,ABS(N207)&lt;='Risk Matrices'!$G$7,'Risk Matrices'!$G$5,ABS(N207)&lt;='Risk Matrices'!$H$7,'Risk Matrices'!$H$5,ABS(N207)&gt;'Risk Matrices'!$H$7,'Risk Matrices'!$I$5)</f>
        <v>Critical</v>
      </c>
      <c r="P207" s="101">
        <v>18</v>
      </c>
      <c r="Q207" s="101" t="str" cm="1">
        <f t="array" ref="Q207">_xlfn.IFS(P207="","",ABS(P207)&lt;='Risk Matrices'!$E$8,'Risk Matrices'!$E$5,ABS(P207)&lt;='Risk Matrices'!$F$8,'Risk Matrices'!$F$5,ABS(P207)&lt;='Risk Matrices'!$G$8,'Risk Matrices'!$G$5,ABS(P207)&lt;='Risk Matrices'!$H$8,'Risk Matrices'!$H$5,ABS(P207)&gt;'Risk Matrices'!$H$8,'Risk Matrices'!$I$5)</f>
        <v>Critical</v>
      </c>
      <c r="R207" s="101" t="s">
        <v>280</v>
      </c>
      <c r="S207" s="106">
        <f t="shared" si="171"/>
        <v>2</v>
      </c>
      <c r="T207" s="106" cm="1">
        <f t="array" ref="T207">_xlfn.IFS(O207='Risk Matrices'!$D$28,'Risk Matrices'!$D$29,O207='Risk Matrices'!$E$28,'Risk Matrices'!$E$29,O207='Risk Matrices'!$F$28,'Risk Matrices'!$F$29,O207='Risk Matrices'!$G$28,'Risk Matrices'!$G$29,O207='Risk Matrices'!$H$28,'Risk Matrices'!$H$29)</f>
        <v>4</v>
      </c>
      <c r="U207" s="106">
        <f t="shared" si="172"/>
        <v>4</v>
      </c>
      <c r="V207" s="106">
        <f>IF(R207="None",0,IF(R207="Negligible",1,IF(R207="Marginal",2,IF(R207="Significant",3,IF(R207="Critical",4,IF(R207="Crisis",5))))))</f>
        <v>2</v>
      </c>
      <c r="W207" s="106">
        <f t="shared" si="174"/>
        <v>4</v>
      </c>
      <c r="X207" s="106">
        <f t="shared" si="175"/>
        <v>8</v>
      </c>
      <c r="Y207" s="107" t="str">
        <f t="shared" si="186"/>
        <v>Moderate</v>
      </c>
      <c r="Z207" s="104"/>
      <c r="AA207" s="108">
        <f t="shared" si="177"/>
        <v>0.17</v>
      </c>
      <c r="AB207" s="109">
        <f t="shared" si="178"/>
        <v>1700.0000000000002</v>
      </c>
      <c r="AC207" s="109" t="s">
        <v>155</v>
      </c>
      <c r="AD207" s="104" t="s">
        <v>1410</v>
      </c>
      <c r="AE207" s="104"/>
      <c r="AF207" s="103" t="s">
        <v>628</v>
      </c>
      <c r="AG207" s="103"/>
      <c r="AH207" s="777" t="s">
        <v>1411</v>
      </c>
      <c r="AI207" s="880">
        <v>0.2</v>
      </c>
      <c r="AJ207" s="190">
        <v>5000</v>
      </c>
      <c r="AK207" s="190">
        <v>10000</v>
      </c>
      <c r="AL207" s="190">
        <v>15000</v>
      </c>
      <c r="AM207" s="190">
        <v>6</v>
      </c>
      <c r="AN207" s="190">
        <v>12</v>
      </c>
      <c r="AO207" s="190">
        <v>18</v>
      </c>
      <c r="AP207" s="112" t="str">
        <f>IF(OR(ISBLANK(AI207),AI207=0),"INSERT LIKELIHOOD",IF(ABS(AI207)&lt;='Risk Matrices'!$D$22,'Risk Matrices'!$C$21,IF(ABS(AI207)&lt;='Risk Matrices'!$D$19,'Risk Matrices'!$C$18,IF(ABS(AI207)&lt;='Risk Matrices'!$D$16,'Risk Matrices'!$C$15,IF(ABS(AI207)&lt;='Risk Matrices'!$D$13,'Risk Matrices'!$C$12,'Risk Matrices'!$C$10)))))</f>
        <v>Low</v>
      </c>
      <c r="AQ207" s="112" t="str">
        <f>IF(OR(ISBLANK(AK207),AK207=0),"None",IF(ABS(AK207)&lt;='Risk Matrices'!$E$7,'Risk Matrices'!$E$5,IF(ABS(AK207)&lt;='Risk Matrices'!$G$7,'Risk Matrices'!$G$5,IF(ABS(AK207)&lt;='Risk Matrices'!$H$7,'Risk Matrices'!$H$5,'Risk Matrices'!$I$5))))</f>
        <v>Critical</v>
      </c>
      <c r="AR207" s="112" t="str">
        <f>IF(AN207="","",IF(ABS(AN207)&lt;='Risk Matrices'!$E$8,"Negligible",IF(ABS(AN207)&lt;='Risk Matrices'!$F$8,"Marginal",IF(ABS(AN207)&lt;='Risk Matrices'!$G$8,"Significant",IF(ABS(AN207)&lt;='Risk Matrices'!$H$8,"Critical","Crisis")))))</f>
        <v>Significant</v>
      </c>
      <c r="AS207" s="103" t="s">
        <v>280</v>
      </c>
      <c r="AT207" s="298">
        <f>IF(OR(ISBLANK(AI207),AI207=0),0,VLOOKUP(AP207,'Risk Matrices'!$B$30:$C$34,2,0))</f>
        <v>2</v>
      </c>
      <c r="AU207" s="298">
        <f>IF(OR(ISBLANK(AK207),AK207=0),0,HLOOKUP(AQ207,'Risk Matrices'!$D$28:$H$29,2,0))</f>
        <v>4</v>
      </c>
      <c r="AV207" s="298">
        <f>IF(OR(ISBLANK(AR207),AR207=0),0,HLOOKUP(AR207,'Risk Matrices'!$D$28:$H$29,2,0))</f>
        <v>3</v>
      </c>
      <c r="AW207" s="298">
        <f>IF(OR(ISBLANK(AS207),AS207=0),0,HLOOKUP(AS207,'Risk Matrices'!$D$28:$H$29,2,0))</f>
        <v>2</v>
      </c>
      <c r="AX207" s="106">
        <f t="shared" si="163"/>
        <v>4</v>
      </c>
      <c r="AY207" s="106">
        <f t="shared" si="164"/>
        <v>8</v>
      </c>
      <c r="AZ207" s="107" t="str">
        <f>IF(B207="Retired","Retired",IF(OR(ISBLANK(AY207),AY207=0),"TBD",IF(AY207&lt;='Risk Matrices'!$D$40,'Risk Matrices'!$B$40,IF(AY207&lt;='Risk Matrices'!$D$39,'Risk Matrices'!$B$39,'Risk Matrices'!$B$38))))</f>
        <v>Moderate</v>
      </c>
      <c r="BA207" s="104"/>
      <c r="BB207" s="113" t="s">
        <v>1412</v>
      </c>
      <c r="BC207" s="109">
        <f t="shared" si="165"/>
        <v>2000</v>
      </c>
      <c r="BD207" s="929">
        <v>45316</v>
      </c>
      <c r="BE207" s="104"/>
      <c r="BF207" s="104"/>
      <c r="BG207" s="104"/>
      <c r="BH207" s="104"/>
      <c r="BI207" s="104"/>
      <c r="BJ207" s="874">
        <f t="shared" si="179"/>
        <v>2000</v>
      </c>
      <c r="BK207" s="101"/>
      <c r="BL207" s="101"/>
      <c r="BM207" s="116">
        <v>44012</v>
      </c>
      <c r="BN207" s="330">
        <v>44134</v>
      </c>
      <c r="BO207" s="1000"/>
      <c r="BP207" s="94">
        <f>AI207*((AJ207+4*AK207+AL207)/6)</f>
        <v>2000</v>
      </c>
      <c r="BQ207" s="97" t="str">
        <f t="shared" si="167"/>
        <v>5000 - 10000 - 15000</v>
      </c>
      <c r="BR207" s="97" t="str">
        <f t="shared" si="168"/>
        <v>6 - 12 - 18</v>
      </c>
      <c r="BS207" s="715">
        <f t="shared" si="185"/>
        <v>2000</v>
      </c>
      <c r="BT207" s="736">
        <f t="shared" si="170"/>
        <v>2.4</v>
      </c>
      <c r="BU207" s="735" t="s">
        <v>1407</v>
      </c>
      <c r="BV207" s="1002">
        <v>45504</v>
      </c>
      <c r="BW207" s="931">
        <f>BV207-BN207</f>
        <v>1370</v>
      </c>
    </row>
    <row r="208" spans="2:75" ht="90" outlineLevel="1" x14ac:dyDescent="0.2">
      <c r="B208" s="101" t="str">
        <f t="shared" si="184"/>
        <v>Active</v>
      </c>
      <c r="C208" s="779" t="s">
        <v>1413</v>
      </c>
      <c r="D208" s="101" t="s">
        <v>151</v>
      </c>
      <c r="E208" s="101" t="s">
        <v>1345</v>
      </c>
      <c r="F208" s="102" t="s">
        <v>124</v>
      </c>
      <c r="G208" s="106" t="s">
        <v>1346</v>
      </c>
      <c r="H208" s="106" t="str">
        <f>C208</f>
        <v>RT-6-010-006</v>
      </c>
      <c r="I208" s="106" t="s">
        <v>1414</v>
      </c>
      <c r="J208" s="143" t="s">
        <v>969</v>
      </c>
      <c r="K208" s="182" t="s">
        <v>1415</v>
      </c>
      <c r="L208" s="104" t="s">
        <v>1416</v>
      </c>
      <c r="M208" s="103" t="s">
        <v>164</v>
      </c>
      <c r="N208" s="105">
        <v>100000</v>
      </c>
      <c r="O208" s="106" t="str" cm="1">
        <f t="array" ref="O208">_xlfn.IFS(N208="","",ABS(N208)&lt;='Risk Matrices'!$E$7,'Risk Matrices'!$E$5,ABS(N208)&lt;='Risk Matrices'!$F$7,'Risk Matrices'!$F$5,ABS(N208)&lt;='Risk Matrices'!$G$7,'Risk Matrices'!$G$5,ABS(N208)&lt;='Risk Matrices'!$H$7,'Risk Matrices'!$H$5,ABS(N208)&gt;'Risk Matrices'!$H$7,'Risk Matrices'!$I$5)</f>
        <v>Crisis</v>
      </c>
      <c r="P208" s="106">
        <v>9</v>
      </c>
      <c r="Q208" s="101" t="str" cm="1">
        <f t="array" ref="Q208">_xlfn.IFS(P208="","",ABS(P208)&lt;='Risk Matrices'!$E$8,'Risk Matrices'!$E$5,ABS(P208)&lt;='Risk Matrices'!$F$8,'Risk Matrices'!$F$5,ABS(P208)&lt;='Risk Matrices'!$G$8,'Risk Matrices'!$G$5,ABS(P208)&lt;='Risk Matrices'!$H$8,'Risk Matrices'!$H$5,ABS(P208)&gt;'Risk Matrices'!$H$8,'Risk Matrices'!$I$5)</f>
        <v>Significant</v>
      </c>
      <c r="R208" s="102" t="s">
        <v>406</v>
      </c>
      <c r="S208" s="106">
        <f t="shared" si="171"/>
        <v>2</v>
      </c>
      <c r="T208" s="106" cm="1">
        <f t="array" ref="T208">_xlfn.IFS(O208='Risk Matrices'!$D$28,'Risk Matrices'!$D$29,O208='Risk Matrices'!$E$28,'Risk Matrices'!$E$29,O208='Risk Matrices'!$F$28,'Risk Matrices'!$F$29,O208='Risk Matrices'!$G$28,'Risk Matrices'!$G$29,O208='Risk Matrices'!$H$28,'Risk Matrices'!$H$29)</f>
        <v>5</v>
      </c>
      <c r="U208" s="106">
        <f t="shared" si="172"/>
        <v>3</v>
      </c>
      <c r="V208" s="106">
        <f>IF(R208="None",0,IF(R208="Negligible",1,IF(R208="Marginal",2,IF(R208="Significant",3,IF(R208="Critical",4,IF(R208="Crisis",5))))))</f>
        <v>4</v>
      </c>
      <c r="W208" s="106">
        <f t="shared" si="174"/>
        <v>5</v>
      </c>
      <c r="X208" s="106">
        <f t="shared" si="175"/>
        <v>10</v>
      </c>
      <c r="Y208" s="107" t="str">
        <f t="shared" si="186"/>
        <v>Moderate</v>
      </c>
      <c r="Z208" s="104"/>
      <c r="AA208" s="108">
        <f t="shared" si="177"/>
        <v>0.17</v>
      </c>
      <c r="AB208" s="109">
        <f t="shared" si="178"/>
        <v>17000</v>
      </c>
      <c r="AC208" s="109" t="s">
        <v>155</v>
      </c>
      <c r="AD208" s="104" t="s">
        <v>1417</v>
      </c>
      <c r="AE208" s="104"/>
      <c r="AF208" s="103" t="s">
        <v>167</v>
      </c>
      <c r="AG208" s="103"/>
      <c r="AH208" s="853" t="s">
        <v>1383</v>
      </c>
      <c r="AI208" s="880">
        <v>0.2</v>
      </c>
      <c r="AJ208" s="191">
        <v>30000</v>
      </c>
      <c r="AK208" s="191">
        <v>60000</v>
      </c>
      <c r="AL208" s="191">
        <v>100000</v>
      </c>
      <c r="AM208" s="191">
        <v>6</v>
      </c>
      <c r="AN208" s="191">
        <v>9</v>
      </c>
      <c r="AO208" s="191">
        <v>12</v>
      </c>
      <c r="AP208" s="112" t="str">
        <f>IF(OR(ISBLANK(AI208),AI208=0),"INSERT LIKELIHOOD",IF(ABS(AI208)&lt;='Risk Matrices'!$D$22,'Risk Matrices'!$C$21,IF(ABS(AI208)&lt;='Risk Matrices'!$D$19,'Risk Matrices'!$C$18,IF(ABS(AI208)&lt;='Risk Matrices'!$D$16,'Risk Matrices'!$C$15,IF(ABS(AI208)&lt;='Risk Matrices'!$D$13,'Risk Matrices'!$C$12,'Risk Matrices'!$C$10)))))</f>
        <v>Low</v>
      </c>
      <c r="AQ208" s="112" t="str">
        <f>IF(OR(ISBLANK(AK208),AK208=0),"None",IF(ABS(AK208)&lt;='Risk Matrices'!$E$7,'Risk Matrices'!$E$5,IF(ABS(AK208)&lt;='Risk Matrices'!$G$7,'Risk Matrices'!$G$5,IF(ABS(AK208)&lt;='Risk Matrices'!$H$7,'Risk Matrices'!$H$5,'Risk Matrices'!$I$5))))</f>
        <v>Crisis</v>
      </c>
      <c r="AR208" s="112" t="str">
        <f>IF(AN208="","",IF(ABS(AN208)&lt;='Risk Matrices'!$E$8,"Negligible",IF(ABS(AN208)&lt;='Risk Matrices'!$F$8,"Marginal",IF(ABS(AN208)&lt;='Risk Matrices'!$G$8,"Significant",IF(ABS(AN208)&lt;='Risk Matrices'!$H$8,"Critical","Crisis")))))</f>
        <v>Significant</v>
      </c>
      <c r="AS208" s="102" t="s">
        <v>406</v>
      </c>
      <c r="AT208" s="298">
        <f>IF(OR(ISBLANK(AI208),AI208=0),0,VLOOKUP(AP208,'Risk Matrices'!$B$30:$C$34,2,0))</f>
        <v>2</v>
      </c>
      <c r="AU208" s="298">
        <f>IF(OR(ISBLANK(AK208),AK208=0),0,HLOOKUP(AQ208,'Risk Matrices'!$D$28:$H$29,2,0))</f>
        <v>5</v>
      </c>
      <c r="AV208" s="298">
        <f>IF(OR(ISBLANK(AR208),AR208=0),0,HLOOKUP(AR208,'Risk Matrices'!$D$28:$H$29,2,0))</f>
        <v>3</v>
      </c>
      <c r="AW208" s="298">
        <f>IF(OR(ISBLANK(AS208),AS208=0),0,HLOOKUP(AS208,'Risk Matrices'!$D$28:$H$29,2,0))</f>
        <v>4</v>
      </c>
      <c r="AX208" s="106">
        <f t="shared" si="163"/>
        <v>5</v>
      </c>
      <c r="AY208" s="106">
        <f t="shared" si="164"/>
        <v>10</v>
      </c>
      <c r="AZ208" s="107" t="str">
        <f>IF(B208="Retired","Retired",IF(OR(ISBLANK(AY208),AY208=0),"TBD",IF(AY208&lt;='Risk Matrices'!$D$40,'Risk Matrices'!$B$40,IF(AY208&lt;='Risk Matrices'!$D$39,'Risk Matrices'!$B$39,'Risk Matrices'!$B$38))))</f>
        <v>Moderate</v>
      </c>
      <c r="BA208" s="112"/>
      <c r="BB208" s="113" t="s">
        <v>1418</v>
      </c>
      <c r="BC208" s="109">
        <f t="shared" si="165"/>
        <v>12000</v>
      </c>
      <c r="BD208" s="929">
        <v>45316</v>
      </c>
      <c r="BE208" s="114"/>
      <c r="BF208" s="115"/>
      <c r="BG208" s="730"/>
      <c r="BH208" s="104"/>
      <c r="BI208" s="104"/>
      <c r="BJ208" s="874">
        <f t="shared" si="179"/>
        <v>12666.666666666668</v>
      </c>
      <c r="BK208" s="101"/>
      <c r="BL208" s="101"/>
      <c r="BM208" s="116">
        <v>44012</v>
      </c>
      <c r="BN208" s="330">
        <v>44134</v>
      </c>
      <c r="BO208" s="1000"/>
      <c r="BP208" s="94">
        <f>AI208*((AJ208+4*AK208+AL208)/6)</f>
        <v>12333.333333333334</v>
      </c>
      <c r="BQ208" s="97" t="str">
        <f t="shared" si="167"/>
        <v>30000 - 60000 - 100000</v>
      </c>
      <c r="BR208" s="97" t="str">
        <f t="shared" si="168"/>
        <v>6 - 9 - 12</v>
      </c>
      <c r="BS208" s="715">
        <f t="shared" si="185"/>
        <v>12666.666666666668</v>
      </c>
      <c r="BT208" s="736">
        <f t="shared" si="170"/>
        <v>1.8</v>
      </c>
      <c r="BU208" s="735" t="s">
        <v>1419</v>
      </c>
      <c r="BV208" s="1002">
        <v>45504</v>
      </c>
      <c r="BW208" s="931">
        <f>BV208-BN208</f>
        <v>1370</v>
      </c>
    </row>
    <row r="209" spans="2:75" ht="150" hidden="1" outlineLevel="1" x14ac:dyDescent="0.2">
      <c r="B209" s="101" t="str">
        <f t="shared" si="184"/>
        <v>Retired</v>
      </c>
      <c r="C209" s="785" t="s">
        <v>1420</v>
      </c>
      <c r="D209" s="101" t="s">
        <v>151</v>
      </c>
      <c r="E209" s="101" t="s">
        <v>1345</v>
      </c>
      <c r="F209" s="102" t="s">
        <v>124</v>
      </c>
      <c r="G209" s="106" t="s">
        <v>1346</v>
      </c>
      <c r="H209" s="106"/>
      <c r="I209" s="106" t="s">
        <v>1414</v>
      </c>
      <c r="J209" s="143" t="s">
        <v>969</v>
      </c>
      <c r="K209" s="101" t="s">
        <v>1421</v>
      </c>
      <c r="L209" s="104" t="s">
        <v>1422</v>
      </c>
      <c r="M209" s="104" t="s">
        <v>164</v>
      </c>
      <c r="N209" s="105">
        <v>10000</v>
      </c>
      <c r="O209" s="106" t="str" cm="1">
        <f t="array" ref="O209">_xlfn.IFS(N209="","",ABS(N209)&lt;='Risk Matrices'!$E$7,'Risk Matrices'!$E$5,ABS(N209)&lt;='Risk Matrices'!$F$7,'Risk Matrices'!$F$5,ABS(N209)&lt;='Risk Matrices'!$G$7,'Risk Matrices'!$G$5,ABS(N209)&lt;='Risk Matrices'!$H$7,'Risk Matrices'!$H$5,ABS(N209)&gt;'Risk Matrices'!$H$7,'Risk Matrices'!$I$5)</f>
        <v>Critical</v>
      </c>
      <c r="P209" s="101">
        <v>6</v>
      </c>
      <c r="Q209" s="101" t="s">
        <v>307</v>
      </c>
      <c r="R209" s="101" t="s">
        <v>280</v>
      </c>
      <c r="S209" s="106">
        <f t="shared" si="171"/>
        <v>2</v>
      </c>
      <c r="T209" s="106" cm="1">
        <f t="array" ref="T209">_xlfn.IFS(O209='Risk Matrices'!$D$28,'Risk Matrices'!$D$29,O209='Risk Matrices'!$E$28,'Risk Matrices'!$E$29,O209='Risk Matrices'!$F$28,'Risk Matrices'!$F$29,O209='Risk Matrices'!$G$28,'Risk Matrices'!$G$29,O209='Risk Matrices'!$H$28,'Risk Matrices'!$H$29)</f>
        <v>4</v>
      </c>
      <c r="U209" s="106">
        <f t="shared" si="172"/>
        <v>3</v>
      </c>
      <c r="V209" s="106">
        <f>IF(R209="",0,IF(R209="Negligible",1,IF(R209="Marginal",2,IF(R209="Significant",3,IF(R209="Critical",4,IF(R209="Crisis",5))))))</f>
        <v>2</v>
      </c>
      <c r="W209" s="106">
        <f t="shared" si="174"/>
        <v>4</v>
      </c>
      <c r="X209" s="106">
        <f t="shared" si="175"/>
        <v>8</v>
      </c>
      <c r="Y209" s="107" t="str">
        <f t="shared" si="186"/>
        <v>Moderate</v>
      </c>
      <c r="Z209" s="104"/>
      <c r="AA209" s="108">
        <f t="shared" si="177"/>
        <v>0.17</v>
      </c>
      <c r="AB209" s="109">
        <f t="shared" si="178"/>
        <v>1700.0000000000002</v>
      </c>
      <c r="AC209" s="109" t="s">
        <v>155</v>
      </c>
      <c r="AD209" s="104" t="s">
        <v>1423</v>
      </c>
      <c r="AE209" s="104"/>
      <c r="AF209" s="101" t="s">
        <v>1424</v>
      </c>
      <c r="AG209" s="101"/>
      <c r="AH209" s="858" t="s">
        <v>1425</v>
      </c>
      <c r="AI209" s="880">
        <v>0.2</v>
      </c>
      <c r="AJ209" s="190">
        <v>5000</v>
      </c>
      <c r="AK209" s="190">
        <v>10000</v>
      </c>
      <c r="AL209" s="190">
        <v>12000</v>
      </c>
      <c r="AM209" s="190">
        <v>3</v>
      </c>
      <c r="AN209" s="190">
        <v>6</v>
      </c>
      <c r="AO209" s="190">
        <v>12</v>
      </c>
      <c r="AP209" s="112" t="str">
        <f>IF(OR(ISBLANK(AI209),AI209=0),"INSERT LIKELIHOOD",IF(ABS(AI209)&lt;='Risk Matrices'!$D$22,'Risk Matrices'!$C$21,IF(ABS(AI209)&lt;='Risk Matrices'!$D$19,'Risk Matrices'!$C$18,IF(ABS(AI209)&lt;='Risk Matrices'!$D$16,'Risk Matrices'!$C$15,IF(ABS(AI209)&lt;='Risk Matrices'!$D$13,'Risk Matrices'!$C$12,'Risk Matrices'!$C$10)))))</f>
        <v>Low</v>
      </c>
      <c r="AQ209" s="112" t="str">
        <f>IF(OR(ISBLANK(AK209),AK209=0),"None",IF(ABS(AK209)&lt;='Risk Matrices'!$E$7,'Risk Matrices'!$E$5,IF(ABS(AK209)&lt;='Risk Matrices'!$G$7,'Risk Matrices'!$G$5,IF(ABS(AK209)&lt;='Risk Matrices'!$H$7,'Risk Matrices'!$H$5,'Risk Matrices'!$I$5))))</f>
        <v>Critical</v>
      </c>
      <c r="AR209" s="112" t="str">
        <f>IF(AN209="","",IF(ABS(AN209)&lt;='Risk Matrices'!$E$8,"Negligible",IF(ABS(AN209)&lt;='Risk Matrices'!$F$8,"Marginal",IF(ABS(AN209)&lt;='Risk Matrices'!$G$8,"Significant",IF(ABS(AN209)&lt;='Risk Matrices'!$H$8,"Critical","Crisis")))))</f>
        <v>Marginal</v>
      </c>
      <c r="AS209" s="103" t="s">
        <v>280</v>
      </c>
      <c r="AT209" s="298">
        <f>IF(OR(ISBLANK(AI209),AI209=0),0,VLOOKUP(AP209,'Risk Matrices'!$B$30:$C$34,2,0))</f>
        <v>2</v>
      </c>
      <c r="AU209" s="298">
        <f>IF(OR(ISBLANK(AK209),AK209=0),0,HLOOKUP(AQ209,'Risk Matrices'!$D$28:$H$29,2,0))</f>
        <v>4</v>
      </c>
      <c r="AV209" s="298">
        <f>IF(OR(ISBLANK(AR209),AR209=0),0,HLOOKUP(AR209,'Risk Matrices'!$D$28:$H$29,2,0))</f>
        <v>2</v>
      </c>
      <c r="AW209" s="298">
        <f>IF(OR(ISBLANK(AS209),AS209=0),0,HLOOKUP(AS209,'Risk Matrices'!$D$28:$H$29,2,0))</f>
        <v>2</v>
      </c>
      <c r="AX209" s="106">
        <f t="shared" si="163"/>
        <v>4</v>
      </c>
      <c r="AY209" s="106">
        <f t="shared" si="164"/>
        <v>8</v>
      </c>
      <c r="AZ209" s="107" t="str">
        <f>IF(B209="Retired","Retired",IF(OR(ISBLANK(AY209),AY209=0),"TBD",IF(AY209&lt;='Risk Matrices'!$D$40,'Risk Matrices'!$B$40,IF(AY209&lt;='Risk Matrices'!$D$39,'Risk Matrices'!$B$39,'Risk Matrices'!$B$38))))</f>
        <v>Retired</v>
      </c>
      <c r="BA209" s="104"/>
      <c r="BB209" s="113" t="s">
        <v>1426</v>
      </c>
      <c r="BC209" s="109" t="str">
        <f t="shared" si="165"/>
        <v>Retired</v>
      </c>
      <c r="BD209" s="104"/>
      <c r="BE209" s="104"/>
      <c r="BF209" s="104"/>
      <c r="BG209" s="104" t="s">
        <v>1427</v>
      </c>
      <c r="BH209" s="104"/>
      <c r="BI209" s="104"/>
      <c r="BJ209" s="874">
        <f t="shared" si="179"/>
        <v>1800</v>
      </c>
      <c r="BK209" s="101" t="s">
        <v>311</v>
      </c>
      <c r="BL209" s="116">
        <v>45020</v>
      </c>
      <c r="BM209" s="116">
        <v>44012</v>
      </c>
      <c r="BN209" s="330">
        <v>44134</v>
      </c>
      <c r="BO209" s="1000"/>
      <c r="BP209" s="94">
        <f>AI209*((AJ209+4*AK209+AL209)/6)</f>
        <v>1900</v>
      </c>
      <c r="BQ209" s="97" t="str">
        <f t="shared" si="167"/>
        <v>5000 - 10000 - 12000</v>
      </c>
      <c r="BR209" s="97" t="str">
        <f t="shared" si="168"/>
        <v>3 - 6 - 12</v>
      </c>
      <c r="BS209" s="715">
        <f t="shared" si="185"/>
        <v>1800</v>
      </c>
      <c r="BT209" s="736">
        <f t="shared" si="170"/>
        <v>1.4000000000000001</v>
      </c>
      <c r="BU209" s="735" t="s">
        <v>1428</v>
      </c>
      <c r="BV209" s="1002"/>
    </row>
    <row r="210" spans="2:75" ht="60" outlineLevel="1" x14ac:dyDescent="0.2">
      <c r="B210" s="101" t="str">
        <f t="shared" si="184"/>
        <v>Active</v>
      </c>
      <c r="C210" s="784" t="s">
        <v>1429</v>
      </c>
      <c r="D210" s="101" t="s">
        <v>151</v>
      </c>
      <c r="E210" s="101" t="s">
        <v>1345</v>
      </c>
      <c r="F210" s="102" t="s">
        <v>124</v>
      </c>
      <c r="G210" s="106" t="s">
        <v>1346</v>
      </c>
      <c r="H210" s="106" t="str">
        <f>C210</f>
        <v>RT-6-010-008</v>
      </c>
      <c r="I210" s="106" t="s">
        <v>1414</v>
      </c>
      <c r="J210" s="143" t="s">
        <v>969</v>
      </c>
      <c r="K210" s="101" t="s">
        <v>1430</v>
      </c>
      <c r="L210" s="713" t="s">
        <v>1431</v>
      </c>
      <c r="M210" s="103" t="s">
        <v>141</v>
      </c>
      <c r="N210" s="105">
        <v>1000</v>
      </c>
      <c r="O210" s="106" t="str" cm="1">
        <f t="array" ref="O210">_xlfn.IFS(N210="","",ABS(N210)&lt;='Risk Matrices'!$E$7,'Risk Matrices'!$E$5,ABS(N210)&lt;='Risk Matrices'!$F$7,'Risk Matrices'!$F$5,ABS(N210)&lt;='Risk Matrices'!$G$7,'Risk Matrices'!$G$5,ABS(N210)&lt;='Risk Matrices'!$H$7,'Risk Matrices'!$H$5,ABS(N210)&gt;'Risk Matrices'!$H$7,'Risk Matrices'!$I$5)</f>
        <v>Marginal</v>
      </c>
      <c r="P210" s="102" t="s">
        <v>432</v>
      </c>
      <c r="Q210" s="101" t="str" cm="1">
        <f t="array" ref="Q210">_xlfn.IFS(P210="","",ABS(P210)&lt;='Risk Matrices'!$E$8,'Risk Matrices'!$E$5,ABS(P210)&lt;='Risk Matrices'!$F$8,'Risk Matrices'!$F$5,ABS(P210)&lt;='Risk Matrices'!$G$8,'Risk Matrices'!$G$5,ABS(P210)&lt;='Risk Matrices'!$H$8,'Risk Matrices'!$H$5,ABS(P210)&gt;'Risk Matrices'!$H$8,'Risk Matrices'!$I$5)</f>
        <v>Significant</v>
      </c>
      <c r="R210" s="102" t="s">
        <v>207</v>
      </c>
      <c r="S210" s="106">
        <f t="shared" si="171"/>
        <v>3</v>
      </c>
      <c r="T210" s="106" cm="1">
        <f t="array" ref="T210">_xlfn.IFS(O210='Risk Matrices'!$D$28,'Risk Matrices'!$D$29,O210='Risk Matrices'!$E$28,'Risk Matrices'!$E$29,O210='Risk Matrices'!$F$28,'Risk Matrices'!$F$29,O210='Risk Matrices'!$G$28,'Risk Matrices'!$G$29,O210='Risk Matrices'!$H$28,'Risk Matrices'!$H$29)</f>
        <v>2</v>
      </c>
      <c r="U210" s="106">
        <f t="shared" si="172"/>
        <v>3</v>
      </c>
      <c r="V210" s="106">
        <f>IF(R210="None",0,IF(R210="Negligible",1,IF(R210="Marginal",2,IF(R210="Significant",3,IF(R210="Critical",4,IF(R210="Crisis",5))))))</f>
        <v>1</v>
      </c>
      <c r="W210" s="106">
        <f t="shared" si="174"/>
        <v>3</v>
      </c>
      <c r="X210" s="106">
        <f t="shared" si="175"/>
        <v>9</v>
      </c>
      <c r="Y210" s="107" t="str">
        <f t="shared" si="186"/>
        <v>Moderate</v>
      </c>
      <c r="Z210" s="108"/>
      <c r="AA210" s="108">
        <f t="shared" si="177"/>
        <v>0.32</v>
      </c>
      <c r="AB210" s="109">
        <f>N210*AA210</f>
        <v>320</v>
      </c>
      <c r="AC210" s="109" t="s">
        <v>155</v>
      </c>
      <c r="AD210" s="145" t="s">
        <v>1432</v>
      </c>
      <c r="AE210" s="145"/>
      <c r="AF210" s="103" t="s">
        <v>167</v>
      </c>
      <c r="AG210" s="103"/>
      <c r="AH210" s="853" t="s">
        <v>1383</v>
      </c>
      <c r="AI210" s="112">
        <v>0.3</v>
      </c>
      <c r="AJ210" s="101">
        <v>1000</v>
      </c>
      <c r="AK210" s="101">
        <v>2000</v>
      </c>
      <c r="AL210" s="101">
        <v>3000</v>
      </c>
      <c r="AM210" s="101">
        <v>6</v>
      </c>
      <c r="AN210" s="106">
        <v>12</v>
      </c>
      <c r="AO210" s="101">
        <v>18</v>
      </c>
      <c r="AP210" s="112" t="str">
        <f>IF(OR(ISBLANK(AI210),AI210=0),"INSERT LIKELIHOOD",IF(ABS(AI210)&lt;='Risk Matrices'!$D$22,'Risk Matrices'!$C$21,IF(ABS(AI210)&lt;='Risk Matrices'!$D$19,'Risk Matrices'!$C$18,IF(ABS(AI210)&lt;='Risk Matrices'!$D$16,'Risk Matrices'!$C$15,IF(ABS(AI210)&lt;='Risk Matrices'!$D$13,'Risk Matrices'!$C$12,'Risk Matrices'!$C$10)))))</f>
        <v>Moderate</v>
      </c>
      <c r="AQ210" s="112" t="str">
        <f>IF(OR(ISBLANK(AK210),AK210=0),"None",IF(ABS(AK210)&lt;='Risk Matrices'!$E$7,'Risk Matrices'!$E$5,IF(ABS(AK210)&lt;='Risk Matrices'!$G$7,'Risk Matrices'!$G$5,IF(ABS(AK210)&lt;='Risk Matrices'!$H$7,'Risk Matrices'!$H$5,'Risk Matrices'!$I$5))))</f>
        <v>Significant</v>
      </c>
      <c r="AR210" s="112" t="str">
        <f>IF(AN210="","",IF(ABS(AN210)&lt;='Risk Matrices'!$E$8,"Negligible",IF(ABS(AN210)&lt;='Risk Matrices'!$F$8,"Marginal",IF(ABS(AN210)&lt;='Risk Matrices'!$G$8,"Significant",IF(ABS(AN210)&lt;='Risk Matrices'!$H$8,"Critical","Crisis")))))</f>
        <v>Significant</v>
      </c>
      <c r="AS210" s="102" t="s">
        <v>207</v>
      </c>
      <c r="AT210" s="298">
        <f>IF(OR(ISBLANK(AI210),AI210=0),0,VLOOKUP(AP210,'Risk Matrices'!$B$30:$C$34,2,0))</f>
        <v>3</v>
      </c>
      <c r="AU210" s="298">
        <f>IF(OR(ISBLANK(AK210),AK210=0),0,HLOOKUP(AQ210,'Risk Matrices'!$D$28:$H$29,2,0))</f>
        <v>3</v>
      </c>
      <c r="AV210" s="298">
        <f>IF(OR(ISBLANK(AR210),AR210=0),0,HLOOKUP(AR210,'Risk Matrices'!$D$28:$H$29,2,0))</f>
        <v>3</v>
      </c>
      <c r="AW210" s="298">
        <f>IF(OR(ISBLANK(AS210),AS210=0),0,HLOOKUP(AS210,'Risk Matrices'!$D$28:$H$29,2,0))</f>
        <v>1</v>
      </c>
      <c r="AX210" s="106">
        <f t="shared" si="163"/>
        <v>3</v>
      </c>
      <c r="AY210" s="106">
        <f t="shared" si="164"/>
        <v>9</v>
      </c>
      <c r="AZ210" s="107" t="str">
        <f>IF(B210="Retired","Retired",IF(OR(ISBLANK(AY210),AY210=0),"TBD",IF(AY210&lt;='Risk Matrices'!$D$40,'Risk Matrices'!$B$40,IF(AY210&lt;='Risk Matrices'!$D$39,'Risk Matrices'!$B$39,'Risk Matrices'!$B$38))))</f>
        <v>Moderate</v>
      </c>
      <c r="BA210" s="104"/>
      <c r="BB210" s="101" t="s">
        <v>366</v>
      </c>
      <c r="BC210" s="109">
        <f t="shared" si="165"/>
        <v>600</v>
      </c>
      <c r="BD210" s="929">
        <v>45316</v>
      </c>
      <c r="BE210" s="104"/>
      <c r="BF210" s="104"/>
      <c r="BG210" s="104"/>
      <c r="BH210" s="104"/>
      <c r="BI210" s="104"/>
      <c r="BJ210" s="874">
        <f t="shared" si="179"/>
        <v>600</v>
      </c>
      <c r="BK210" s="101"/>
      <c r="BL210" s="166"/>
      <c r="BM210" s="116">
        <v>44012</v>
      </c>
      <c r="BN210" s="330">
        <v>44134</v>
      </c>
      <c r="BO210" s="1000"/>
      <c r="BP210" s="94">
        <f>AI210*((AJ210+4*AK210+AL210)/6)</f>
        <v>600</v>
      </c>
      <c r="BQ210" s="97" t="str">
        <f t="shared" si="167"/>
        <v>1000 - 2000 - 3000</v>
      </c>
      <c r="BR210" s="97" t="str">
        <f t="shared" si="168"/>
        <v>6 - 12 - 18</v>
      </c>
      <c r="BS210" s="715">
        <f t="shared" si="185"/>
        <v>600</v>
      </c>
      <c r="BT210" s="736">
        <f t="shared" si="170"/>
        <v>3.5999999999999996</v>
      </c>
      <c r="BU210" s="735" t="s">
        <v>1433</v>
      </c>
      <c r="BV210" s="1002">
        <v>45504</v>
      </c>
      <c r="BW210" s="931">
        <f>BV210-BN210</f>
        <v>1370</v>
      </c>
    </row>
    <row r="211" spans="2:75" ht="409.6" hidden="1" outlineLevel="1" x14ac:dyDescent="0.2">
      <c r="B211" s="101" t="str">
        <f t="shared" si="184"/>
        <v>Retired</v>
      </c>
      <c r="C211" s="110" t="s">
        <v>1434</v>
      </c>
      <c r="D211" s="101" t="s">
        <v>151</v>
      </c>
      <c r="E211" s="101" t="s">
        <v>1345</v>
      </c>
      <c r="F211" s="102" t="s">
        <v>124</v>
      </c>
      <c r="G211" s="106" t="s">
        <v>1346</v>
      </c>
      <c r="H211" s="106"/>
      <c r="I211" s="106" t="s">
        <v>1347</v>
      </c>
      <c r="J211" s="143" t="s">
        <v>969</v>
      </c>
      <c r="K211" s="101" t="s">
        <v>1435</v>
      </c>
      <c r="L211" s="104" t="s">
        <v>1436</v>
      </c>
      <c r="M211" s="104" t="s">
        <v>379</v>
      </c>
      <c r="N211" s="105">
        <v>5000</v>
      </c>
      <c r="O211" s="106" t="str" cm="1">
        <f t="array" ref="O211">_xlfn.IFS(N211="","",ABS(N211)&lt;='Risk Matrices'!$E$7,'Risk Matrices'!$E$5,ABS(N211)&lt;='Risk Matrices'!$F$7,'Risk Matrices'!$F$5,ABS(N211)&lt;='Risk Matrices'!$G$7,'Risk Matrices'!$G$5,ABS(N211)&lt;='Risk Matrices'!$H$7,'Risk Matrices'!$H$5,ABS(N211)&gt;'Risk Matrices'!$H$7,'Risk Matrices'!$I$5)</f>
        <v>Significant</v>
      </c>
      <c r="P211" s="101">
        <v>3</v>
      </c>
      <c r="Q211" s="101" t="s">
        <v>307</v>
      </c>
      <c r="R211" s="101" t="s">
        <v>207</v>
      </c>
      <c r="S211" s="106">
        <f t="shared" si="171"/>
        <v>1</v>
      </c>
      <c r="T211" s="106" cm="1">
        <f t="array" ref="T211">_xlfn.IFS(O211='Risk Matrices'!$D$28,'Risk Matrices'!$D$29,O211='Risk Matrices'!$E$28,'Risk Matrices'!$E$29,O211='Risk Matrices'!$F$28,'Risk Matrices'!$F$29,O211='Risk Matrices'!$G$28,'Risk Matrices'!$G$29,O211='Risk Matrices'!$H$28,'Risk Matrices'!$H$29)</f>
        <v>3</v>
      </c>
      <c r="U211" s="106">
        <f t="shared" si="172"/>
        <v>3</v>
      </c>
      <c r="V211" s="106">
        <f>IF(R211="",0,IF(R211="Negligible",1,IF(R211="Marginal",2,IF(R211="Significant",3,IF(R211="Critical",4,IF(R211="Crisis",5))))))</f>
        <v>1</v>
      </c>
      <c r="W211" s="106">
        <f t="shared" si="174"/>
        <v>3</v>
      </c>
      <c r="X211" s="106">
        <f t="shared" si="175"/>
        <v>3</v>
      </c>
      <c r="Y211" s="107" t="str">
        <f t="shared" si="186"/>
        <v>Low</v>
      </c>
      <c r="Z211" s="104" t="s">
        <v>1437</v>
      </c>
      <c r="AA211" s="108">
        <f t="shared" si="177"/>
        <v>0.05</v>
      </c>
      <c r="AB211" s="109">
        <f>+AA211*N211</f>
        <v>250</v>
      </c>
      <c r="AC211" s="109" t="s">
        <v>155</v>
      </c>
      <c r="AD211" s="104" t="s">
        <v>1438</v>
      </c>
      <c r="AE211" s="104"/>
      <c r="AF211" s="104"/>
      <c r="AG211" s="104"/>
      <c r="AH211" s="163" t="s">
        <v>1439</v>
      </c>
      <c r="AI211" s="880">
        <v>0.05</v>
      </c>
      <c r="AJ211" s="190">
        <v>2000</v>
      </c>
      <c r="AK211" s="190">
        <v>3000</v>
      </c>
      <c r="AL211" s="190">
        <v>5000</v>
      </c>
      <c r="AM211" s="190">
        <v>1</v>
      </c>
      <c r="AN211" s="190">
        <v>3</v>
      </c>
      <c r="AO211" s="190">
        <v>6</v>
      </c>
      <c r="AP211" s="112" t="str">
        <f>IF(OR(ISBLANK(AI211),AI211=0),"INSERT LIKELIHOOD",IF(ABS(AI211)&lt;='Risk Matrices'!$D$22,'Risk Matrices'!$C$21,IF(ABS(AI211)&lt;='Risk Matrices'!$D$19,'Risk Matrices'!$C$18,IF(ABS(AI211)&lt;='Risk Matrices'!$D$16,'Risk Matrices'!$C$15,IF(ABS(AI211)&lt;='Risk Matrices'!$D$13,'Risk Matrices'!$C$12,'Risk Matrices'!$C$10)))))</f>
        <v>Very Low</v>
      </c>
      <c r="AQ211" s="112" t="str">
        <f>IF(OR(ISBLANK(AK211),AK211=0),"None",IF(ABS(AK211)&lt;='Risk Matrices'!$E$7,'Risk Matrices'!$E$5,IF(ABS(AK211)&lt;='Risk Matrices'!$G$7,'Risk Matrices'!$G$5,IF(ABS(AK211)&lt;='Risk Matrices'!$H$7,'Risk Matrices'!$H$5,'Risk Matrices'!$I$5))))</f>
        <v>Significant</v>
      </c>
      <c r="AR211" s="112" t="str">
        <f>IF(AN211="","",IF(ABS(AN211)&lt;='Risk Matrices'!$E$8,"Negligible",IF(ABS(AN211)&lt;='Risk Matrices'!$F$8,"Marginal",IF(ABS(AN211)&lt;='Risk Matrices'!$G$8,"Significant",IF(ABS(AN211)&lt;='Risk Matrices'!$H$8,"Critical","Crisis")))))</f>
        <v>Negligible</v>
      </c>
      <c r="AS211" s="103" t="s">
        <v>207</v>
      </c>
      <c r="AT211" s="298">
        <f>IF(OR(ISBLANK(AI211),AI211=0),0,VLOOKUP(AP211,'Risk Matrices'!$B$30:$C$34,2,0))</f>
        <v>1</v>
      </c>
      <c r="AU211" s="298">
        <f>IF(OR(ISBLANK(AK211),AK211=0),0,HLOOKUP(AQ211,'Risk Matrices'!$D$28:$H$29,2,0))</f>
        <v>3</v>
      </c>
      <c r="AV211" s="298">
        <f>IF(OR(ISBLANK(AR211),AR211=0),0,HLOOKUP(AR211,'Risk Matrices'!$D$28:$H$29,2,0))</f>
        <v>1</v>
      </c>
      <c r="AW211" s="298">
        <f>IF(OR(ISBLANK(AS211),AS211=0),0,HLOOKUP(AS211,'Risk Matrices'!$D$28:$H$29,2,0))</f>
        <v>1</v>
      </c>
      <c r="AX211" s="106">
        <f t="shared" si="163"/>
        <v>3</v>
      </c>
      <c r="AY211" s="106">
        <f t="shared" si="164"/>
        <v>3</v>
      </c>
      <c r="AZ211" s="107" t="str">
        <f>IF(B211="Retired","Retired",IF(OR(ISBLANK(AY211),AY211=0),"TBD",IF(AY211&lt;='Risk Matrices'!$D$40,'Risk Matrices'!$B$40,IF(AY211&lt;='Risk Matrices'!$D$39,'Risk Matrices'!$B$39,'Risk Matrices'!$B$38))))</f>
        <v>Retired</v>
      </c>
      <c r="BA211" s="104"/>
      <c r="BB211" s="113" t="s">
        <v>1440</v>
      </c>
      <c r="BC211" s="109" t="str">
        <f t="shared" si="165"/>
        <v>Retired</v>
      </c>
      <c r="BD211" s="104"/>
      <c r="BE211" s="104"/>
      <c r="BF211" s="104"/>
      <c r="BG211" s="104" t="s">
        <v>1441</v>
      </c>
      <c r="BH211" s="115"/>
      <c r="BI211" s="115"/>
      <c r="BJ211" s="874">
        <f t="shared" si="179"/>
        <v>166.66666666666669</v>
      </c>
      <c r="BK211" s="101" t="s">
        <v>294</v>
      </c>
      <c r="BL211" s="116">
        <v>45084</v>
      </c>
      <c r="BM211" s="116">
        <v>44012</v>
      </c>
      <c r="BN211" s="330">
        <v>44134</v>
      </c>
      <c r="BO211" s="1000"/>
      <c r="BP211" s="94">
        <f>AI211*((2*AJ211+4*AK211+2*AL211)/6)</f>
        <v>216.66666666666666</v>
      </c>
      <c r="BQ211" s="97" t="str">
        <f t="shared" si="167"/>
        <v>2000 - 3000 - 5000</v>
      </c>
      <c r="BR211" s="97" t="str">
        <f t="shared" si="168"/>
        <v>1 - 3 - 6</v>
      </c>
      <c r="BS211" s="715">
        <f t="shared" si="185"/>
        <v>166.66666666666669</v>
      </c>
      <c r="BT211" s="736">
        <f t="shared" si="170"/>
        <v>0.16666666666666666</v>
      </c>
      <c r="BU211" s="735" t="s">
        <v>1442</v>
      </c>
    </row>
    <row r="212" spans="2:75" ht="90" outlineLevel="1" x14ac:dyDescent="0.2">
      <c r="B212" s="101" t="str">
        <f t="shared" si="184"/>
        <v>Active</v>
      </c>
      <c r="C212" s="790" t="s">
        <v>1443</v>
      </c>
      <c r="D212" s="101" t="s">
        <v>151</v>
      </c>
      <c r="E212" s="101" t="s">
        <v>1345</v>
      </c>
      <c r="F212" s="102" t="s">
        <v>124</v>
      </c>
      <c r="G212" s="106" t="s">
        <v>1346</v>
      </c>
      <c r="H212" s="103" t="str">
        <f>C212</f>
        <v>RT-6-010-009b</v>
      </c>
      <c r="I212" s="106" t="s">
        <v>1347</v>
      </c>
      <c r="J212" s="143" t="s">
        <v>969</v>
      </c>
      <c r="K212" s="101" t="s">
        <v>1444</v>
      </c>
      <c r="L212" s="104" t="s">
        <v>1445</v>
      </c>
      <c r="M212" s="103" t="s">
        <v>141</v>
      </c>
      <c r="N212" s="190">
        <v>5000</v>
      </c>
      <c r="O212" s="106" t="str" cm="1">
        <f t="array" ref="O212">_xlfn.IFS(N212="","",ABS(N212)&lt;='Risk Matrices'!$E$7,'Risk Matrices'!$E$5,ABS(N212)&lt;='Risk Matrices'!$F$7,'Risk Matrices'!$F$5,ABS(N212)&lt;='Risk Matrices'!$G$7,'Risk Matrices'!$G$5,ABS(N212)&lt;='Risk Matrices'!$H$7,'Risk Matrices'!$H$5,ABS(N212)&gt;'Risk Matrices'!$H$7,'Risk Matrices'!$I$5)</f>
        <v>Significant</v>
      </c>
      <c r="P212" s="101">
        <v>9</v>
      </c>
      <c r="Q212" s="101" t="str" cm="1">
        <f t="array" ref="Q212">_xlfn.IFS(P212="","",ABS(P212)&lt;='Risk Matrices'!$E$8,'Risk Matrices'!$E$5,ABS(P212)&lt;='Risk Matrices'!$F$8,'Risk Matrices'!$F$5,ABS(P212)&lt;='Risk Matrices'!$G$8,'Risk Matrices'!$G$5,ABS(P212)&lt;='Risk Matrices'!$H$8,'Risk Matrices'!$H$5,ABS(P212)&gt;'Risk Matrices'!$H$8,'Risk Matrices'!$I$5)</f>
        <v>Significant</v>
      </c>
      <c r="R212" s="101" t="s">
        <v>130</v>
      </c>
      <c r="S212" s="106">
        <f t="shared" si="171"/>
        <v>3</v>
      </c>
      <c r="T212" s="106" cm="1">
        <f t="array" ref="T212">_xlfn.IFS(O212='Risk Matrices'!$D$28,'Risk Matrices'!$D$29,O212='Risk Matrices'!$E$28,'Risk Matrices'!$E$29,O212='Risk Matrices'!$F$28,'Risk Matrices'!$F$29,O212='Risk Matrices'!$G$28,'Risk Matrices'!$G$29,O212='Risk Matrices'!$H$28,'Risk Matrices'!$H$29)</f>
        <v>3</v>
      </c>
      <c r="U212" s="106">
        <f t="shared" si="172"/>
        <v>3</v>
      </c>
      <c r="V212" s="106">
        <f>IF(R212="None",0,IF(R212="Negligible",1,IF(R212="Marginal",2,IF(R212="Significant",3,IF(R212="Critical",4,IF(R212="Crisis",5))))))</f>
        <v>0</v>
      </c>
      <c r="W212" s="106">
        <f t="shared" si="174"/>
        <v>3</v>
      </c>
      <c r="X212" s="106">
        <f t="shared" si="175"/>
        <v>9</v>
      </c>
      <c r="Y212" s="107" t="str">
        <f t="shared" si="186"/>
        <v>Moderate</v>
      </c>
      <c r="Z212" s="104"/>
      <c r="AA212" s="108"/>
      <c r="AB212" s="109"/>
      <c r="AC212" s="109" t="s">
        <v>155</v>
      </c>
      <c r="AD212" s="104" t="s">
        <v>1446</v>
      </c>
      <c r="AE212" s="104"/>
      <c r="AF212" s="127" t="s">
        <v>1023</v>
      </c>
      <c r="AG212" s="127"/>
      <c r="AH212" s="157" t="s">
        <v>1447</v>
      </c>
      <c r="AI212" s="880">
        <v>0.2</v>
      </c>
      <c r="AJ212" s="190">
        <v>4000</v>
      </c>
      <c r="AK212" s="190">
        <v>5000</v>
      </c>
      <c r="AL212" s="190">
        <v>6000</v>
      </c>
      <c r="AM212" s="190">
        <v>6</v>
      </c>
      <c r="AN212" s="190">
        <v>9</v>
      </c>
      <c r="AO212" s="190">
        <v>12</v>
      </c>
      <c r="AP212" s="112" t="str">
        <f>IF(OR(ISBLANK(AI212),AI212=0),"INSERT LIKELIHOOD",IF(ABS(AI212)&lt;='Risk Matrices'!$D$22,'Risk Matrices'!$C$21,IF(ABS(AI212)&lt;='Risk Matrices'!$D$19,'Risk Matrices'!$C$18,IF(ABS(AI212)&lt;='Risk Matrices'!$D$16,'Risk Matrices'!$C$15,IF(ABS(AI212)&lt;='Risk Matrices'!$D$13,'Risk Matrices'!$C$12,'Risk Matrices'!$C$10)))))</f>
        <v>Low</v>
      </c>
      <c r="AQ212" s="112" t="str">
        <f>IF(OR(ISBLANK(AK212),AK212=0),"None",IF(ABS(AK212)&lt;='Risk Matrices'!$E$7,'Risk Matrices'!$E$5,IF(ABS(AK212)&lt;='Risk Matrices'!$G$7,'Risk Matrices'!$G$5,IF(ABS(AK212)&lt;='Risk Matrices'!$H$7,'Risk Matrices'!$H$5,'Risk Matrices'!$I$5))))</f>
        <v>Significant</v>
      </c>
      <c r="AR212" s="112" t="str">
        <f>IF(AN212="","",IF(ABS(AN212)&lt;='Risk Matrices'!$E$8,"Negligible",IF(ABS(AN212)&lt;='Risk Matrices'!$F$8,"Marginal",IF(ABS(AN212)&lt;='Risk Matrices'!$G$8,"Significant",IF(ABS(AN212)&lt;='Risk Matrices'!$H$8,"Critical","Crisis")))))</f>
        <v>Significant</v>
      </c>
      <c r="AS212" s="103" t="s">
        <v>207</v>
      </c>
      <c r="AT212" s="298">
        <f>IF(OR(ISBLANK(AI212),AI212=0),0,VLOOKUP(AP212,'Risk Matrices'!$B$30:$C$34,2,0))</f>
        <v>2</v>
      </c>
      <c r="AU212" s="298">
        <f>IF(OR(ISBLANK(AK212),AK212=0),0,HLOOKUP(AQ212,'Risk Matrices'!$D$28:$H$29,2,0))</f>
        <v>3</v>
      </c>
      <c r="AV212" s="298">
        <f>IF(OR(ISBLANK(AR212),AR212=0),0,HLOOKUP(AR212,'Risk Matrices'!$D$28:$H$29,2,0))</f>
        <v>3</v>
      </c>
      <c r="AW212" s="298">
        <f>IF(OR(ISBLANK(AS212),AS212=0),0,HLOOKUP(AS212,'Risk Matrices'!$D$28:$H$29,2,0))</f>
        <v>1</v>
      </c>
      <c r="AX212" s="106">
        <f t="shared" si="163"/>
        <v>3</v>
      </c>
      <c r="AY212" s="106">
        <f t="shared" si="164"/>
        <v>6</v>
      </c>
      <c r="AZ212" s="107" t="str">
        <f>IF(B212="Retired","Retired",IF(OR(ISBLANK(AY212),AY212=0),"TBD",IF(AY212&lt;='Risk Matrices'!$D$40,'Risk Matrices'!$B$40,IF(AY212&lt;='Risk Matrices'!$D$39,'Risk Matrices'!$B$39,'Risk Matrices'!$B$38))))</f>
        <v>Low</v>
      </c>
      <c r="BA212" s="104"/>
      <c r="BB212" s="101" t="s">
        <v>366</v>
      </c>
      <c r="BC212" s="109">
        <f t="shared" si="165"/>
        <v>1000</v>
      </c>
      <c r="BD212" s="929">
        <v>45316</v>
      </c>
      <c r="BE212" s="104"/>
      <c r="BF212" s="104"/>
      <c r="BG212" s="104"/>
      <c r="BH212" s="104"/>
      <c r="BI212" s="104"/>
      <c r="BJ212" s="874">
        <f t="shared" si="179"/>
        <v>1000</v>
      </c>
      <c r="BK212" s="101"/>
      <c r="BL212" s="116"/>
      <c r="BM212" s="116">
        <v>45084</v>
      </c>
      <c r="BN212" s="330">
        <v>45084</v>
      </c>
      <c r="BO212" s="1000"/>
      <c r="BP212" s="94">
        <f>AI212*((AJ212+4*AK212+AL212)/6)</f>
        <v>1000</v>
      </c>
      <c r="BQ212" s="97" t="str">
        <f t="shared" si="167"/>
        <v>4000 - 5000 - 6000</v>
      </c>
      <c r="BR212" s="97" t="str">
        <f t="shared" si="168"/>
        <v>6 - 9 - 12</v>
      </c>
      <c r="BS212" s="715">
        <f t="shared" si="185"/>
        <v>1000</v>
      </c>
      <c r="BT212" s="736">
        <f t="shared" si="170"/>
        <v>1.8</v>
      </c>
      <c r="BU212" s="735"/>
      <c r="BV212" s="1002">
        <v>45504</v>
      </c>
      <c r="BW212" s="931">
        <f>BV212-BN212</f>
        <v>420</v>
      </c>
    </row>
    <row r="213" spans="2:75" ht="136" customHeight="1" x14ac:dyDescent="0.2">
      <c r="B213" s="101" t="str">
        <f t="shared" si="184"/>
        <v>Active</v>
      </c>
      <c r="C213" s="785" t="s">
        <v>1448</v>
      </c>
      <c r="D213" s="101" t="s">
        <v>151</v>
      </c>
      <c r="E213" s="101" t="s">
        <v>1345</v>
      </c>
      <c r="F213" s="102" t="s">
        <v>124</v>
      </c>
      <c r="G213" s="106" t="s">
        <v>1346</v>
      </c>
      <c r="H213" s="103" t="str">
        <f>C213</f>
        <v>RT-6-010-010</v>
      </c>
      <c r="I213" s="106" t="s">
        <v>1347</v>
      </c>
      <c r="J213" s="143" t="s">
        <v>969</v>
      </c>
      <c r="K213" s="101" t="s">
        <v>1449</v>
      </c>
      <c r="L213" s="104" t="s">
        <v>1450</v>
      </c>
      <c r="M213" s="104" t="s">
        <v>164</v>
      </c>
      <c r="N213" s="105">
        <v>5000</v>
      </c>
      <c r="O213" s="106" t="str" cm="1">
        <f t="array" ref="O213">_xlfn.IFS(N213="","",ABS(N213)&lt;='Risk Matrices'!$E$7,'Risk Matrices'!$E$5,ABS(N213)&lt;='Risk Matrices'!$F$7,'Risk Matrices'!$F$5,ABS(N213)&lt;='Risk Matrices'!$G$7,'Risk Matrices'!$G$5,ABS(N213)&lt;='Risk Matrices'!$H$7,'Risk Matrices'!$H$5,ABS(N213)&gt;'Risk Matrices'!$H$7,'Risk Matrices'!$I$5)</f>
        <v>Significant</v>
      </c>
      <c r="P213" s="101">
        <v>12</v>
      </c>
      <c r="Q213" s="101" t="str" cm="1">
        <f t="array" ref="Q213">_xlfn.IFS(P213="","",ABS(P213)&lt;='Risk Matrices'!$E$8,'Risk Matrices'!$E$5,ABS(P213)&lt;='Risk Matrices'!$F$8,'Risk Matrices'!$F$5,ABS(P213)&lt;='Risk Matrices'!$G$8,'Risk Matrices'!$G$5,ABS(P213)&lt;='Risk Matrices'!$H$8,'Risk Matrices'!$H$5,ABS(P213)&gt;'Risk Matrices'!$H$8,'Risk Matrices'!$I$5)</f>
        <v>Significant</v>
      </c>
      <c r="R213" s="101" t="s">
        <v>280</v>
      </c>
      <c r="S213" s="106">
        <f t="shared" si="171"/>
        <v>2</v>
      </c>
      <c r="T213" s="106" cm="1">
        <f t="array" ref="T213">_xlfn.IFS(O213='Risk Matrices'!$D$28,'Risk Matrices'!$D$29,O213='Risk Matrices'!$E$28,'Risk Matrices'!$E$29,O213='Risk Matrices'!$F$28,'Risk Matrices'!$F$29,O213='Risk Matrices'!$G$28,'Risk Matrices'!$G$29,O213='Risk Matrices'!$H$28,'Risk Matrices'!$H$29)</f>
        <v>3</v>
      </c>
      <c r="U213" s="106">
        <f>IF(Q213="",0,IF(Q213="Negligible",1,IF(Q213="Marginal",2,IF(Q213="Significant",3,IF(Q213="Critical",4,IF(Q213="Crisis",5))))))</f>
        <v>3</v>
      </c>
      <c r="V213" s="106">
        <f>IF(R213="None",0,IF(R213="Negligible",1,IF(R213="Marginal",2,IF(R213="Significant",3,IF(R213="Critical",4,IF(R213="Crisis",5))))))</f>
        <v>2</v>
      </c>
      <c r="W213" s="106">
        <f>MAX(T213,U213,V213)</f>
        <v>3</v>
      </c>
      <c r="X213" s="106">
        <f>S213*W213</f>
        <v>6</v>
      </c>
      <c r="Y213" s="107" t="str">
        <f t="shared" ref="Y213:Y244" si="187">IF(X213&lt;=6,"Low",IF(X213&lt;=14,"Moderate",IF(X213&lt;=25,"High")))</f>
        <v>Low</v>
      </c>
      <c r="Z213" s="104"/>
      <c r="AA213" s="108">
        <f>IF(M213="",0,IF(M213="Very Low (There is a &lt;10% chance that this event will occur)",0.05,IF(M213="Low (Risk is likely to occur with a probability of &gt; 10% to &lt; 25%)",0.17,IF(M213="Moderate (Risk is likely to occur with a probability of &gt; 25% to &lt; 40%)",0.32,IF(M213="High (Risk is likely to occur with a probability of &gt;40 to &lt;65%)",0.52,IF(M213="Very High (Risk is likely to occur with a probability of &gt;65%)",0.82))))))</f>
        <v>0.17</v>
      </c>
      <c r="AB213" s="109">
        <f>+AA213*N213</f>
        <v>850.00000000000011</v>
      </c>
      <c r="AC213" s="109" t="s">
        <v>155</v>
      </c>
      <c r="AD213" s="104" t="s">
        <v>1451</v>
      </c>
      <c r="AE213" s="104"/>
      <c r="AF213" s="103" t="s">
        <v>628</v>
      </c>
      <c r="AG213" s="103"/>
      <c r="AH213" s="855" t="s">
        <v>1452</v>
      </c>
      <c r="AI213" s="880">
        <v>0.2</v>
      </c>
      <c r="AJ213" s="190">
        <v>3000</v>
      </c>
      <c r="AK213" s="190">
        <v>5000</v>
      </c>
      <c r="AL213" s="190">
        <v>10000</v>
      </c>
      <c r="AM213" s="190">
        <v>6</v>
      </c>
      <c r="AN213" s="190">
        <v>12</v>
      </c>
      <c r="AO213" s="190">
        <v>18</v>
      </c>
      <c r="AP213" s="112" t="str">
        <f>IF(OR(ISBLANK(AI213),AI213=0),"INSERT LIKELIHOOD",IF(ABS(AI213)&lt;='Risk Matrices'!$D$22,'Risk Matrices'!$C$21,IF(ABS(AI213)&lt;='Risk Matrices'!$D$19,'Risk Matrices'!$C$18,IF(ABS(AI213)&lt;='Risk Matrices'!$D$16,'Risk Matrices'!$C$15,IF(ABS(AI213)&lt;='Risk Matrices'!$D$13,'Risk Matrices'!$C$12,'Risk Matrices'!$C$10)))))</f>
        <v>Low</v>
      </c>
      <c r="AQ213" s="112" t="str">
        <f>IF(OR(ISBLANK(AK213),AK213=0),"None",IF(ABS(AK213)&lt;='Risk Matrices'!$E$7,'Risk Matrices'!$E$5,IF(ABS(AK213)&lt;='Risk Matrices'!$G$7,'Risk Matrices'!$G$5,IF(ABS(AK213)&lt;='Risk Matrices'!$H$7,'Risk Matrices'!$H$5,'Risk Matrices'!$I$5))))</f>
        <v>Significant</v>
      </c>
      <c r="AR213" s="112" t="str">
        <f>IF(AN213="","",IF(ABS(AN213)&lt;='Risk Matrices'!$E$8,"Negligible",IF(ABS(AN213)&lt;='Risk Matrices'!$F$8,"Marginal",IF(ABS(AN213)&lt;='Risk Matrices'!$G$8,"Significant",IF(ABS(AN213)&lt;='Risk Matrices'!$H$8,"Critical","Crisis")))))</f>
        <v>Significant</v>
      </c>
      <c r="AS213" s="103" t="s">
        <v>280</v>
      </c>
      <c r="AT213" s="298">
        <f>IF(OR(ISBLANK(AI213),AI213=0),0,VLOOKUP(AP213,'Risk Matrices'!$B$30:$C$34,2,0))</f>
        <v>2</v>
      </c>
      <c r="AU213" s="298">
        <f>IF(OR(ISBLANK(AK213),AK213=0),0,HLOOKUP(AQ213,'Risk Matrices'!$D$28:$H$29,2,0))</f>
        <v>3</v>
      </c>
      <c r="AV213" s="298">
        <f>IF(OR(ISBLANK(AR213),AR213=0),0,HLOOKUP(AR213,'Risk Matrices'!$D$28:$H$29,2,0))</f>
        <v>3</v>
      </c>
      <c r="AW213" s="298">
        <f>IF(OR(ISBLANK(AS213),AS213=0),0,HLOOKUP(AS213,'Risk Matrices'!$D$28:$H$29,2,0))</f>
        <v>2</v>
      </c>
      <c r="AX213" s="106">
        <f t="shared" si="163"/>
        <v>3</v>
      </c>
      <c r="AY213" s="106">
        <f t="shared" si="164"/>
        <v>6</v>
      </c>
      <c r="AZ213" s="107" t="str">
        <f>IF(B213="Retired","Retired",IF(OR(ISBLANK(AY213),AY213=0),"TBD",IF(AY213&lt;='Risk Matrices'!$D$40,'Risk Matrices'!$B$40,IF(AY213&lt;='Risk Matrices'!$D$39,'Risk Matrices'!$B$39,'Risk Matrices'!$B$38))))</f>
        <v>Low</v>
      </c>
      <c r="BA213" s="104"/>
      <c r="BB213" s="113" t="s">
        <v>1453</v>
      </c>
      <c r="BC213" s="109">
        <f t="shared" si="165"/>
        <v>1000</v>
      </c>
      <c r="BD213" s="929">
        <v>45316</v>
      </c>
      <c r="BE213" s="104"/>
      <c r="BF213" s="104"/>
      <c r="BG213" s="104"/>
      <c r="BH213" s="104"/>
      <c r="BI213" s="104"/>
      <c r="BJ213" s="874">
        <f t="shared" si="179"/>
        <v>1200</v>
      </c>
      <c r="BK213" s="101"/>
      <c r="BL213" s="101"/>
      <c r="BM213" s="116">
        <v>44012</v>
      </c>
      <c r="BN213" s="330">
        <v>44134</v>
      </c>
      <c r="BO213" s="1000"/>
      <c r="BP213" s="94">
        <f>AI213*((AJ213+4*AK213+AL213)/6)</f>
        <v>1100</v>
      </c>
      <c r="BQ213" s="97" t="str">
        <f t="shared" si="167"/>
        <v>3000 - 5000 - 10000</v>
      </c>
      <c r="BR213" s="97" t="str">
        <f t="shared" si="168"/>
        <v>6 - 12 - 18</v>
      </c>
      <c r="BS213" s="715">
        <f t="shared" si="185"/>
        <v>1200</v>
      </c>
      <c r="BT213" s="736">
        <f t="shared" si="170"/>
        <v>2.4</v>
      </c>
      <c r="BU213" s="735" t="s">
        <v>1454</v>
      </c>
      <c r="BV213" s="1002">
        <v>45504</v>
      </c>
      <c r="BW213" s="931">
        <f>BV213-BN213</f>
        <v>1370</v>
      </c>
    </row>
    <row r="214" spans="2:75" ht="225" hidden="1" collapsed="1" x14ac:dyDescent="0.2">
      <c r="B214" s="101" t="str">
        <f t="shared" si="184"/>
        <v>Retired</v>
      </c>
      <c r="C214" s="110" t="s">
        <v>1455</v>
      </c>
      <c r="D214" s="101" t="s">
        <v>151</v>
      </c>
      <c r="E214" s="101" t="s">
        <v>1345</v>
      </c>
      <c r="F214" s="102" t="s">
        <v>124</v>
      </c>
      <c r="G214" s="106" t="s">
        <v>1346</v>
      </c>
      <c r="H214" s="106"/>
      <c r="I214" s="106" t="s">
        <v>1414</v>
      </c>
      <c r="J214" s="143" t="s">
        <v>969</v>
      </c>
      <c r="K214" s="157" t="s">
        <v>1456</v>
      </c>
      <c r="L214" s="104" t="s">
        <v>1457</v>
      </c>
      <c r="M214" s="714" t="s">
        <v>379</v>
      </c>
      <c r="N214" s="105">
        <v>20000</v>
      </c>
      <c r="O214" s="106" t="str" cm="1">
        <f t="array" ref="O214">_xlfn.IFS(N214="","",ABS(N214)&lt;='Risk Matrices'!$E$7,'Risk Matrices'!$E$5,ABS(N214)&lt;='Risk Matrices'!$F$7,'Risk Matrices'!$F$5,ABS(N214)&lt;='Risk Matrices'!$G$7,'Risk Matrices'!$G$5,ABS(N214)&lt;='Risk Matrices'!$H$7,'Risk Matrices'!$H$5,ABS(N214)&gt;'Risk Matrices'!$H$7,'Risk Matrices'!$I$5)</f>
        <v>Critical</v>
      </c>
      <c r="P214" s="101">
        <v>12</v>
      </c>
      <c r="Q214" s="101" t="s">
        <v>406</v>
      </c>
      <c r="R214" s="101" t="s">
        <v>307</v>
      </c>
      <c r="S214" s="106">
        <f t="shared" si="171"/>
        <v>1</v>
      </c>
      <c r="T214" s="106" cm="1">
        <f t="array" ref="T214">_xlfn.IFS(O214='Risk Matrices'!$D$28,'Risk Matrices'!$D$29,O214='Risk Matrices'!$E$28,'Risk Matrices'!$E$29,O214='Risk Matrices'!$F$28,'Risk Matrices'!$F$29,O214='Risk Matrices'!$G$28,'Risk Matrices'!$G$29,O214='Risk Matrices'!$H$28,'Risk Matrices'!$H$29)</f>
        <v>4</v>
      </c>
      <c r="U214" s="106">
        <f>IF(Q214="",0,IF(Q214="Negligible",1,IF(Q214="Marginal",2,IF(Q214="Significant",3,IF(Q214="Critical",4,IF(Q214="Crisis",5))))))</f>
        <v>4</v>
      </c>
      <c r="V214" s="106">
        <f>IF(R214="",0,IF(R214="Negligible",1,IF(R214="Marginal",2,IF(R214="Significant",3,IF(R214="Critical",4,IF(R214="Crisis",5))))))</f>
        <v>3</v>
      </c>
      <c r="W214" s="106">
        <f>MAX(T214,U214,V214)</f>
        <v>4</v>
      </c>
      <c r="X214" s="106">
        <f>S214*W214</f>
        <v>4</v>
      </c>
      <c r="Y214" s="107" t="str">
        <f t="shared" si="187"/>
        <v>Low</v>
      </c>
      <c r="Z214" s="104"/>
      <c r="AA214" s="108">
        <f>IF(M214="",0,IF(M214="Very Low (There is a &lt;10% chance that this event will occur)",0.05,IF(M214="Low (Risk is likely to occur with a probability of &gt; 10% to &lt; 25%)",0.17,IF(M214="Moderate (Risk is likely to occur with a probability of &gt; 25% to &lt; 40%)",0.32,IF(M214="High (Risk is likely to occur with a probability of &gt;40 to &lt;65%)",0.52,IF(M214="Very High (Risk is likely to occur with a probability of &gt;65%)",0.82))))))</f>
        <v>0.05</v>
      </c>
      <c r="AB214" s="109">
        <f>+AA214*N214</f>
        <v>1000</v>
      </c>
      <c r="AC214" s="109" t="s">
        <v>155</v>
      </c>
      <c r="AD214" s="104" t="s">
        <v>1458</v>
      </c>
      <c r="AE214" s="751"/>
      <c r="AF214" s="751"/>
      <c r="AG214" s="751"/>
      <c r="AH214" s="719" t="s">
        <v>1404</v>
      </c>
      <c r="AI214" s="878">
        <v>0.05</v>
      </c>
      <c r="AJ214" s="101">
        <v>15000</v>
      </c>
      <c r="AK214" s="101">
        <v>20000</v>
      </c>
      <c r="AL214" s="101">
        <v>25000</v>
      </c>
      <c r="AM214" s="101">
        <v>6</v>
      </c>
      <c r="AN214" s="101">
        <v>12</v>
      </c>
      <c r="AO214" s="101">
        <v>18</v>
      </c>
      <c r="AP214" s="112" t="str">
        <f>IF(OR(ISBLANK(AI214),AI214=0),"INSERT LIKELIHOOD",IF(ABS(AI214)&lt;='Risk Matrices'!$D$22,'Risk Matrices'!$C$21,IF(ABS(AI214)&lt;='Risk Matrices'!$D$19,'Risk Matrices'!$C$18,IF(ABS(AI214)&lt;='Risk Matrices'!$D$16,'Risk Matrices'!$C$15,IF(ABS(AI214)&lt;='Risk Matrices'!$D$13,'Risk Matrices'!$C$12,'Risk Matrices'!$C$10)))))</f>
        <v>Very Low</v>
      </c>
      <c r="AQ214" s="112" t="str">
        <f>IF(OR(ISBLANK(AK214),AK214=0),"None",IF(ABS(AK214)&lt;='Risk Matrices'!$E$7,'Risk Matrices'!$E$5,IF(ABS(AK214)&lt;='Risk Matrices'!$G$7,'Risk Matrices'!$G$5,IF(ABS(AK214)&lt;='Risk Matrices'!$H$7,'Risk Matrices'!$H$5,'Risk Matrices'!$I$5))))</f>
        <v>Critical</v>
      </c>
      <c r="AR214" s="112" t="str">
        <f>IF(AN214="","",IF(ABS(AN214)&lt;='Risk Matrices'!$E$8,"Negligible",IF(ABS(AN214)&lt;='Risk Matrices'!$F$8,"Marginal",IF(ABS(AN214)&lt;='Risk Matrices'!$G$8,"Significant",IF(ABS(AN214)&lt;='Risk Matrices'!$H$8,"Critical","Crisis")))))</f>
        <v>Significant</v>
      </c>
      <c r="AS214" s="103" t="s">
        <v>307</v>
      </c>
      <c r="AT214" s="298">
        <f>IF(OR(ISBLANK(AI214),AI214=0),0,VLOOKUP(AP214,'Risk Matrices'!$B$30:$C$34,2,0))</f>
        <v>1</v>
      </c>
      <c r="AU214" s="298">
        <f>IF(OR(ISBLANK(AK214),AK214=0),0,HLOOKUP(AQ214,'Risk Matrices'!$D$28:$H$29,2,0))</f>
        <v>4</v>
      </c>
      <c r="AV214" s="298">
        <f>IF(OR(ISBLANK(AR214),AR214=0),0,HLOOKUP(AR214,'Risk Matrices'!$D$28:$H$29,2,0))</f>
        <v>3</v>
      </c>
      <c r="AW214" s="298">
        <f>IF(OR(ISBLANK(AS214),AS214=0),0,HLOOKUP(AS214,'Risk Matrices'!$D$28:$H$29,2,0))</f>
        <v>3</v>
      </c>
      <c r="AX214" s="106">
        <f t="shared" si="163"/>
        <v>4</v>
      </c>
      <c r="AY214" s="106">
        <f t="shared" si="164"/>
        <v>4</v>
      </c>
      <c r="AZ214" s="107" t="str">
        <f>IF(B214="Retired","Retired",IF(OR(ISBLANK(AY214),AY214=0),"TBD",IF(AY214&lt;='Risk Matrices'!$D$40,'Risk Matrices'!$B$40,IF(AY214&lt;='Risk Matrices'!$D$39,'Risk Matrices'!$B$39,'Risk Matrices'!$B$38))))</f>
        <v>Retired</v>
      </c>
      <c r="BA214" s="104"/>
      <c r="BB214" s="113" t="s">
        <v>1459</v>
      </c>
      <c r="BC214" s="109" t="str">
        <f t="shared" si="165"/>
        <v>Retired</v>
      </c>
      <c r="BD214" s="104"/>
      <c r="BE214" s="104"/>
      <c r="BF214" s="104"/>
      <c r="BG214" s="104" t="s">
        <v>1406</v>
      </c>
      <c r="BH214" s="104"/>
      <c r="BI214" s="104"/>
      <c r="BJ214" s="874">
        <f t="shared" si="179"/>
        <v>1000</v>
      </c>
      <c r="BK214" s="101"/>
      <c r="BL214" s="116">
        <v>45069</v>
      </c>
      <c r="BM214" s="116">
        <v>44012</v>
      </c>
      <c r="BN214" s="330">
        <v>44134</v>
      </c>
      <c r="BO214" s="1000"/>
      <c r="BP214" s="94">
        <f>AI214*((2*AJ214+4*AK214+2*AL214)/6)</f>
        <v>1333.3333333333335</v>
      </c>
      <c r="BQ214" s="97" t="str">
        <f t="shared" si="167"/>
        <v>15000 - 20000 - 25000</v>
      </c>
      <c r="BR214" s="97" t="str">
        <f t="shared" si="168"/>
        <v>6 - 12 - 18</v>
      </c>
      <c r="BS214" s="715">
        <f t="shared" si="185"/>
        <v>1000</v>
      </c>
      <c r="BT214" s="736">
        <f t="shared" si="170"/>
        <v>0.6</v>
      </c>
      <c r="BU214" s="735" t="s">
        <v>1460</v>
      </c>
      <c r="BV214" s="1002"/>
    </row>
    <row r="215" spans="2:75" ht="105" outlineLevel="1" x14ac:dyDescent="0.2">
      <c r="B215" s="101" t="str">
        <f t="shared" si="184"/>
        <v>Active</v>
      </c>
      <c r="C215" s="790" t="s">
        <v>1461</v>
      </c>
      <c r="D215" s="101" t="s">
        <v>151</v>
      </c>
      <c r="E215" s="101" t="s">
        <v>1345</v>
      </c>
      <c r="F215" s="102" t="s">
        <v>124</v>
      </c>
      <c r="G215" s="106" t="s">
        <v>1346</v>
      </c>
      <c r="H215" s="106" t="str">
        <f t="shared" ref="H215:H233" si="188">C215</f>
        <v>RT-6-010-011b</v>
      </c>
      <c r="I215" s="106" t="s">
        <v>1414</v>
      </c>
      <c r="J215" s="143" t="s">
        <v>969</v>
      </c>
      <c r="K215" s="101" t="s">
        <v>1462</v>
      </c>
      <c r="L215" s="104" t="s">
        <v>1463</v>
      </c>
      <c r="M215" s="103" t="s">
        <v>164</v>
      </c>
      <c r="N215" s="101">
        <v>25000</v>
      </c>
      <c r="O215" s="106" t="str" cm="1">
        <f t="array" ref="O215">_xlfn.IFS(N215="","",ABS(N215)&lt;='Risk Matrices'!$E$7,'Risk Matrices'!$E$5,ABS(N215)&lt;='Risk Matrices'!$F$7,'Risk Matrices'!$F$5,ABS(N215)&lt;='Risk Matrices'!$G$7,'Risk Matrices'!$G$5,ABS(N215)&lt;='Risk Matrices'!$H$7,'Risk Matrices'!$H$5,ABS(N215)&gt;'Risk Matrices'!$H$7,'Risk Matrices'!$I$5)</f>
        <v>Critical</v>
      </c>
      <c r="P215" s="101">
        <v>12</v>
      </c>
      <c r="Q215" s="101" t="str" cm="1">
        <f t="array" ref="Q215">_xlfn.IFS(P215="","",ABS(P215)&lt;='Risk Matrices'!$E$8,'Risk Matrices'!$E$5,ABS(P215)&lt;='Risk Matrices'!$F$8,'Risk Matrices'!$F$5,ABS(P215)&lt;='Risk Matrices'!$G$8,'Risk Matrices'!$G$5,ABS(P215)&lt;='Risk Matrices'!$H$8,'Risk Matrices'!$H$5,ABS(P215)&gt;'Risk Matrices'!$H$8,'Risk Matrices'!$I$5)</f>
        <v>Significant</v>
      </c>
      <c r="R215" s="101" t="s">
        <v>130</v>
      </c>
      <c r="S215" s="106">
        <f t="shared" si="171"/>
        <v>2</v>
      </c>
      <c r="T215" s="106" cm="1">
        <f t="array" ref="T215">_xlfn.IFS(O215='Risk Matrices'!$D$28,'Risk Matrices'!$D$29,O215='Risk Matrices'!$E$28,'Risk Matrices'!$E$29,O215='Risk Matrices'!$F$28,'Risk Matrices'!$F$29,O215='Risk Matrices'!$G$28,'Risk Matrices'!$G$29,O215='Risk Matrices'!$H$28,'Risk Matrices'!$H$29)</f>
        <v>4</v>
      </c>
      <c r="U215" s="106">
        <f>IF(Q215="",0,IF(Q215="Negligible",1,IF(Q215="Marginal",2,IF(Q215="Significant",3,IF(Q215="Critical",4,IF(Q215="Crisis",5))))))</f>
        <v>3</v>
      </c>
      <c r="V215" s="106">
        <f t="shared" ref="V215:V233" si="189">IF(R215="None",0,IF(R215="Negligible",1,IF(R215="Marginal",2,IF(R215="Significant",3,IF(R215="Critical",4,IF(R215="Crisis",5))))))</f>
        <v>0</v>
      </c>
      <c r="W215" s="106">
        <f>MAX(T215,U215,V215)</f>
        <v>4</v>
      </c>
      <c r="X215" s="106">
        <f>S215*W215</f>
        <v>8</v>
      </c>
      <c r="Y215" s="107" t="str">
        <f t="shared" si="187"/>
        <v>Moderate</v>
      </c>
      <c r="Z215" s="104"/>
      <c r="AA215" s="108"/>
      <c r="AB215" s="109"/>
      <c r="AC215" s="109" t="s">
        <v>155</v>
      </c>
      <c r="AD215" s="945" t="s">
        <v>1464</v>
      </c>
      <c r="AE215" s="938"/>
      <c r="AF215" s="103" t="s">
        <v>628</v>
      </c>
      <c r="AG215" s="103"/>
      <c r="AH215" s="777" t="s">
        <v>1411</v>
      </c>
      <c r="AI215" s="878">
        <v>0.1</v>
      </c>
      <c r="AJ215" s="101">
        <v>20000</v>
      </c>
      <c r="AK215" s="101">
        <v>25000</v>
      </c>
      <c r="AL215" s="101">
        <v>30000</v>
      </c>
      <c r="AM215" s="101">
        <v>6</v>
      </c>
      <c r="AN215" s="101">
        <v>12</v>
      </c>
      <c r="AO215" s="101">
        <v>18</v>
      </c>
      <c r="AP215" s="112" t="s">
        <v>1465</v>
      </c>
      <c r="AQ215" s="112" t="s">
        <v>307</v>
      </c>
      <c r="AR215" s="112" t="s">
        <v>307</v>
      </c>
      <c r="AS215" s="103" t="s">
        <v>307</v>
      </c>
      <c r="AT215" s="298">
        <f>IF(OR(ISBLANK(AI215),AI215=0),0,VLOOKUP(AP215,'Risk Matrices'!$B$30:$C$34,2,0))</f>
        <v>3</v>
      </c>
      <c r="AU215" s="298">
        <f>IF(OR(ISBLANK(AK215),AK215=0),0,HLOOKUP(AQ215,'Risk Matrices'!$D$28:$H$29,2,0))</f>
        <v>3</v>
      </c>
      <c r="AV215" s="298">
        <f>IF(OR(ISBLANK(AR215),AR215=0),0,HLOOKUP(AR215,'Risk Matrices'!$D$28:$H$29,2,0))</f>
        <v>3</v>
      </c>
      <c r="AW215" s="298">
        <f>IF(OR(ISBLANK(AS215),AS215=0),0,HLOOKUP(AS215,'Risk Matrices'!$D$28:$H$29,2,0))</f>
        <v>3</v>
      </c>
      <c r="AX215" s="106">
        <f t="shared" si="163"/>
        <v>3</v>
      </c>
      <c r="AY215" s="106">
        <f t="shared" si="164"/>
        <v>9</v>
      </c>
      <c r="AZ215" s="107" t="str">
        <f>IF(B215="Retired","Retired",IF(OR(ISBLANK(AY215),AY215=0),"TBD",IF(AY215&lt;='Risk Matrices'!$D$40,'Risk Matrices'!$B$40,IF(AY215&lt;='Risk Matrices'!$D$39,'Risk Matrices'!$B$39,'Risk Matrices'!$B$38))))</f>
        <v>Moderate</v>
      </c>
      <c r="BA215" s="104"/>
      <c r="BB215" s="113" t="s">
        <v>1466</v>
      </c>
      <c r="BC215" s="109">
        <f t="shared" si="165"/>
        <v>2500</v>
      </c>
      <c r="BD215" s="929">
        <v>45316</v>
      </c>
      <c r="BE215" s="104"/>
      <c r="BF215" s="104"/>
      <c r="BG215" s="104"/>
      <c r="BH215" s="104"/>
      <c r="BI215" s="104"/>
      <c r="BJ215" s="874">
        <f t="shared" si="179"/>
        <v>2500</v>
      </c>
      <c r="BK215" s="101"/>
      <c r="BL215" s="101"/>
      <c r="BM215" s="116">
        <v>44666</v>
      </c>
      <c r="BN215" s="116">
        <v>44666</v>
      </c>
      <c r="BO215" s="1000"/>
      <c r="BP215" s="94">
        <f t="shared" ref="BP215:BP233" si="190">AI215*((AJ215+4*AK215+AL215)/6)</f>
        <v>2500</v>
      </c>
      <c r="BQ215" s="97" t="str">
        <f t="shared" si="167"/>
        <v>20000 - 25000 - 30000</v>
      </c>
      <c r="BR215" s="97" t="str">
        <f t="shared" si="168"/>
        <v>6 - 12 - 18</v>
      </c>
      <c r="BS215" s="715">
        <f t="shared" si="185"/>
        <v>2500</v>
      </c>
      <c r="BT215" s="736">
        <f t="shared" si="170"/>
        <v>1.2</v>
      </c>
      <c r="BU215" s="735"/>
      <c r="BV215" s="1002">
        <v>45504</v>
      </c>
      <c r="BW215" s="931">
        <f t="shared" ref="BW215:BW231" si="191">BV215-BN215</f>
        <v>838</v>
      </c>
    </row>
    <row r="216" spans="2:75" ht="45" x14ac:dyDescent="0.2">
      <c r="B216" s="101" t="str">
        <f t="shared" si="184"/>
        <v>Active</v>
      </c>
      <c r="C216" s="785" t="s">
        <v>1467</v>
      </c>
      <c r="D216" s="101" t="s">
        <v>151</v>
      </c>
      <c r="E216" s="101" t="s">
        <v>1345</v>
      </c>
      <c r="F216" s="102" t="s">
        <v>124</v>
      </c>
      <c r="G216" s="106" t="s">
        <v>1346</v>
      </c>
      <c r="H216" s="103" t="str">
        <f t="shared" si="188"/>
        <v>RT-6-010-012</v>
      </c>
      <c r="I216" s="106" t="s">
        <v>1347</v>
      </c>
      <c r="J216" s="143" t="s">
        <v>969</v>
      </c>
      <c r="K216" s="761" t="s">
        <v>1468</v>
      </c>
      <c r="L216" s="963" t="s">
        <v>1469</v>
      </c>
      <c r="M216" s="103" t="s">
        <v>141</v>
      </c>
      <c r="N216" s="772">
        <v>10000</v>
      </c>
      <c r="O216" s="106" t="str" cm="1">
        <f t="array" ref="O216">_xlfn.IFS(N216="","",ABS(N216)&lt;='Risk Matrices'!$E$7,'Risk Matrices'!$E$5,ABS(N216)&lt;='Risk Matrices'!$F$7,'Risk Matrices'!$F$5,ABS(N216)&lt;='Risk Matrices'!$G$7,'Risk Matrices'!$G$5,ABS(N216)&lt;='Risk Matrices'!$H$7,'Risk Matrices'!$H$5,ABS(N216)&gt;'Risk Matrices'!$H$7,'Risk Matrices'!$I$5)</f>
        <v>Critical</v>
      </c>
      <c r="P216" s="101">
        <v>9</v>
      </c>
      <c r="Q216" s="101" t="str" cm="1">
        <f t="array" ref="Q216">_xlfn.IFS(P216="","",ABS(P216)&lt;='Risk Matrices'!$E$8,'Risk Matrices'!$E$5,ABS(P216)&lt;='Risk Matrices'!$F$8,'Risk Matrices'!$F$5,ABS(P216)&lt;='Risk Matrices'!$G$8,'Risk Matrices'!$G$5,ABS(P216)&lt;='Risk Matrices'!$H$8,'Risk Matrices'!$H$5,ABS(P216)&gt;'Risk Matrices'!$H$8,'Risk Matrices'!$I$5)</f>
        <v>Significant</v>
      </c>
      <c r="R216" s="101" t="s">
        <v>130</v>
      </c>
      <c r="S216" s="106">
        <f t="shared" si="171"/>
        <v>3</v>
      </c>
      <c r="T216" s="106" cm="1">
        <f t="array" ref="T216">_xlfn.IFS(O216='Risk Matrices'!$D$28,'Risk Matrices'!$D$29,O216='Risk Matrices'!$E$28,'Risk Matrices'!$E$29,O216='Risk Matrices'!$F$28,'Risk Matrices'!$F$29,O216='Risk Matrices'!$G$28,'Risk Matrices'!$G$29,O216='Risk Matrices'!$H$28,'Risk Matrices'!$H$29)</f>
        <v>4</v>
      </c>
      <c r="U216" s="106">
        <f>IF(Q216="",0,IF(Q216="Negligible",1,IF(Q216="Marginal",2,IF(Q216="Significant",3,IF(Q216="Critical",4,IF(Q216="Crisis",5))))))</f>
        <v>3</v>
      </c>
      <c r="V216" s="106">
        <f t="shared" si="189"/>
        <v>0</v>
      </c>
      <c r="W216" s="106">
        <f>MAX(T216,U216,V216)</f>
        <v>4</v>
      </c>
      <c r="X216" s="106">
        <f>S216*W216</f>
        <v>12</v>
      </c>
      <c r="Y216" s="107" t="str">
        <f t="shared" si="187"/>
        <v>Moderate</v>
      </c>
      <c r="Z216" s="104"/>
      <c r="AA216" s="108"/>
      <c r="AB216" s="109"/>
      <c r="AC216" s="109" t="s">
        <v>155</v>
      </c>
      <c r="AD216" s="104" t="s">
        <v>1470</v>
      </c>
      <c r="AE216" s="104"/>
      <c r="AF216" s="103" t="s">
        <v>167</v>
      </c>
      <c r="AG216" s="103"/>
      <c r="AH216" s="853" t="s">
        <v>1383</v>
      </c>
      <c r="AI216" s="879">
        <v>0.3</v>
      </c>
      <c r="AJ216" s="772">
        <v>5000</v>
      </c>
      <c r="AK216" s="772">
        <v>10000</v>
      </c>
      <c r="AL216" s="772">
        <v>15000</v>
      </c>
      <c r="AM216" s="761">
        <v>6</v>
      </c>
      <c r="AN216" s="761">
        <v>9</v>
      </c>
      <c r="AO216" s="761">
        <v>15</v>
      </c>
      <c r="AP216" s="112" t="str">
        <f>IF(OR(ISBLANK(AI216),AI216=0),"INSERT LIKELIHOOD",IF(ABS(AI216)&lt;='Risk Matrices'!$D$22,'Risk Matrices'!$C$21,IF(ABS(AI216)&lt;='Risk Matrices'!$D$19,'Risk Matrices'!$C$18,IF(ABS(AI216)&lt;='Risk Matrices'!$D$16,'Risk Matrices'!$C$15,IF(ABS(AI216)&lt;='Risk Matrices'!$D$13,'Risk Matrices'!$C$12,'Risk Matrices'!$C$10)))))</f>
        <v>Moderate</v>
      </c>
      <c r="AQ216" s="112" t="str">
        <f>IF(OR(ISBLANK(AK216),AK216=0),"None",IF(ABS(AK216)&lt;='Risk Matrices'!$E$7,'Risk Matrices'!$E$5,IF(ABS(AK216)&lt;='Risk Matrices'!$G$7,'Risk Matrices'!$G$5,IF(ABS(AK216)&lt;='Risk Matrices'!$H$7,'Risk Matrices'!$H$5,'Risk Matrices'!$I$5))))</f>
        <v>Critical</v>
      </c>
      <c r="AR216" s="112" t="str">
        <f>IF(AN216="","",IF(ABS(AN216)&lt;='Risk Matrices'!$E$8,"Negligible",IF(ABS(AN216)&lt;='Risk Matrices'!$F$8,"Marginal",IF(ABS(AN216)&lt;='Risk Matrices'!$G$8,"Significant",IF(ABS(AN216)&lt;='Risk Matrices'!$H$8,"Critical","Crisis")))))</f>
        <v>Significant</v>
      </c>
      <c r="AS216" s="103" t="s">
        <v>307</v>
      </c>
      <c r="AT216" s="298">
        <f>IF(OR(ISBLANK(AI216),AI216=0),0,VLOOKUP(AP216,'Risk Matrices'!$B$30:$C$34,2,0))</f>
        <v>3</v>
      </c>
      <c r="AU216" s="298">
        <f>IF(OR(ISBLANK(AK216),AK216=0),0,HLOOKUP(AQ216,'Risk Matrices'!$D$28:$H$29,2,0))</f>
        <v>4</v>
      </c>
      <c r="AV216" s="298">
        <f>IF(OR(ISBLANK(AR216),AR216=0),0,HLOOKUP(AR216,'Risk Matrices'!$D$28:$H$29,2,0))</f>
        <v>3</v>
      </c>
      <c r="AW216" s="298">
        <f>IF(OR(ISBLANK(AS216),AS216=0),0,HLOOKUP(AS216,'Risk Matrices'!$D$28:$H$29,2,0))</f>
        <v>3</v>
      </c>
      <c r="AX216" s="106">
        <f t="shared" si="163"/>
        <v>4</v>
      </c>
      <c r="AY216" s="106">
        <f t="shared" si="164"/>
        <v>12</v>
      </c>
      <c r="AZ216" s="107" t="str">
        <f>IF(B216="Retired","Retired",IF(OR(ISBLANK(AY216),AY216=0),"TBD",IF(AY216&lt;='Risk Matrices'!$D$40,'Risk Matrices'!$B$40,IF(AY216&lt;='Risk Matrices'!$D$39,'Risk Matrices'!$B$39,'Risk Matrices'!$B$38))))</f>
        <v>Moderate</v>
      </c>
      <c r="BA216" s="104"/>
      <c r="BB216" s="999" t="s">
        <v>1471</v>
      </c>
      <c r="BC216" s="109">
        <f t="shared" si="165"/>
        <v>3000</v>
      </c>
      <c r="BD216" s="929">
        <v>45316</v>
      </c>
      <c r="BE216" s="104"/>
      <c r="BF216" s="104"/>
      <c r="BG216" s="104"/>
      <c r="BH216" s="104"/>
      <c r="BI216" s="104"/>
      <c r="BJ216" s="874">
        <f t="shared" si="179"/>
        <v>3000</v>
      </c>
      <c r="BK216" s="101"/>
      <c r="BL216" s="101"/>
      <c r="BM216" s="116">
        <v>44666</v>
      </c>
      <c r="BN216" s="116">
        <v>44666</v>
      </c>
      <c r="BO216" s="1000"/>
      <c r="BP216" s="94">
        <f t="shared" si="190"/>
        <v>3000</v>
      </c>
      <c r="BQ216" s="97" t="str">
        <f t="shared" si="167"/>
        <v>5000 - 10000 - 15000</v>
      </c>
      <c r="BR216" s="97" t="str">
        <f t="shared" si="168"/>
        <v>6 - 9 - 15</v>
      </c>
      <c r="BS216" s="715">
        <f t="shared" si="185"/>
        <v>3000</v>
      </c>
      <c r="BT216" s="736">
        <f t="shared" si="170"/>
        <v>3</v>
      </c>
      <c r="BU216" s="735" t="s">
        <v>1472</v>
      </c>
      <c r="BV216" s="1002">
        <v>45504</v>
      </c>
      <c r="BW216" s="931">
        <f t="shared" si="191"/>
        <v>838</v>
      </c>
    </row>
    <row r="217" spans="2:75" ht="75" x14ac:dyDescent="0.2">
      <c r="B217" s="101" t="str">
        <f t="shared" si="184"/>
        <v>Active</v>
      </c>
      <c r="C217" s="814" t="s">
        <v>1473</v>
      </c>
      <c r="D217" s="691" t="s">
        <v>151</v>
      </c>
      <c r="E217" s="691" t="s">
        <v>1345</v>
      </c>
      <c r="F217" s="102" t="s">
        <v>124</v>
      </c>
      <c r="G217" s="106" t="s">
        <v>1346</v>
      </c>
      <c r="H217" s="103" t="str">
        <f t="shared" si="188"/>
        <v>RT-6-010-013-LLP-CD3A</v>
      </c>
      <c r="I217" s="699" t="s">
        <v>1347</v>
      </c>
      <c r="J217" s="143" t="s">
        <v>969</v>
      </c>
      <c r="K217" s="101" t="s">
        <v>1474</v>
      </c>
      <c r="L217" s="113" t="s">
        <v>1475</v>
      </c>
      <c r="M217" s="104" t="s">
        <v>141</v>
      </c>
      <c r="N217" s="134">
        <v>4000</v>
      </c>
      <c r="O217" s="106" t="str" cm="1">
        <f t="array" ref="O217">_xlfn.IFS(N217="","",ABS(N217)&lt;='Risk Matrices'!$E$7,'Risk Matrices'!$E$5,ABS(N217)&lt;='Risk Matrices'!$F$7,'Risk Matrices'!$F$5,ABS(N217)&lt;='Risk Matrices'!$G$7,'Risk Matrices'!$G$5,ABS(N217)&lt;='Risk Matrices'!$H$7,'Risk Matrices'!$H$5,ABS(N217)&gt;'Risk Matrices'!$H$7,'Risk Matrices'!$I$5)</f>
        <v>Significant</v>
      </c>
      <c r="P217" s="127">
        <v>9</v>
      </c>
      <c r="Q217" s="101" t="str" cm="1">
        <f t="array" ref="Q217">_xlfn.IFS(P217="","",ABS(P217)&lt;='Risk Matrices'!$E$8,'Risk Matrices'!$E$5,ABS(P217)&lt;='Risk Matrices'!$F$8,'Risk Matrices'!$F$5,ABS(P217)&lt;='Risk Matrices'!$G$8,'Risk Matrices'!$G$5,ABS(P217)&lt;='Risk Matrices'!$H$8,'Risk Matrices'!$H$5,ABS(P217)&gt;'Risk Matrices'!$H$8,'Risk Matrices'!$I$5)</f>
        <v>Significant</v>
      </c>
      <c r="R217" s="101" t="s">
        <v>130</v>
      </c>
      <c r="S217" s="106">
        <f t="shared" si="171"/>
        <v>3</v>
      </c>
      <c r="T217" s="106" cm="1">
        <f t="array" ref="T217">_xlfn.IFS(O217='Risk Matrices'!$D$28,'Risk Matrices'!$D$29,O217='Risk Matrices'!$E$28,'Risk Matrices'!$E$29,O217='Risk Matrices'!$F$28,'Risk Matrices'!$F$29,O217='Risk Matrices'!$G$28,'Risk Matrices'!$G$29,O217='Risk Matrices'!$H$28,'Risk Matrices'!$H$29)</f>
        <v>3</v>
      </c>
      <c r="U217" s="106">
        <f t="shared" ref="U217:U250" si="192">IF(Q217="",0,IF(Q217="Negligible",1,IF(Q217="Marginal",2,IF(Q217="Significant",3,IF(Q217="Critical",4,IF(Q217="Crisis",5))))))</f>
        <v>3</v>
      </c>
      <c r="V217" s="106">
        <f t="shared" si="189"/>
        <v>0</v>
      </c>
      <c r="W217" s="106">
        <f t="shared" ref="W217:W250" si="193">MAX(T217,U217,V217)</f>
        <v>3</v>
      </c>
      <c r="X217" s="106">
        <f t="shared" ref="X217:X250" si="194">S217*W217</f>
        <v>9</v>
      </c>
      <c r="Y217" s="107" t="str">
        <f t="shared" si="187"/>
        <v>Moderate</v>
      </c>
      <c r="Z217" s="121"/>
      <c r="AA217" s="108">
        <f t="shared" ref="AA217:AA250" si="195">IF(M217="",0,IF(M217="Very Low (There is a &lt;10% chance that this event will occur)",0.05,IF(M217="Low (Risk is likely to occur with a probability of &gt; 10% to &lt; 25%)",0.17,IF(M217="Moderate (Risk is likely to occur with a probability of &gt; 25% to &lt; 40%)",0.32,IF(M217="High (Risk is likely to occur with a probability of &gt;40 to &lt;65%)",0.52,IF(M217="Very High (Risk is likely to occur with a probability of &gt;65%)",0.82))))))</f>
        <v>0.32</v>
      </c>
      <c r="AB217" s="109">
        <f t="shared" ref="AB217:AB250" si="196">+AA217*N217</f>
        <v>1280</v>
      </c>
      <c r="AC217" s="109" t="s">
        <v>155</v>
      </c>
      <c r="AD217" s="104" t="s">
        <v>1476</v>
      </c>
      <c r="AE217" s="104"/>
      <c r="AF217" s="871" t="s">
        <v>167</v>
      </c>
      <c r="AG217" s="116"/>
      <c r="AH217" s="157" t="s">
        <v>1477</v>
      </c>
      <c r="AI217" s="692">
        <v>0.2</v>
      </c>
      <c r="AJ217" s="97">
        <v>1000</v>
      </c>
      <c r="AK217" s="97">
        <v>2000</v>
      </c>
      <c r="AL217" s="97">
        <v>4000</v>
      </c>
      <c r="AM217" s="127">
        <v>6</v>
      </c>
      <c r="AN217" s="127">
        <v>9</v>
      </c>
      <c r="AO217" s="127">
        <v>12</v>
      </c>
      <c r="AP217" s="112" t="str">
        <f>IF(OR(ISBLANK(AI217),AI217=0),"INSERT LIKELIHOOD",IF(ABS(AI217)&lt;='Risk Matrices'!$D$22,'Risk Matrices'!$C$21,IF(ABS(AI217)&lt;='Risk Matrices'!$D$19,'Risk Matrices'!$C$18,IF(ABS(AI217)&lt;='Risk Matrices'!$D$16,'Risk Matrices'!$C$15,IF(ABS(AI217)&lt;='Risk Matrices'!$D$13,'Risk Matrices'!$C$12,'Risk Matrices'!$C$10)))))</f>
        <v>Low</v>
      </c>
      <c r="AQ217" s="112" t="str">
        <f>IF(OR(ISBLANK(AK217),AK217=0),"None",IF(ABS(AK217)&lt;='Risk Matrices'!$E$7,'Risk Matrices'!$E$5,IF(ABS(AK217)&lt;='Risk Matrices'!$G$7,'Risk Matrices'!$G$5,IF(ABS(AK217)&lt;='Risk Matrices'!$H$7,'Risk Matrices'!$H$5,'Risk Matrices'!$I$5))))</f>
        <v>Significant</v>
      </c>
      <c r="AR217" s="112" t="str">
        <f>IF(AN217="","",IF(ABS(AN217)&lt;='Risk Matrices'!$E$8,"Negligible",IF(ABS(AN217)&lt;='Risk Matrices'!$F$8,"Marginal",IF(ABS(AN217)&lt;='Risk Matrices'!$G$8,"Significant",IF(ABS(AN217)&lt;='Risk Matrices'!$H$8,"Critical","Crisis")))))</f>
        <v>Significant</v>
      </c>
      <c r="AS217" s="103" t="s">
        <v>130</v>
      </c>
      <c r="AT217" s="205">
        <f>IF(OR(ISBLANK(AI217),AI217=0),0,VLOOKUP(AP217,'Risk Matrices'!$B$30:$C$34,2,0))</f>
        <v>2</v>
      </c>
      <c r="AU217" s="205">
        <f>IF(OR(ISBLANK(AK217),AK217=0),0,HLOOKUP(AQ217,'Risk Matrices'!$D$28:$H$29,2,0))</f>
        <v>3</v>
      </c>
      <c r="AV217" s="205">
        <f>IF(OR(ISBLANK(AR217),AR217=0),0,HLOOKUP(AR217,'Risk Matrices'!$D$28:$H$29,2,0))</f>
        <v>3</v>
      </c>
      <c r="AW217" s="298">
        <f>IF(AS217="None",0,HLOOKUP(AS217,'Risk Matrices'!$D$28:$H$29,2,0))</f>
        <v>0</v>
      </c>
      <c r="AX217" s="106">
        <f t="shared" si="163"/>
        <v>3</v>
      </c>
      <c r="AY217" s="106">
        <f t="shared" si="164"/>
        <v>6</v>
      </c>
      <c r="AZ217" s="107" t="str">
        <f>IF(B217="Retired","Retired",IF(OR(ISBLANK(AY217),AY217=0),"TBD",IF(AY217&lt;='Risk Matrices'!$D$40,'Risk Matrices'!$B$40,IF(AY217&lt;='Risk Matrices'!$D$39,'Risk Matrices'!$B$39,'Risk Matrices'!$B$38))))</f>
        <v>Low</v>
      </c>
      <c r="BA217" s="104"/>
      <c r="BB217" s="104" t="s">
        <v>1478</v>
      </c>
      <c r="BC217" s="109">
        <f t="shared" si="165"/>
        <v>400</v>
      </c>
      <c r="BD217" s="185">
        <v>45555</v>
      </c>
      <c r="BE217" s="104"/>
      <c r="BF217" s="104"/>
      <c r="BG217" s="751"/>
      <c r="BH217" s="104"/>
      <c r="BI217" s="104"/>
      <c r="BJ217" s="874">
        <f t="shared" si="179"/>
        <v>466.66666666666674</v>
      </c>
      <c r="BK217" s="101"/>
      <c r="BL217" s="116"/>
      <c r="BM217" s="116">
        <v>44895</v>
      </c>
      <c r="BN217" s="116">
        <v>44895</v>
      </c>
      <c r="BO217" s="1000"/>
      <c r="BP217" s="94">
        <f t="shared" si="190"/>
        <v>433.33333333333331</v>
      </c>
      <c r="BQ217" s="97" t="str">
        <f t="shared" si="167"/>
        <v>1000 - 2000 - 4000</v>
      </c>
      <c r="BR217" s="97" t="str">
        <f t="shared" si="168"/>
        <v>6 - 9 - 12</v>
      </c>
      <c r="BS217" s="715">
        <f t="shared" si="185"/>
        <v>466.66666666666674</v>
      </c>
      <c r="BT217" s="736">
        <f t="shared" si="170"/>
        <v>1.8</v>
      </c>
      <c r="BU217" s="735" t="s">
        <v>1479</v>
      </c>
      <c r="BV217" s="1002">
        <v>45504</v>
      </c>
      <c r="BW217" s="931">
        <f t="shared" si="191"/>
        <v>609</v>
      </c>
    </row>
    <row r="218" spans="2:75" ht="75" x14ac:dyDescent="0.2">
      <c r="B218" s="101" t="str">
        <f t="shared" si="184"/>
        <v>Active</v>
      </c>
      <c r="C218" s="814" t="s">
        <v>1480</v>
      </c>
      <c r="D218" s="691" t="s">
        <v>151</v>
      </c>
      <c r="E218" s="691" t="s">
        <v>1345</v>
      </c>
      <c r="F218" s="102" t="s">
        <v>124</v>
      </c>
      <c r="G218" s="106" t="s">
        <v>1346</v>
      </c>
      <c r="H218" s="103" t="str">
        <f t="shared" si="188"/>
        <v>RT-6-010-014-LLP-CD3A</v>
      </c>
      <c r="I218" s="699" t="s">
        <v>1347</v>
      </c>
      <c r="J218" s="143" t="s">
        <v>969</v>
      </c>
      <c r="K218" s="101" t="s">
        <v>1481</v>
      </c>
      <c r="L218" s="751" t="s">
        <v>1482</v>
      </c>
      <c r="M218" s="104" t="s">
        <v>141</v>
      </c>
      <c r="N218" s="134">
        <v>10000</v>
      </c>
      <c r="O218" s="106" t="str" cm="1">
        <f t="array" ref="O218">_xlfn.IFS(N218="","",ABS(N218)&lt;='Risk Matrices'!$E$7,'Risk Matrices'!$E$5,ABS(N218)&lt;='Risk Matrices'!$F$7,'Risk Matrices'!$F$5,ABS(N218)&lt;='Risk Matrices'!$G$7,'Risk Matrices'!$G$5,ABS(N218)&lt;='Risk Matrices'!$H$7,'Risk Matrices'!$H$5,ABS(N218)&gt;'Risk Matrices'!$H$7,'Risk Matrices'!$I$5)</f>
        <v>Critical</v>
      </c>
      <c r="P218" s="126">
        <v>12</v>
      </c>
      <c r="Q218" s="101" t="str" cm="1">
        <f t="array" ref="Q218">_xlfn.IFS(P218="","",ABS(P218)&lt;='Risk Matrices'!$E$8,'Risk Matrices'!$E$5,ABS(P218)&lt;='Risk Matrices'!$F$8,'Risk Matrices'!$F$5,ABS(P218)&lt;='Risk Matrices'!$G$8,'Risk Matrices'!$G$5,ABS(P218)&lt;='Risk Matrices'!$H$8,'Risk Matrices'!$H$5,ABS(P218)&gt;'Risk Matrices'!$H$8,'Risk Matrices'!$I$5)</f>
        <v>Significant</v>
      </c>
      <c r="R218" s="101" t="s">
        <v>130</v>
      </c>
      <c r="S218" s="106">
        <f t="shared" si="171"/>
        <v>3</v>
      </c>
      <c r="T218" s="106" cm="1">
        <f t="array" ref="T218">_xlfn.IFS(O218='Risk Matrices'!$D$28,'Risk Matrices'!$D$29,O218='Risk Matrices'!$E$28,'Risk Matrices'!$E$29,O218='Risk Matrices'!$F$28,'Risk Matrices'!$F$29,O218='Risk Matrices'!$G$28,'Risk Matrices'!$G$29,O218='Risk Matrices'!$H$28,'Risk Matrices'!$H$29)</f>
        <v>4</v>
      </c>
      <c r="U218" s="106">
        <f t="shared" si="192"/>
        <v>3</v>
      </c>
      <c r="V218" s="106">
        <f t="shared" si="189"/>
        <v>0</v>
      </c>
      <c r="W218" s="106">
        <f t="shared" si="193"/>
        <v>4</v>
      </c>
      <c r="X218" s="106">
        <f t="shared" si="194"/>
        <v>12</v>
      </c>
      <c r="Y218" s="107" t="str">
        <f t="shared" si="187"/>
        <v>Moderate</v>
      </c>
      <c r="Z218" s="121"/>
      <c r="AA218" s="108">
        <f t="shared" si="195"/>
        <v>0.32</v>
      </c>
      <c r="AB218" s="109">
        <f t="shared" si="196"/>
        <v>3200</v>
      </c>
      <c r="AC218" s="109" t="s">
        <v>155</v>
      </c>
      <c r="AD218" s="104" t="s">
        <v>1483</v>
      </c>
      <c r="AE218" s="104"/>
      <c r="AF218" s="185" t="s">
        <v>1351</v>
      </c>
      <c r="AG218" s="185"/>
      <c r="AH218" s="157" t="s">
        <v>1484</v>
      </c>
      <c r="AI218" s="692">
        <v>0.1</v>
      </c>
      <c r="AJ218" s="97">
        <v>2000</v>
      </c>
      <c r="AK218" s="97">
        <v>6000</v>
      </c>
      <c r="AL218" s="97">
        <v>10000</v>
      </c>
      <c r="AM218" s="127">
        <v>6</v>
      </c>
      <c r="AN218" s="127">
        <v>12</v>
      </c>
      <c r="AO218" s="127">
        <v>24</v>
      </c>
      <c r="AP218" s="112" t="str">
        <f>IF(OR(ISBLANK(AI218),AI218=0),"INSERT LIKELIHOOD",IF(ABS(AI218)&lt;='Risk Matrices'!$D$22,'Risk Matrices'!$C$21,IF(ABS(AI218)&lt;='Risk Matrices'!$D$19,'Risk Matrices'!$C$18,IF(ABS(AI218)&lt;='Risk Matrices'!$D$16,'Risk Matrices'!$C$15,IF(ABS(AI218)&lt;='Risk Matrices'!$D$13,'Risk Matrices'!$C$12,'Risk Matrices'!$C$10)))))</f>
        <v>Very Low</v>
      </c>
      <c r="AQ218" s="112" t="str">
        <f>IF(OR(ISBLANK(AK218),AK218=0),"None",IF(ABS(AK218)&lt;='Risk Matrices'!$E$7,'Risk Matrices'!$E$5,IF(ABS(AK218)&lt;='Risk Matrices'!$G$7,'Risk Matrices'!$G$5,IF(ABS(AK218)&lt;='Risk Matrices'!$H$7,'Risk Matrices'!$H$5,'Risk Matrices'!$I$5))))</f>
        <v>Critical</v>
      </c>
      <c r="AR218" s="112" t="str">
        <f>IF(AN218="","",IF(ABS(AN218)&lt;='Risk Matrices'!$E$8,"Negligible",IF(ABS(AN218)&lt;='Risk Matrices'!$F$8,"Marginal",IF(ABS(AN218)&lt;='Risk Matrices'!$G$8,"Significant",IF(ABS(AN218)&lt;='Risk Matrices'!$H$8,"Critical","Crisis")))))</f>
        <v>Significant</v>
      </c>
      <c r="AS218" s="103" t="s">
        <v>130</v>
      </c>
      <c r="AT218" s="205">
        <f>IF(OR(ISBLANK(AI218),AI218=0),0,VLOOKUP(AP218,'Risk Matrices'!$B$30:$C$34,2,0))</f>
        <v>1</v>
      </c>
      <c r="AU218" s="205">
        <f>IF(OR(ISBLANK(AK218),AK218=0),0,HLOOKUP(AQ218,'Risk Matrices'!$D$28:$H$29,2,0))</f>
        <v>4</v>
      </c>
      <c r="AV218" s="205">
        <f>IF(OR(ISBLANK(AR218),AR218=0),0,HLOOKUP(AR218,'Risk Matrices'!$D$28:$H$29,2,0))</f>
        <v>3</v>
      </c>
      <c r="AW218" s="298">
        <f>IF(AS218="None",0,HLOOKUP(AS218,'Risk Matrices'!$D$28:$H$29,2,0))</f>
        <v>0</v>
      </c>
      <c r="AX218" s="106">
        <f t="shared" si="163"/>
        <v>4</v>
      </c>
      <c r="AY218" s="106">
        <f t="shared" si="164"/>
        <v>4</v>
      </c>
      <c r="AZ218" s="107" t="str">
        <f>IF(B218="Retired","Retired",IF(OR(ISBLANK(AY218),AY218=0),"TBD",IF(AY218&lt;='Risk Matrices'!$D$40,'Risk Matrices'!$B$40,IF(AY218&lt;='Risk Matrices'!$D$39,'Risk Matrices'!$B$39,'Risk Matrices'!$B$38))))</f>
        <v>Low</v>
      </c>
      <c r="BA218" s="104"/>
      <c r="BB218" s="123" t="s">
        <v>1485</v>
      </c>
      <c r="BC218" s="109">
        <f t="shared" si="165"/>
        <v>600</v>
      </c>
      <c r="BD218" s="185">
        <v>45555</v>
      </c>
      <c r="BE218" s="104"/>
      <c r="BF218" s="104"/>
      <c r="BG218" s="751"/>
      <c r="BH218" s="104"/>
      <c r="BI218" s="104"/>
      <c r="BJ218" s="874">
        <f t="shared" si="179"/>
        <v>600</v>
      </c>
      <c r="BK218" s="101"/>
      <c r="BL218" s="116"/>
      <c r="BM218" s="116">
        <v>44895</v>
      </c>
      <c r="BN218" s="330">
        <v>44895</v>
      </c>
      <c r="BO218" s="1000"/>
      <c r="BP218" s="94">
        <f t="shared" si="190"/>
        <v>600</v>
      </c>
      <c r="BQ218" s="97" t="str">
        <f t="shared" si="167"/>
        <v>2000 - 6000 - 10000</v>
      </c>
      <c r="BR218" s="97" t="str">
        <f t="shared" si="168"/>
        <v>6 - 12 - 24</v>
      </c>
      <c r="BS218" s="715">
        <f t="shared" si="185"/>
        <v>600</v>
      </c>
      <c r="BT218" s="736">
        <f t="shared" si="170"/>
        <v>1.4000000000000001</v>
      </c>
      <c r="BU218" s="735" t="s">
        <v>1486</v>
      </c>
      <c r="BV218" s="1002">
        <v>45504</v>
      </c>
      <c r="BW218" s="931">
        <f t="shared" si="191"/>
        <v>609</v>
      </c>
    </row>
    <row r="219" spans="2:75" ht="60" x14ac:dyDescent="0.2">
      <c r="B219" s="101" t="str">
        <f t="shared" si="184"/>
        <v>Active</v>
      </c>
      <c r="C219" s="814" t="s">
        <v>1487</v>
      </c>
      <c r="D219" s="691" t="s">
        <v>151</v>
      </c>
      <c r="E219" s="691" t="s">
        <v>1345</v>
      </c>
      <c r="F219" s="102" t="s">
        <v>124</v>
      </c>
      <c r="G219" s="106" t="s">
        <v>1346</v>
      </c>
      <c r="H219" s="103" t="str">
        <f t="shared" si="188"/>
        <v>RT-6-010-015-LLP-CD3A</v>
      </c>
      <c r="I219" s="699" t="s">
        <v>1347</v>
      </c>
      <c r="J219" s="143" t="s">
        <v>969</v>
      </c>
      <c r="K219" s="101" t="s">
        <v>1488</v>
      </c>
      <c r="L219" s="113" t="s">
        <v>1489</v>
      </c>
      <c r="M219" s="104" t="s">
        <v>141</v>
      </c>
      <c r="N219" s="134">
        <v>2000</v>
      </c>
      <c r="O219" s="106" t="str" cm="1">
        <f t="array" ref="O219">_xlfn.IFS(N219="","",ABS(N219)&lt;='Risk Matrices'!$E$7,'Risk Matrices'!$E$5,ABS(N219)&lt;='Risk Matrices'!$F$7,'Risk Matrices'!$F$5,ABS(N219)&lt;='Risk Matrices'!$G$7,'Risk Matrices'!$G$5,ABS(N219)&lt;='Risk Matrices'!$H$7,'Risk Matrices'!$H$5,ABS(N219)&gt;'Risk Matrices'!$H$7,'Risk Matrices'!$I$5)</f>
        <v>Significant</v>
      </c>
      <c r="P219" s="127">
        <v>6</v>
      </c>
      <c r="Q219" s="101" t="str" cm="1">
        <f t="array" ref="Q219">_xlfn.IFS(P219="","",ABS(P219)&lt;='Risk Matrices'!$E$8,'Risk Matrices'!$E$5,ABS(P219)&lt;='Risk Matrices'!$F$8,'Risk Matrices'!$F$5,ABS(P219)&lt;='Risk Matrices'!$G$8,'Risk Matrices'!$G$5,ABS(P219)&lt;='Risk Matrices'!$H$8,'Risk Matrices'!$H$5,ABS(P219)&gt;'Risk Matrices'!$H$8,'Risk Matrices'!$I$5)</f>
        <v>Marginal</v>
      </c>
      <c r="R219" s="101" t="s">
        <v>130</v>
      </c>
      <c r="S219" s="106">
        <f t="shared" si="171"/>
        <v>3</v>
      </c>
      <c r="T219" s="106" cm="1">
        <f t="array" ref="T219">_xlfn.IFS(O219='Risk Matrices'!$D$28,'Risk Matrices'!$D$29,O219='Risk Matrices'!$E$28,'Risk Matrices'!$E$29,O219='Risk Matrices'!$F$28,'Risk Matrices'!$F$29,O219='Risk Matrices'!$G$28,'Risk Matrices'!$G$29,O219='Risk Matrices'!$H$28,'Risk Matrices'!$H$29)</f>
        <v>3</v>
      </c>
      <c r="U219" s="106">
        <f t="shared" si="192"/>
        <v>2</v>
      </c>
      <c r="V219" s="106">
        <f t="shared" si="189"/>
        <v>0</v>
      </c>
      <c r="W219" s="106">
        <f t="shared" si="193"/>
        <v>3</v>
      </c>
      <c r="X219" s="106">
        <f t="shared" si="194"/>
        <v>9</v>
      </c>
      <c r="Y219" s="107" t="str">
        <f t="shared" si="187"/>
        <v>Moderate</v>
      </c>
      <c r="Z219" s="121"/>
      <c r="AA219" s="108">
        <f t="shared" si="195"/>
        <v>0.32</v>
      </c>
      <c r="AB219" s="109">
        <f t="shared" si="196"/>
        <v>640</v>
      </c>
      <c r="AC219" s="109" t="s">
        <v>155</v>
      </c>
      <c r="AD219" s="751" t="s">
        <v>1483</v>
      </c>
      <c r="AE219" s="751"/>
      <c r="AF219" s="116" t="s">
        <v>145</v>
      </c>
      <c r="AG219" s="185"/>
      <c r="AH219" s="157" t="s">
        <v>1490</v>
      </c>
      <c r="AI219" s="692">
        <v>0.1</v>
      </c>
      <c r="AJ219" s="97">
        <v>500</v>
      </c>
      <c r="AK219" s="97">
        <v>1000</v>
      </c>
      <c r="AL219" s="97">
        <v>2000</v>
      </c>
      <c r="AM219" s="127">
        <v>3</v>
      </c>
      <c r="AN219" s="127">
        <v>6</v>
      </c>
      <c r="AO219" s="127">
        <v>12</v>
      </c>
      <c r="AP219" s="112" t="str">
        <f>IF(OR(ISBLANK(AI219),AI219=0),"INSERT LIKELIHOOD",IF(ABS(AI219)&lt;='Risk Matrices'!$D$22,'Risk Matrices'!$C$21,IF(ABS(AI219)&lt;='Risk Matrices'!$D$19,'Risk Matrices'!$C$18,IF(ABS(AI219)&lt;='Risk Matrices'!$D$16,'Risk Matrices'!$C$15,IF(ABS(AI219)&lt;='Risk Matrices'!$D$13,'Risk Matrices'!$C$12,'Risk Matrices'!$C$10)))))</f>
        <v>Very Low</v>
      </c>
      <c r="AQ219" s="112" t="str">
        <f>IF(OR(ISBLANK(AK219),AK219=0),"None",IF(ABS(AK219)&lt;='Risk Matrices'!$E$7,'Risk Matrices'!$E$5,IF(ABS(AK219)&lt;='Risk Matrices'!$G$7,'Risk Matrices'!$G$5,IF(ABS(AK219)&lt;='Risk Matrices'!$H$7,'Risk Matrices'!$H$5,'Risk Matrices'!$I$5))))</f>
        <v>Significant</v>
      </c>
      <c r="AR219" s="112" t="str">
        <f>IF(AN219="","",IF(ABS(AN219)&lt;='Risk Matrices'!$E$8,"Negligible",IF(ABS(AN219)&lt;='Risk Matrices'!$F$8,"Marginal",IF(ABS(AN219)&lt;='Risk Matrices'!$G$8,"Significant",IF(ABS(AN219)&lt;='Risk Matrices'!$H$8,"Critical","Crisis")))))</f>
        <v>Marginal</v>
      </c>
      <c r="AS219" s="103" t="s">
        <v>130</v>
      </c>
      <c r="AT219" s="205">
        <f>IF(OR(ISBLANK(AI219),AI219=0),0,VLOOKUP(AP219,'Risk Matrices'!$B$30:$C$34,2,0))</f>
        <v>1</v>
      </c>
      <c r="AU219" s="205">
        <f>IF(OR(ISBLANK(AK219),AK219=0),0,HLOOKUP(AQ219,'Risk Matrices'!$D$28:$H$29,2,0))</f>
        <v>3</v>
      </c>
      <c r="AV219" s="205">
        <f>IF(OR(ISBLANK(AR219),AR219=0),0,HLOOKUP(AR219,'Risk Matrices'!$D$28:$H$29,2,0))</f>
        <v>2</v>
      </c>
      <c r="AW219" s="298">
        <f>IF(AS219="None",0,HLOOKUP(AS219,'Risk Matrices'!$D$28:$H$29,2,0))</f>
        <v>0</v>
      </c>
      <c r="AX219" s="106">
        <f t="shared" si="163"/>
        <v>3</v>
      </c>
      <c r="AY219" s="106">
        <f t="shared" si="164"/>
        <v>3</v>
      </c>
      <c r="AZ219" s="107" t="str">
        <f>IF(B219="Retired","Retired",IF(OR(ISBLANK(AY219),AY219=0),"TBD",IF(AY219&lt;='Risk Matrices'!$D$40,'Risk Matrices'!$B$40,IF(AY219&lt;='Risk Matrices'!$D$39,'Risk Matrices'!$B$39,'Risk Matrices'!$B$38))))</f>
        <v>Low</v>
      </c>
      <c r="BA219" s="104"/>
      <c r="BB219" s="123" t="s">
        <v>1491</v>
      </c>
      <c r="BC219" s="109">
        <f t="shared" si="165"/>
        <v>100</v>
      </c>
      <c r="BD219" s="185">
        <v>45555</v>
      </c>
      <c r="BE219" s="104"/>
      <c r="BF219" s="104"/>
      <c r="BG219" s="104"/>
      <c r="BH219" s="104"/>
      <c r="BI219" s="104"/>
      <c r="BJ219" s="874">
        <f t="shared" si="179"/>
        <v>116.66666666666669</v>
      </c>
      <c r="BK219" s="101"/>
      <c r="BL219" s="116"/>
      <c r="BM219" s="116">
        <v>44895</v>
      </c>
      <c r="BN219" s="330">
        <v>44895</v>
      </c>
      <c r="BO219" s="1000"/>
      <c r="BP219" s="94">
        <f t="shared" si="190"/>
        <v>108.33333333333333</v>
      </c>
      <c r="BQ219" s="97" t="str">
        <f t="shared" si="167"/>
        <v>500 - 1000 - 2000</v>
      </c>
      <c r="BR219" s="97" t="str">
        <f t="shared" si="168"/>
        <v>3 - 6 - 12</v>
      </c>
      <c r="BS219" s="715">
        <f t="shared" si="185"/>
        <v>116.66666666666669</v>
      </c>
      <c r="BT219" s="736">
        <f t="shared" si="170"/>
        <v>0.70000000000000007</v>
      </c>
      <c r="BU219" s="735" t="s">
        <v>1492</v>
      </c>
      <c r="BV219" s="1002">
        <v>45504</v>
      </c>
      <c r="BW219" s="931">
        <f t="shared" si="191"/>
        <v>609</v>
      </c>
    </row>
    <row r="220" spans="2:75" ht="150" x14ac:dyDescent="0.2">
      <c r="B220" s="101" t="str">
        <f t="shared" si="184"/>
        <v>Active</v>
      </c>
      <c r="C220" s="816" t="s">
        <v>1493</v>
      </c>
      <c r="D220" s="365" t="s">
        <v>151</v>
      </c>
      <c r="E220" s="365" t="s">
        <v>1345</v>
      </c>
      <c r="F220" s="161" t="s">
        <v>124</v>
      </c>
      <c r="G220" s="140" t="s">
        <v>1346</v>
      </c>
      <c r="H220" s="103" t="str">
        <f t="shared" si="188"/>
        <v>RT-6-010-016-LLP-CD3A</v>
      </c>
      <c r="I220" s="943" t="s">
        <v>1347</v>
      </c>
      <c r="J220" s="143" t="s">
        <v>969</v>
      </c>
      <c r="K220" s="157" t="s">
        <v>1494</v>
      </c>
      <c r="L220" s="104" t="s">
        <v>1495</v>
      </c>
      <c r="M220" s="104" t="s">
        <v>141</v>
      </c>
      <c r="N220" s="134">
        <v>1500</v>
      </c>
      <c r="O220" s="106" t="str" cm="1">
        <f t="array" ref="O220">_xlfn.IFS(N220="","",ABS(N220)&lt;='Risk Matrices'!$E$7,'Risk Matrices'!$E$5,ABS(N220)&lt;='Risk Matrices'!$F$7,'Risk Matrices'!$F$5,ABS(N220)&lt;='Risk Matrices'!$G$7,'Risk Matrices'!$G$5,ABS(N220)&lt;='Risk Matrices'!$H$7,'Risk Matrices'!$H$5,ABS(N220)&gt;'Risk Matrices'!$H$7,'Risk Matrices'!$I$5)</f>
        <v>Significant</v>
      </c>
      <c r="P220" s="127">
        <v>6</v>
      </c>
      <c r="Q220" s="101" t="str" cm="1">
        <f t="array" ref="Q220">_xlfn.IFS(P220="","",ABS(P220)&lt;='Risk Matrices'!$E$8,'Risk Matrices'!$E$5,ABS(P220)&lt;='Risk Matrices'!$F$8,'Risk Matrices'!$F$5,ABS(P220)&lt;='Risk Matrices'!$G$8,'Risk Matrices'!$G$5,ABS(P220)&lt;='Risk Matrices'!$H$8,'Risk Matrices'!$H$5,ABS(P220)&gt;'Risk Matrices'!$H$8,'Risk Matrices'!$I$5)</f>
        <v>Marginal</v>
      </c>
      <c r="R220" s="101" t="s">
        <v>130</v>
      </c>
      <c r="S220" s="106">
        <f t="shared" si="171"/>
        <v>3</v>
      </c>
      <c r="T220" s="106" cm="1">
        <f t="array" ref="T220">_xlfn.IFS(O220='Risk Matrices'!$D$28,'Risk Matrices'!$D$29,O220='Risk Matrices'!$E$28,'Risk Matrices'!$E$29,O220='Risk Matrices'!$F$28,'Risk Matrices'!$F$29,O220='Risk Matrices'!$G$28,'Risk Matrices'!$G$29,O220='Risk Matrices'!$H$28,'Risk Matrices'!$H$29)</f>
        <v>3</v>
      </c>
      <c r="U220" s="106">
        <f t="shared" si="192"/>
        <v>2</v>
      </c>
      <c r="V220" s="106">
        <f t="shared" si="189"/>
        <v>0</v>
      </c>
      <c r="W220" s="106">
        <f t="shared" si="193"/>
        <v>3</v>
      </c>
      <c r="X220" s="106">
        <f t="shared" si="194"/>
        <v>9</v>
      </c>
      <c r="Y220" s="107" t="str">
        <f t="shared" si="187"/>
        <v>Moderate</v>
      </c>
      <c r="Z220" s="121"/>
      <c r="AA220" s="108">
        <f t="shared" si="195"/>
        <v>0.32</v>
      </c>
      <c r="AB220" s="109">
        <f t="shared" si="196"/>
        <v>480</v>
      </c>
      <c r="AC220" s="109" t="s">
        <v>155</v>
      </c>
      <c r="AD220" s="751" t="s">
        <v>1483</v>
      </c>
      <c r="AE220" s="751"/>
      <c r="AF220" s="871" t="s">
        <v>167</v>
      </c>
      <c r="AG220" s="871"/>
      <c r="AH220" s="859" t="s">
        <v>1496</v>
      </c>
      <c r="AI220" s="799">
        <v>0.1</v>
      </c>
      <c r="AJ220" s="357">
        <v>500</v>
      </c>
      <c r="AK220" s="357">
        <v>1000</v>
      </c>
      <c r="AL220" s="357">
        <v>1500</v>
      </c>
      <c r="AM220" s="337">
        <v>3</v>
      </c>
      <c r="AN220" s="337">
        <v>6</v>
      </c>
      <c r="AO220" s="337">
        <v>12</v>
      </c>
      <c r="AP220" s="112" t="str">
        <f>IF(OR(ISBLANK(AI220),AI220=0),"INSERT LIKELIHOOD",IF(ABS(AI220)&lt;='Risk Matrices'!$D$22,'Risk Matrices'!$C$21,IF(ABS(AI220)&lt;='Risk Matrices'!$D$19,'Risk Matrices'!$C$18,IF(ABS(AI220)&lt;='Risk Matrices'!$D$16,'Risk Matrices'!$C$15,IF(ABS(AI220)&lt;='Risk Matrices'!$D$13,'Risk Matrices'!$C$12,'Risk Matrices'!$C$10)))))</f>
        <v>Very Low</v>
      </c>
      <c r="AQ220" s="112" t="str">
        <f>IF(OR(ISBLANK(AK220),AK220=0),"None",IF(ABS(AK220)&lt;='Risk Matrices'!$E$7,'Risk Matrices'!$E$5,IF(ABS(AK220)&lt;='Risk Matrices'!$G$7,'Risk Matrices'!$G$5,IF(ABS(AK220)&lt;='Risk Matrices'!$H$7,'Risk Matrices'!$H$5,'Risk Matrices'!$I$5))))</f>
        <v>Significant</v>
      </c>
      <c r="AR220" s="112" t="str">
        <f>IF(AN220="","",IF(ABS(AN220)&lt;='Risk Matrices'!$E$8,"Negligible",IF(ABS(AN220)&lt;='Risk Matrices'!$F$8,"Marginal",IF(ABS(AN220)&lt;='Risk Matrices'!$G$8,"Significant",IF(ABS(AN220)&lt;='Risk Matrices'!$H$8,"Critical","Crisis")))))</f>
        <v>Marginal</v>
      </c>
      <c r="AS220" s="103" t="s">
        <v>130</v>
      </c>
      <c r="AT220" s="205">
        <f>IF(OR(ISBLANK(AI220),AI220=0),0,VLOOKUP(AP220,'Risk Matrices'!$B$30:$C$34,2,0))</f>
        <v>1</v>
      </c>
      <c r="AU220" s="205">
        <f>IF(OR(ISBLANK(AK220),AK220=0),0,HLOOKUP(AQ220,'Risk Matrices'!$D$28:$H$29,2,0))</f>
        <v>3</v>
      </c>
      <c r="AV220" s="205">
        <f>IF(OR(ISBLANK(AR220),AR220=0),0,HLOOKUP(AR220,'Risk Matrices'!$D$28:$H$29,2,0))</f>
        <v>2</v>
      </c>
      <c r="AW220" s="298">
        <f>IF(AS220="None",0,HLOOKUP(AS220,'Risk Matrices'!$D$28:$H$29,2,0))</f>
        <v>0</v>
      </c>
      <c r="AX220" s="106">
        <f t="shared" si="163"/>
        <v>3</v>
      </c>
      <c r="AY220" s="106">
        <f t="shared" si="164"/>
        <v>3</v>
      </c>
      <c r="AZ220" s="107" t="str">
        <f>IF(B220="Retired","Retired",IF(OR(ISBLANK(AY220),AY220=0),"TBD",IF(AY220&lt;='Risk Matrices'!$D$40,'Risk Matrices'!$B$40,IF(AY220&lt;='Risk Matrices'!$D$39,'Risk Matrices'!$B$39,'Risk Matrices'!$B$38))))</f>
        <v>Low</v>
      </c>
      <c r="BA220" s="104"/>
      <c r="BB220" s="163" t="s">
        <v>1497</v>
      </c>
      <c r="BC220" s="109">
        <f t="shared" si="165"/>
        <v>100</v>
      </c>
      <c r="BD220" s="185">
        <v>45555</v>
      </c>
      <c r="BE220" s="104"/>
      <c r="BF220" s="104"/>
      <c r="BG220" s="104"/>
      <c r="BH220" s="104"/>
      <c r="BI220" s="104"/>
      <c r="BJ220" s="874">
        <f t="shared" si="179"/>
        <v>100</v>
      </c>
      <c r="BK220" s="101"/>
      <c r="BL220" s="116"/>
      <c r="BM220" s="116" t="s">
        <v>661</v>
      </c>
      <c r="BN220" s="116">
        <v>45104</v>
      </c>
      <c r="BO220" s="1000"/>
      <c r="BP220" s="94">
        <f t="shared" si="190"/>
        <v>100</v>
      </c>
      <c r="BQ220" s="97" t="str">
        <f t="shared" si="167"/>
        <v>500 - 1000 - 1500</v>
      </c>
      <c r="BR220" s="97" t="str">
        <f t="shared" si="168"/>
        <v>3 - 6 - 12</v>
      </c>
      <c r="BS220" s="715">
        <f t="shared" si="185"/>
        <v>100</v>
      </c>
      <c r="BT220" s="736">
        <f t="shared" si="170"/>
        <v>0.70000000000000007</v>
      </c>
      <c r="BU220" s="735"/>
      <c r="BV220" s="1002">
        <v>45504</v>
      </c>
      <c r="BW220" s="931">
        <f t="shared" si="191"/>
        <v>400</v>
      </c>
    </row>
    <row r="221" spans="2:75" ht="105" x14ac:dyDescent="0.2">
      <c r="B221" s="101" t="str">
        <f t="shared" si="184"/>
        <v>Active</v>
      </c>
      <c r="C221" s="816" t="s">
        <v>1498</v>
      </c>
      <c r="D221" s="365" t="s">
        <v>151</v>
      </c>
      <c r="E221" s="365" t="s">
        <v>1345</v>
      </c>
      <c r="F221" s="161" t="s">
        <v>124</v>
      </c>
      <c r="G221" s="140" t="s">
        <v>1346</v>
      </c>
      <c r="H221" s="103" t="str">
        <f t="shared" si="188"/>
        <v>RT-6-010-017-LLP-CD3A</v>
      </c>
      <c r="I221" s="943" t="s">
        <v>1347</v>
      </c>
      <c r="J221" s="143" t="s">
        <v>969</v>
      </c>
      <c r="K221" s="157" t="s">
        <v>1499</v>
      </c>
      <c r="L221" s="104" t="s">
        <v>1500</v>
      </c>
      <c r="M221" s="104" t="s">
        <v>164</v>
      </c>
      <c r="N221" s="134">
        <v>0</v>
      </c>
      <c r="O221" s="106" t="str" cm="1">
        <f t="array" ref="O221">_xlfn.IFS(N221="","",ABS(N221)&lt;='Risk Matrices'!$E$7,'Risk Matrices'!$E$5,ABS(N221)&lt;='Risk Matrices'!$F$7,'Risk Matrices'!$F$5,ABS(N221)&lt;='Risk Matrices'!$G$7,'Risk Matrices'!$G$5,ABS(N221)&lt;='Risk Matrices'!$H$7,'Risk Matrices'!$H$5,ABS(N221)&gt;'Risk Matrices'!$H$7,'Risk Matrices'!$I$5)</f>
        <v>Negligible</v>
      </c>
      <c r="P221" s="126">
        <v>0</v>
      </c>
      <c r="Q221" s="101" t="str" cm="1">
        <f t="array" ref="Q221">_xlfn.IFS(P221="","",ABS(P221)&lt;='Risk Matrices'!$E$8,'Risk Matrices'!$E$5,ABS(P221)&lt;='Risk Matrices'!$F$8,'Risk Matrices'!$F$5,ABS(P221)&lt;='Risk Matrices'!$G$8,'Risk Matrices'!$G$5,ABS(P221)&lt;='Risk Matrices'!$H$8,'Risk Matrices'!$H$5,ABS(P221)&gt;'Risk Matrices'!$H$8,'Risk Matrices'!$I$5)</f>
        <v>Negligible</v>
      </c>
      <c r="R221" s="101" t="s">
        <v>130</v>
      </c>
      <c r="S221" s="106">
        <f t="shared" si="171"/>
        <v>2</v>
      </c>
      <c r="T221" s="106" cm="1">
        <f t="array" ref="T221">_xlfn.IFS(O221='Risk Matrices'!$D$28,'Risk Matrices'!$D$29,O221='Risk Matrices'!$E$28,'Risk Matrices'!$E$29,O221='Risk Matrices'!$F$28,'Risk Matrices'!$F$29,O221='Risk Matrices'!$G$28,'Risk Matrices'!$G$29,O221='Risk Matrices'!$H$28,'Risk Matrices'!$H$29)</f>
        <v>1</v>
      </c>
      <c r="U221" s="106">
        <f t="shared" si="192"/>
        <v>1</v>
      </c>
      <c r="V221" s="106">
        <f t="shared" si="189"/>
        <v>0</v>
      </c>
      <c r="W221" s="106">
        <f t="shared" si="193"/>
        <v>1</v>
      </c>
      <c r="X221" s="106">
        <f t="shared" si="194"/>
        <v>2</v>
      </c>
      <c r="Y221" s="107" t="str">
        <f t="shared" si="187"/>
        <v>Low</v>
      </c>
      <c r="Z221" s="121"/>
      <c r="AA221" s="108">
        <f t="shared" si="195"/>
        <v>0.17</v>
      </c>
      <c r="AB221" s="109">
        <f t="shared" si="196"/>
        <v>0</v>
      </c>
      <c r="AC221" s="109" t="s">
        <v>143</v>
      </c>
      <c r="AD221" s="123" t="s">
        <v>1501</v>
      </c>
      <c r="AE221" s="123"/>
      <c r="AF221" s="116" t="s">
        <v>145</v>
      </c>
      <c r="AG221" s="116"/>
      <c r="AH221" s="157" t="s">
        <v>1484</v>
      </c>
      <c r="AI221" s="799">
        <v>0.2</v>
      </c>
      <c r="AJ221" s="357">
        <v>-3200</v>
      </c>
      <c r="AK221" s="357">
        <v>0</v>
      </c>
      <c r="AL221" s="357">
        <v>3200</v>
      </c>
      <c r="AM221" s="357">
        <v>0</v>
      </c>
      <c r="AN221" s="357">
        <v>0</v>
      </c>
      <c r="AO221" s="357">
        <v>0</v>
      </c>
      <c r="AP221" s="112" t="str">
        <f>IF(OR(ISBLANK(AI221),AI221=0),"INSERT LIKELIHOOD",IF(ABS(AI221)&lt;='Risk Matrices'!$D$22,'Risk Matrices'!$C$21,IF(ABS(AI221)&lt;='Risk Matrices'!$D$19,'Risk Matrices'!$C$18,IF(ABS(AI221)&lt;='Risk Matrices'!$D$16,'Risk Matrices'!$C$15,IF(ABS(AI221)&lt;='Risk Matrices'!$D$13,'Risk Matrices'!$C$12,'Risk Matrices'!$C$10)))))</f>
        <v>Low</v>
      </c>
      <c r="AQ221" s="112" t="str">
        <f>IF(OR(ISBLANK(AK221),AK221=0),"None",IF(ABS(AK221)&lt;='Risk Matrices'!$E$7,'Risk Matrices'!$E$5,IF(ABS(AK221)&lt;='Risk Matrices'!$G$7,'Risk Matrices'!$G$5,IF(ABS(AK221)&lt;='Risk Matrices'!$H$7,'Risk Matrices'!$H$5,'Risk Matrices'!$I$5))))</f>
        <v>None</v>
      </c>
      <c r="AR221" s="112" t="str">
        <f>IF(AN221="","",IF(ABS(AN221)&lt;='Risk Matrices'!$E$8,"Negligible",IF(ABS(AN221)&lt;='Risk Matrices'!$F$8,"Marginal",IF(ABS(AN221)&lt;='Risk Matrices'!$G$8,"Significant",IF(ABS(AN221)&lt;='Risk Matrices'!$H$8,"Critical","Crisis")))))</f>
        <v>Negligible</v>
      </c>
      <c r="AS221" s="103" t="s">
        <v>130</v>
      </c>
      <c r="AT221" s="205">
        <f>IF(OR(ISBLANK(AI221),AI221=0),0,VLOOKUP(AP221,'Risk Matrices'!$B$30:$C$34,2,0))</f>
        <v>2</v>
      </c>
      <c r="AU221" s="205">
        <f>IF(OR(ISBLANK(AK221),AK221=0),0,HLOOKUP(AQ221,'Risk Matrices'!$D$28:$H$29,2,0))</f>
        <v>0</v>
      </c>
      <c r="AV221" s="205">
        <f>IF(OR(ISBLANK(AR221),AR221=0),0,HLOOKUP(AR221,'Risk Matrices'!$D$28:$H$29,2,0))</f>
        <v>1</v>
      </c>
      <c r="AW221" s="298">
        <f>IF(AS221="None",0,HLOOKUP(AS221,'Risk Matrices'!$D$28:$H$29,2,0))</f>
        <v>0</v>
      </c>
      <c r="AX221" s="106">
        <f t="shared" si="163"/>
        <v>1</v>
      </c>
      <c r="AY221" s="106">
        <f t="shared" si="164"/>
        <v>2</v>
      </c>
      <c r="AZ221" s="107" t="str">
        <f>IF(B221="Retired","Retired",IF(OR(ISBLANK(AY221),AY221=0),"TBD",IF(AY221&lt;='Risk Matrices'!$D$40,'Risk Matrices'!$B$40,IF(AY221&lt;='Risk Matrices'!$D$39,'Risk Matrices'!$B$39,'Risk Matrices'!$B$38))))</f>
        <v>Low</v>
      </c>
      <c r="BA221" s="104"/>
      <c r="BB221" s="163" t="s">
        <v>1502</v>
      </c>
      <c r="BC221" s="109">
        <f t="shared" si="165"/>
        <v>0</v>
      </c>
      <c r="BD221" s="185">
        <v>45555</v>
      </c>
      <c r="BE221" s="104"/>
      <c r="BF221" s="104"/>
      <c r="BG221" s="104"/>
      <c r="BH221" s="104"/>
      <c r="BI221" s="104"/>
      <c r="BJ221" s="874">
        <f t="shared" si="179"/>
        <v>0</v>
      </c>
      <c r="BK221" s="101"/>
      <c r="BL221" s="116"/>
      <c r="BM221" s="116" t="s">
        <v>661</v>
      </c>
      <c r="BN221" s="116">
        <v>45104</v>
      </c>
      <c r="BO221" s="1000"/>
      <c r="BP221" s="94">
        <f t="shared" si="190"/>
        <v>0</v>
      </c>
      <c r="BQ221" s="97" t="str">
        <f t="shared" si="167"/>
        <v>-3200 - 0 - 3200</v>
      </c>
      <c r="BR221" s="97" t="str">
        <f t="shared" si="168"/>
        <v>0 - 0 - 0</v>
      </c>
      <c r="BS221" s="715">
        <f t="shared" si="185"/>
        <v>0</v>
      </c>
      <c r="BT221" s="736">
        <f t="shared" si="170"/>
        <v>0</v>
      </c>
      <c r="BU221" s="735"/>
      <c r="BV221" s="1002">
        <v>45504</v>
      </c>
      <c r="BW221" s="931">
        <f t="shared" si="191"/>
        <v>400</v>
      </c>
    </row>
    <row r="222" spans="2:75" ht="75" x14ac:dyDescent="0.2">
      <c r="B222" s="101" t="str">
        <f t="shared" si="184"/>
        <v>Active</v>
      </c>
      <c r="C222" s="790" t="s">
        <v>1503</v>
      </c>
      <c r="D222" s="157" t="s">
        <v>151</v>
      </c>
      <c r="E222" s="157" t="s">
        <v>1345</v>
      </c>
      <c r="F222" s="161" t="s">
        <v>124</v>
      </c>
      <c r="G222" s="140" t="s">
        <v>1346</v>
      </c>
      <c r="H222" s="103" t="str">
        <f t="shared" si="188"/>
        <v>RT-6-010-018</v>
      </c>
      <c r="I222" s="140" t="s">
        <v>1347</v>
      </c>
      <c r="J222" s="143" t="s">
        <v>969</v>
      </c>
      <c r="K222" s="157" t="s">
        <v>1504</v>
      </c>
      <c r="L222" s="163" t="s">
        <v>1505</v>
      </c>
      <c r="M222" s="103" t="s">
        <v>141</v>
      </c>
      <c r="N222" s="357">
        <v>2000</v>
      </c>
      <c r="O222" s="106" t="str" cm="1">
        <f t="array" ref="O222">_xlfn.IFS(N222="","",ABS(N222)&lt;='Risk Matrices'!$E$7,'Risk Matrices'!$E$5,ABS(N222)&lt;='Risk Matrices'!$F$7,'Risk Matrices'!$F$5,ABS(N222)&lt;='Risk Matrices'!$G$7,'Risk Matrices'!$G$5,ABS(N222)&lt;='Risk Matrices'!$H$7,'Risk Matrices'!$H$5,ABS(N222)&gt;'Risk Matrices'!$H$7,'Risk Matrices'!$I$5)</f>
        <v>Significant</v>
      </c>
      <c r="P222" s="101">
        <v>0</v>
      </c>
      <c r="Q222" s="101" t="str" cm="1">
        <f t="array" ref="Q222">_xlfn.IFS(P222="","",ABS(P222)&lt;='Risk Matrices'!$E$8,'Risk Matrices'!$E$5,ABS(P222)&lt;='Risk Matrices'!$F$8,'Risk Matrices'!$F$5,ABS(P222)&lt;='Risk Matrices'!$G$8,'Risk Matrices'!$G$5,ABS(P222)&lt;='Risk Matrices'!$H$8,'Risk Matrices'!$H$5,ABS(P222)&gt;'Risk Matrices'!$H$8,'Risk Matrices'!$I$5)</f>
        <v>Negligible</v>
      </c>
      <c r="R222" s="101" t="s">
        <v>130</v>
      </c>
      <c r="S222" s="106">
        <f t="shared" si="171"/>
        <v>3</v>
      </c>
      <c r="T222" s="106" cm="1">
        <f t="array" ref="T222">_xlfn.IFS(O222='Risk Matrices'!$D$28,'Risk Matrices'!$D$29,O222='Risk Matrices'!$E$28,'Risk Matrices'!$E$29,O222='Risk Matrices'!$F$28,'Risk Matrices'!$F$29,O222='Risk Matrices'!$G$28,'Risk Matrices'!$G$29,O222='Risk Matrices'!$H$28,'Risk Matrices'!$H$29)</f>
        <v>3</v>
      </c>
      <c r="U222" s="106">
        <f t="shared" si="192"/>
        <v>1</v>
      </c>
      <c r="V222" s="106">
        <f t="shared" si="189"/>
        <v>0</v>
      </c>
      <c r="W222" s="106">
        <f t="shared" si="193"/>
        <v>3</v>
      </c>
      <c r="X222" s="106">
        <f t="shared" si="194"/>
        <v>9</v>
      </c>
      <c r="Y222" s="107" t="str">
        <f t="shared" si="187"/>
        <v>Moderate</v>
      </c>
      <c r="Z222" s="104"/>
      <c r="AA222" s="108">
        <f t="shared" si="195"/>
        <v>0.32</v>
      </c>
      <c r="AB222" s="109">
        <f t="shared" si="196"/>
        <v>640</v>
      </c>
      <c r="AC222" s="180" t="s">
        <v>143</v>
      </c>
      <c r="AD222" s="179" t="s">
        <v>209</v>
      </c>
      <c r="AE222" s="179"/>
      <c r="AF222" s="103" t="s">
        <v>200</v>
      </c>
      <c r="AG222" s="103"/>
      <c r="AH222" s="103" t="s">
        <v>1506</v>
      </c>
      <c r="AI222" s="809">
        <v>0.3</v>
      </c>
      <c r="AJ222" s="357">
        <v>1500</v>
      </c>
      <c r="AK222" s="357">
        <v>2000</v>
      </c>
      <c r="AL222" s="357">
        <v>2500</v>
      </c>
      <c r="AM222" s="337">
        <v>0</v>
      </c>
      <c r="AN222" s="337">
        <v>0</v>
      </c>
      <c r="AO222" s="337">
        <v>0</v>
      </c>
      <c r="AP222" s="112" t="str">
        <f>IF(OR(ISBLANK(AI222),AI222=0),"INSERT LIKELIHOOD",IF(ABS(AI222)&lt;='Risk Matrices'!$D$22,'Risk Matrices'!$C$21,IF(ABS(AI222)&lt;='Risk Matrices'!$D$19,'Risk Matrices'!$C$18,IF(ABS(AI222)&lt;='Risk Matrices'!$D$16,'Risk Matrices'!$C$15,IF(ABS(AI222)&lt;='Risk Matrices'!$D$13,'Risk Matrices'!$C$12,'Risk Matrices'!$C$10)))))</f>
        <v>Moderate</v>
      </c>
      <c r="AQ222" s="112" t="str">
        <f>IF(OR(ISBLANK(AK222),AK222=0),"None",IF(ABS(AK222)&lt;='Risk Matrices'!$E$7,'Risk Matrices'!$E$5,IF(ABS(AK222)&lt;='Risk Matrices'!$G$7,'Risk Matrices'!$G$5,IF(ABS(AK222)&lt;='Risk Matrices'!$H$7,'Risk Matrices'!$H$5,'Risk Matrices'!$I$5))))</f>
        <v>Significant</v>
      </c>
      <c r="AR222" s="112" t="str">
        <f>IF(AN222="","",IF(ABS(AN222)&lt;='Risk Matrices'!$E$8,"Negligible",IF(ABS(AN222)&lt;='Risk Matrices'!$F$8,"Marginal",IF(ABS(AN222)&lt;='Risk Matrices'!$G$8,"Significant",IF(ABS(AN222)&lt;='Risk Matrices'!$H$8,"Critical","Crisis")))))</f>
        <v>Negligible</v>
      </c>
      <c r="AS222" s="103" t="s">
        <v>307</v>
      </c>
      <c r="AT222" s="298">
        <f>IF(OR(ISBLANK(AI222),AI222=0),0,VLOOKUP(AP222,'Risk Matrices'!$B$30:$C$34,2,0))</f>
        <v>3</v>
      </c>
      <c r="AU222" s="298">
        <f>IF(OR(ISBLANK(AK222),AK222=0),0,HLOOKUP(AQ222,'Risk Matrices'!$D$28:$H$29,2,0))</f>
        <v>3</v>
      </c>
      <c r="AV222" s="298">
        <f>IF(OR(ISBLANK(AR222),AR222=0),0,HLOOKUP(AR222,'Risk Matrices'!$D$28:$H$29,2,0))</f>
        <v>1</v>
      </c>
      <c r="AW222" s="298">
        <f>IF(OR(ISBLANK(AS222),AS222=0),0,HLOOKUP(AS222,'Risk Matrices'!$D$28:$H$29,2,0))</f>
        <v>3</v>
      </c>
      <c r="AX222" s="106">
        <f t="shared" ref="AX222:AX253" si="197">MAX(AU222,AV222,AW222)</f>
        <v>3</v>
      </c>
      <c r="AY222" s="106">
        <f t="shared" ref="AY222:AY253" si="198">AT222*AX222</f>
        <v>9</v>
      </c>
      <c r="AZ222" s="107" t="str">
        <f>IF(B222="Retired","Retired",IF(OR(ISBLANK(AY222),AY222=0),"TBD",IF(AY222&lt;='Risk Matrices'!$D$40,'Risk Matrices'!$B$40,IF(AY222&lt;='Risk Matrices'!$D$39,'Risk Matrices'!$B$39,'Risk Matrices'!$B$38))))</f>
        <v>Moderate</v>
      </c>
      <c r="BA222" s="104"/>
      <c r="BB222" s="745" t="s">
        <v>1507</v>
      </c>
      <c r="BC222" s="109">
        <f t="shared" ref="BC222:BC253" si="199">IF(B222="Active",AI222*AK222,B222)</f>
        <v>600</v>
      </c>
      <c r="BD222" s="929">
        <v>45316</v>
      </c>
      <c r="BE222" s="104"/>
      <c r="BF222" s="104"/>
      <c r="BG222" s="104"/>
      <c r="BH222" s="104"/>
      <c r="BI222" s="104"/>
      <c r="BJ222" s="874">
        <f t="shared" si="179"/>
        <v>600</v>
      </c>
      <c r="BK222" s="101"/>
      <c r="BL222" s="101"/>
      <c r="BM222" s="116">
        <v>45148</v>
      </c>
      <c r="BN222" s="116">
        <v>45148</v>
      </c>
      <c r="BO222" s="1000"/>
      <c r="BP222" s="94">
        <f t="shared" si="190"/>
        <v>600</v>
      </c>
      <c r="BQ222" s="97" t="str">
        <f t="shared" ref="BQ222:BQ253" si="200">CONCATENATE(AJ222," - ",AK222," - ",AL222)</f>
        <v>1500 - 2000 - 2500</v>
      </c>
      <c r="BR222" s="97" t="str">
        <f t="shared" ref="BR222:BR253" si="201">CONCATENATE(AM222," - ",AN222," - ",AO222)</f>
        <v>0 - 0 - 0</v>
      </c>
      <c r="BS222" s="715">
        <f t="shared" si="185"/>
        <v>600</v>
      </c>
      <c r="BT222" s="736">
        <f t="shared" ref="BT222:BT253" si="202">AI222*(AM222+AN222+AO222)/3</f>
        <v>0</v>
      </c>
      <c r="BU222" s="735"/>
      <c r="BV222" s="1002">
        <v>45504</v>
      </c>
      <c r="BW222" s="931">
        <f t="shared" si="191"/>
        <v>356</v>
      </c>
    </row>
    <row r="223" spans="2:75" ht="60" x14ac:dyDescent="0.2">
      <c r="B223" s="101" t="str">
        <f t="shared" si="184"/>
        <v>Active</v>
      </c>
      <c r="C223" s="790" t="s">
        <v>1508</v>
      </c>
      <c r="D223" s="157" t="s">
        <v>151</v>
      </c>
      <c r="E223" s="157" t="s">
        <v>1345</v>
      </c>
      <c r="F223" s="161" t="s">
        <v>124</v>
      </c>
      <c r="G223" s="140" t="s">
        <v>1346</v>
      </c>
      <c r="H223" s="103" t="str">
        <f t="shared" si="188"/>
        <v>RT-6-010-019</v>
      </c>
      <c r="I223" s="140" t="s">
        <v>1347</v>
      </c>
      <c r="J223" s="143" t="s">
        <v>969</v>
      </c>
      <c r="K223" s="157" t="s">
        <v>1509</v>
      </c>
      <c r="L223" s="163" t="s">
        <v>1510</v>
      </c>
      <c r="M223" s="103" t="s">
        <v>141</v>
      </c>
      <c r="N223" s="105">
        <v>1000</v>
      </c>
      <c r="O223" s="106" t="str" cm="1">
        <f t="array" ref="O223">_xlfn.IFS(N223="","",ABS(N223)&lt;='Risk Matrices'!$E$7,'Risk Matrices'!$E$5,ABS(N223)&lt;='Risk Matrices'!$F$7,'Risk Matrices'!$F$5,ABS(N223)&lt;='Risk Matrices'!$G$7,'Risk Matrices'!$G$5,ABS(N223)&lt;='Risk Matrices'!$H$7,'Risk Matrices'!$H$5,ABS(N223)&gt;'Risk Matrices'!$H$7,'Risk Matrices'!$I$5)</f>
        <v>Marginal</v>
      </c>
      <c r="P223" s="101">
        <v>12</v>
      </c>
      <c r="Q223" s="101" t="str" cm="1">
        <f t="array" ref="Q223">_xlfn.IFS(P223="","",ABS(P223)&lt;='Risk Matrices'!$E$8,'Risk Matrices'!$E$5,ABS(P223)&lt;='Risk Matrices'!$F$8,'Risk Matrices'!$F$5,ABS(P223)&lt;='Risk Matrices'!$G$8,'Risk Matrices'!$G$5,ABS(P223)&lt;='Risk Matrices'!$H$8,'Risk Matrices'!$H$5,ABS(P223)&gt;'Risk Matrices'!$H$8,'Risk Matrices'!$I$5)</f>
        <v>Significant</v>
      </c>
      <c r="R223" s="101" t="s">
        <v>130</v>
      </c>
      <c r="S223" s="106">
        <f t="shared" ref="S223:S254" si="203">IF(M223="",0,IF(M223="Very Low (There is a &lt;10% chance that this event will occur)",1,IF(M223="Low (Risk is likely to occur with a probability of &gt; 10% to &lt; 25%)",2,IF(M223="Moderate (Risk is likely to occur with a probability of &gt; 25% to &lt; 40%)",3,IF(M223="High (Risk is likely to occur with a probability of &gt;40 to &lt;65%)",4,IF(M223="Very High (Risk is likely to occur with a probability of &gt;65%)",5))))))</f>
        <v>3</v>
      </c>
      <c r="T223" s="106" cm="1">
        <f t="array" ref="T223">_xlfn.IFS(O223='Risk Matrices'!$D$28,'Risk Matrices'!$D$29,O223='Risk Matrices'!$E$28,'Risk Matrices'!$E$29,O223='Risk Matrices'!$F$28,'Risk Matrices'!$F$29,O223='Risk Matrices'!$G$28,'Risk Matrices'!$G$29,O223='Risk Matrices'!$H$28,'Risk Matrices'!$H$29)</f>
        <v>2</v>
      </c>
      <c r="U223" s="106">
        <f t="shared" si="192"/>
        <v>3</v>
      </c>
      <c r="V223" s="106">
        <f t="shared" si="189"/>
        <v>0</v>
      </c>
      <c r="W223" s="106">
        <f t="shared" si="193"/>
        <v>3</v>
      </c>
      <c r="X223" s="106">
        <f t="shared" si="194"/>
        <v>9</v>
      </c>
      <c r="Y223" s="107" t="str">
        <f t="shared" si="187"/>
        <v>Moderate</v>
      </c>
      <c r="Z223" s="104"/>
      <c r="AA223" s="108">
        <f t="shared" si="195"/>
        <v>0.32</v>
      </c>
      <c r="AB223" s="109">
        <f t="shared" si="196"/>
        <v>320</v>
      </c>
      <c r="AC223" s="180" t="s">
        <v>143</v>
      </c>
      <c r="AD223" s="745" t="s">
        <v>1501</v>
      </c>
      <c r="AE223" s="745"/>
      <c r="AF223" s="103" t="s">
        <v>145</v>
      </c>
      <c r="AG223" s="103"/>
      <c r="AH223" s="750" t="s">
        <v>1511</v>
      </c>
      <c r="AI223" s="799">
        <v>0.25</v>
      </c>
      <c r="AJ223" s="357">
        <v>770</v>
      </c>
      <c r="AK223" s="357">
        <v>1000</v>
      </c>
      <c r="AL223" s="357">
        <v>1500</v>
      </c>
      <c r="AM223" s="357">
        <v>9</v>
      </c>
      <c r="AN223" s="357">
        <v>12</v>
      </c>
      <c r="AO223" s="357">
        <v>15</v>
      </c>
      <c r="AP223" s="112" t="str">
        <f>IF(OR(ISBLANK(AI223),AI223=0),"INSERT LIKELIHOOD",IF(ABS(AI223)&lt;='Risk Matrices'!$D$22,'Risk Matrices'!$C$21,IF(ABS(AI223)&lt;='Risk Matrices'!$D$19,'Risk Matrices'!$C$18,IF(ABS(AI223)&lt;='Risk Matrices'!$D$16,'Risk Matrices'!$C$15,IF(ABS(AI223)&lt;='Risk Matrices'!$D$13,'Risk Matrices'!$C$12,'Risk Matrices'!$C$10)))))</f>
        <v>Low</v>
      </c>
      <c r="AQ223" s="112" t="str">
        <f>IF(OR(ISBLANK(AK223),AK223=0),"None",IF(ABS(AK223)&lt;='Risk Matrices'!$E$7,'Risk Matrices'!$E$5,IF(ABS(AK223)&lt;='Risk Matrices'!$G$7,'Risk Matrices'!$G$5,IF(ABS(AK223)&lt;='Risk Matrices'!$H$7,'Risk Matrices'!$H$5,'Risk Matrices'!$I$5))))</f>
        <v>Significant</v>
      </c>
      <c r="AR223" s="112" t="str">
        <f>IF(AN223="","",IF(ABS(AN223)&lt;='Risk Matrices'!$E$8,"Negligible",IF(ABS(AN223)&lt;='Risk Matrices'!$F$8,"Marginal",IF(ABS(AN223)&lt;='Risk Matrices'!$G$8,"Significant",IF(ABS(AN223)&lt;='Risk Matrices'!$H$8,"Critical","Crisis")))))</f>
        <v>Significant</v>
      </c>
      <c r="AS223" s="103" t="s">
        <v>307</v>
      </c>
      <c r="AT223" s="298">
        <f>IF(OR(ISBLANK(AI223),AI223=0),0,VLOOKUP(AP223,'Risk Matrices'!$B$30:$C$34,2,0))</f>
        <v>2</v>
      </c>
      <c r="AU223" s="298">
        <f>IF(OR(ISBLANK(AK223),AK223=0),0,HLOOKUP(AQ223,'Risk Matrices'!$D$28:$H$29,2,0))</f>
        <v>3</v>
      </c>
      <c r="AV223" s="298">
        <f>IF(OR(ISBLANK(AR223),AR223=0),0,HLOOKUP(AR223,'Risk Matrices'!$D$28:$H$29,2,0))</f>
        <v>3</v>
      </c>
      <c r="AW223" s="298">
        <f>IF(OR(ISBLANK(AS223),AS223=0),0,HLOOKUP(AS223,'Risk Matrices'!$D$28:$H$29,2,0))</f>
        <v>3</v>
      </c>
      <c r="AX223" s="106">
        <f t="shared" si="197"/>
        <v>3</v>
      </c>
      <c r="AY223" s="106">
        <f t="shared" si="198"/>
        <v>6</v>
      </c>
      <c r="AZ223" s="107" t="str">
        <f>IF(B223="Retired","Retired",IF(OR(ISBLANK(AY223),AY223=0),"TBD",IF(AY223&lt;='Risk Matrices'!$D$40,'Risk Matrices'!$B$40,IF(AY223&lt;='Risk Matrices'!$D$39,'Risk Matrices'!$B$39,'Risk Matrices'!$B$38))))</f>
        <v>Low</v>
      </c>
      <c r="BA223" s="104"/>
      <c r="BB223" s="745" t="s">
        <v>1512</v>
      </c>
      <c r="BC223" s="109">
        <f t="shared" si="199"/>
        <v>250</v>
      </c>
      <c r="BD223" s="929">
        <v>45316</v>
      </c>
      <c r="BE223" s="104"/>
      <c r="BF223" s="104"/>
      <c r="BG223" s="104"/>
      <c r="BH223" s="104"/>
      <c r="BI223" s="104"/>
      <c r="BJ223" s="874">
        <f t="shared" ref="BJ223:BJ254" si="204">AI223*(SUM(AJ223:AL223)/3)</f>
        <v>272.5</v>
      </c>
      <c r="BK223" s="101"/>
      <c r="BL223" s="101"/>
      <c r="BM223" s="116">
        <v>45148</v>
      </c>
      <c r="BN223" s="330">
        <v>45148</v>
      </c>
      <c r="BO223" s="1000"/>
      <c r="BP223" s="94">
        <f t="shared" si="190"/>
        <v>261.25</v>
      </c>
      <c r="BQ223" s="97" t="str">
        <f t="shared" si="200"/>
        <v>770 - 1000 - 1500</v>
      </c>
      <c r="BR223" s="97" t="str">
        <f t="shared" si="201"/>
        <v>9 - 12 - 15</v>
      </c>
      <c r="BS223" s="715">
        <f t="shared" si="185"/>
        <v>272.5</v>
      </c>
      <c r="BT223" s="736">
        <f t="shared" si="202"/>
        <v>3</v>
      </c>
      <c r="BU223" s="735"/>
      <c r="BV223" s="1002">
        <v>45504</v>
      </c>
      <c r="BW223" s="931">
        <f t="shared" si="191"/>
        <v>356</v>
      </c>
    </row>
    <row r="224" spans="2:75" ht="64" x14ac:dyDescent="0.2">
      <c r="B224" s="101" t="str">
        <f t="shared" si="184"/>
        <v>Active</v>
      </c>
      <c r="C224" s="790" t="s">
        <v>1513</v>
      </c>
      <c r="D224" s="157" t="s">
        <v>151</v>
      </c>
      <c r="E224" s="365" t="s">
        <v>1345</v>
      </c>
      <c r="F224" s="161" t="s">
        <v>124</v>
      </c>
      <c r="G224" s="140" t="s">
        <v>1346</v>
      </c>
      <c r="H224" s="815" t="str">
        <f t="shared" si="188"/>
        <v>RT-6-010-020-LLP-CD3B</v>
      </c>
      <c r="I224" s="943" t="s">
        <v>1347</v>
      </c>
      <c r="J224" s="143" t="s">
        <v>969</v>
      </c>
      <c r="K224" s="365" t="s">
        <v>1514</v>
      </c>
      <c r="L224" s="898" t="s">
        <v>1515</v>
      </c>
      <c r="M224" s="899" t="s">
        <v>164</v>
      </c>
      <c r="N224" s="134">
        <v>500</v>
      </c>
      <c r="O224" s="106" t="str" cm="1">
        <f t="array" ref="O224">_xlfn.IFS(N224="","",ABS(N224)&lt;='Risk Matrices'!$E$7,'Risk Matrices'!$E$5,ABS(N224)&lt;='Risk Matrices'!$F$7,'Risk Matrices'!$F$5,ABS(N224)&lt;='Risk Matrices'!$G$7,'Risk Matrices'!$G$5,ABS(N224)&lt;='Risk Matrices'!$H$7,'Risk Matrices'!$H$5,ABS(N224)&gt;'Risk Matrices'!$H$7,'Risk Matrices'!$I$5)</f>
        <v>Marginal</v>
      </c>
      <c r="P224" s="126">
        <v>12</v>
      </c>
      <c r="Q224" s="101" t="str" cm="1">
        <f t="array" ref="Q224">_xlfn.IFS(P224="","",ABS(P224)&lt;='Risk Matrices'!$E$8,'Risk Matrices'!$E$5,ABS(P224)&lt;='Risk Matrices'!$F$8,'Risk Matrices'!$F$5,ABS(P224)&lt;='Risk Matrices'!$G$8,'Risk Matrices'!$G$5,ABS(P224)&lt;='Risk Matrices'!$H$8,'Risk Matrices'!$H$5,ABS(P224)&gt;'Risk Matrices'!$H$8,'Risk Matrices'!$I$5)</f>
        <v>Significant</v>
      </c>
      <c r="R224" s="101" t="s">
        <v>406</v>
      </c>
      <c r="S224" s="106">
        <f t="shared" si="203"/>
        <v>2</v>
      </c>
      <c r="T224" s="106" cm="1">
        <f t="array" ref="T224">_xlfn.IFS(O224='Risk Matrices'!$D$28,'Risk Matrices'!$D$29,O224='Risk Matrices'!$E$28,'Risk Matrices'!$E$29,O224='Risk Matrices'!$F$28,'Risk Matrices'!$F$29,O224='Risk Matrices'!$G$28,'Risk Matrices'!$G$29,O224='Risk Matrices'!$H$28,'Risk Matrices'!$H$29)</f>
        <v>2</v>
      </c>
      <c r="U224" s="106">
        <f t="shared" si="192"/>
        <v>3</v>
      </c>
      <c r="V224" s="106">
        <f t="shared" si="189"/>
        <v>4</v>
      </c>
      <c r="W224" s="106">
        <f t="shared" si="193"/>
        <v>4</v>
      </c>
      <c r="X224" s="106">
        <f t="shared" si="194"/>
        <v>8</v>
      </c>
      <c r="Y224" s="107" t="str">
        <f t="shared" si="187"/>
        <v>Moderate</v>
      </c>
      <c r="Z224" s="104"/>
      <c r="AA224" s="108">
        <f t="shared" si="195"/>
        <v>0.17</v>
      </c>
      <c r="AB224" s="109">
        <f t="shared" si="196"/>
        <v>85</v>
      </c>
      <c r="AC224" s="109" t="s">
        <v>155</v>
      </c>
      <c r="AD224" s="745" t="s">
        <v>1516</v>
      </c>
      <c r="AE224" s="745"/>
      <c r="AF224" s="815" t="s">
        <v>167</v>
      </c>
      <c r="AG224" s="103"/>
      <c r="AH224" s="101" t="s">
        <v>1517</v>
      </c>
      <c r="AI224" s="978">
        <v>0.15</v>
      </c>
      <c r="AJ224" s="979">
        <v>50</v>
      </c>
      <c r="AK224" s="979">
        <v>100</v>
      </c>
      <c r="AL224" s="979">
        <v>250</v>
      </c>
      <c r="AM224" s="979">
        <v>3</v>
      </c>
      <c r="AN224" s="979">
        <v>9</v>
      </c>
      <c r="AO224" s="979">
        <v>18</v>
      </c>
      <c r="AP224" s="112" t="str">
        <f>IF(OR(ISBLANK(AI224),AI224=0),"INSERT LIKELIHOOD",IF(ABS(AI224)&lt;='Risk Matrices'!$D$22,'Risk Matrices'!$C$21,IF(ABS(AI224)&lt;='Risk Matrices'!$D$19,'Risk Matrices'!$C$18,IF(ABS(AI224)&lt;='Risk Matrices'!$D$16,'Risk Matrices'!$C$15,IF(ABS(AI224)&lt;='Risk Matrices'!$D$13,'Risk Matrices'!$C$12,'Risk Matrices'!$C$10)))))</f>
        <v>Low</v>
      </c>
      <c r="AQ224" s="112" t="str">
        <f>IF(OR(ISBLANK(AK224),AK224=0),"None",IF(ABS(AK224)&lt;='Risk Matrices'!$E$7,'Risk Matrices'!$E$5,IF(ABS(AK224)&lt;='Risk Matrices'!$G$7,'Risk Matrices'!$G$5,IF(ABS(AK224)&lt;='Risk Matrices'!$H$7,'Risk Matrices'!$H$5,'Risk Matrices'!$I$5))))</f>
        <v>Negligible</v>
      </c>
      <c r="AR224" s="112" t="str">
        <f>IF(AN224="","",IF(ABS(AN224)&lt;='Risk Matrices'!$E$8,"Negligible",IF(ABS(AN224)&lt;='Risk Matrices'!$F$8,"Marginal",IF(ABS(AN224)&lt;='Risk Matrices'!$G$8,"Significant",IF(ABS(AN224)&lt;='Risk Matrices'!$H$8,"Critical","Crisis")))))</f>
        <v>Significant</v>
      </c>
      <c r="AS224" s="103" t="s">
        <v>207</v>
      </c>
      <c r="AT224" s="298">
        <f>IF(OR(ISBLANK(AI224),AI224=0),0,VLOOKUP(AP224,'Risk Matrices'!$B$30:$C$34,2,0))</f>
        <v>2</v>
      </c>
      <c r="AU224" s="298">
        <f>IF(OR(ISBLANK(AK224),AK224=0),0,HLOOKUP(AQ224,'Risk Matrices'!$D$28:$H$29,2,0))</f>
        <v>1</v>
      </c>
      <c r="AV224" s="298">
        <f>IF(OR(ISBLANK(AR224),AR224=0),0,HLOOKUP(AR224,'Risk Matrices'!$D$28:$H$29,2,0))</f>
        <v>3</v>
      </c>
      <c r="AW224" s="298">
        <f>IF(OR(ISBLANK(AS224),AS224=0),0,HLOOKUP(AS224,'Risk Matrices'!$D$28:$H$29,2,0))</f>
        <v>1</v>
      </c>
      <c r="AX224" s="106">
        <f t="shared" si="197"/>
        <v>3</v>
      </c>
      <c r="AY224" s="106">
        <f t="shared" si="198"/>
        <v>6</v>
      </c>
      <c r="AZ224" s="967" t="str">
        <f>IF(B224="Retired","Retired",IF(OR(ISBLANK(AY224),AY224=0),"TBD",IF(AY224&lt;='Risk Matrices'!$D$40,'Risk Matrices'!$B$40,IF(AY224&lt;='Risk Matrices'!$D$39,'Risk Matrices'!$B$39,'Risk Matrices'!$B$38))))</f>
        <v>Low</v>
      </c>
      <c r="BA224" s="104"/>
      <c r="BB224" s="745" t="s">
        <v>1518</v>
      </c>
      <c r="BC224" s="109">
        <f t="shared" si="199"/>
        <v>15</v>
      </c>
      <c r="BD224" s="929">
        <v>45506</v>
      </c>
      <c r="BE224" s="104"/>
      <c r="BF224" s="104"/>
      <c r="BG224" s="104"/>
      <c r="BH224" s="104"/>
      <c r="BI224" s="104"/>
      <c r="BJ224" s="874">
        <f t="shared" si="204"/>
        <v>20</v>
      </c>
      <c r="BK224" s="101"/>
      <c r="BL224" s="101"/>
      <c r="BM224" s="185">
        <v>45506</v>
      </c>
      <c r="BN224" s="185">
        <v>45506</v>
      </c>
      <c r="BO224" s="1000"/>
      <c r="BP224" s="94">
        <f t="shared" si="190"/>
        <v>17.5</v>
      </c>
      <c r="BQ224" s="97" t="str">
        <f t="shared" si="200"/>
        <v>50 - 100 - 250</v>
      </c>
      <c r="BR224" s="97" t="str">
        <f t="shared" si="201"/>
        <v>3 - 9 - 18</v>
      </c>
      <c r="BS224" s="715">
        <f t="shared" si="185"/>
        <v>20</v>
      </c>
      <c r="BT224" s="736">
        <f t="shared" si="202"/>
        <v>1.5</v>
      </c>
      <c r="BU224" s="735"/>
      <c r="BV224" s="1002">
        <v>45504</v>
      </c>
      <c r="BW224" s="931">
        <f t="shared" si="191"/>
        <v>-2</v>
      </c>
    </row>
    <row r="225" spans="2:75" ht="64" x14ac:dyDescent="0.2">
      <c r="B225" s="101" t="str">
        <f t="shared" si="184"/>
        <v>Active</v>
      </c>
      <c r="C225" s="790" t="s">
        <v>1519</v>
      </c>
      <c r="D225" s="157" t="s">
        <v>151</v>
      </c>
      <c r="E225" s="365" t="s">
        <v>1345</v>
      </c>
      <c r="F225" s="161" t="s">
        <v>124</v>
      </c>
      <c r="G225" s="140" t="s">
        <v>1346</v>
      </c>
      <c r="H225" s="815" t="str">
        <f t="shared" si="188"/>
        <v>RT-6-010-021-LLP-CD3B</v>
      </c>
      <c r="I225" s="943" t="s">
        <v>1347</v>
      </c>
      <c r="J225" s="143" t="s">
        <v>969</v>
      </c>
      <c r="K225" s="365" t="s">
        <v>1520</v>
      </c>
      <c r="L225" s="898" t="s">
        <v>1521</v>
      </c>
      <c r="M225" s="103" t="s">
        <v>129</v>
      </c>
      <c r="N225" s="134">
        <v>2000</v>
      </c>
      <c r="O225" s="106" t="str" cm="1">
        <f t="array" ref="O225">_xlfn.IFS(N225="","",ABS(N225)&lt;='Risk Matrices'!$E$7,'Risk Matrices'!$E$5,ABS(N225)&lt;='Risk Matrices'!$F$7,'Risk Matrices'!$F$5,ABS(N225)&lt;='Risk Matrices'!$G$7,'Risk Matrices'!$G$5,ABS(N225)&lt;='Risk Matrices'!$H$7,'Risk Matrices'!$H$5,ABS(N225)&gt;'Risk Matrices'!$H$7,'Risk Matrices'!$I$5)</f>
        <v>Significant</v>
      </c>
      <c r="P225" s="126">
        <v>24</v>
      </c>
      <c r="Q225" s="101" t="str" cm="1">
        <f t="array" ref="Q225">_xlfn.IFS(P225="","",ABS(P225)&lt;='Risk Matrices'!$E$8,'Risk Matrices'!$E$5,ABS(P225)&lt;='Risk Matrices'!$F$8,'Risk Matrices'!$F$5,ABS(P225)&lt;='Risk Matrices'!$G$8,'Risk Matrices'!$G$5,ABS(P225)&lt;='Risk Matrices'!$H$8,'Risk Matrices'!$H$5,ABS(P225)&gt;'Risk Matrices'!$H$8,'Risk Matrices'!$I$5)</f>
        <v>Critical</v>
      </c>
      <c r="R225" s="101" t="s">
        <v>406</v>
      </c>
      <c r="S225" s="106">
        <f t="shared" si="203"/>
        <v>4</v>
      </c>
      <c r="T225" s="106" cm="1">
        <f t="array" ref="T225">_xlfn.IFS(O225='Risk Matrices'!$D$28,'Risk Matrices'!$D$29,O225='Risk Matrices'!$E$28,'Risk Matrices'!$E$29,O225='Risk Matrices'!$F$28,'Risk Matrices'!$F$29,O225='Risk Matrices'!$G$28,'Risk Matrices'!$G$29,O225='Risk Matrices'!$H$28,'Risk Matrices'!$H$29)</f>
        <v>3</v>
      </c>
      <c r="U225" s="106">
        <f t="shared" si="192"/>
        <v>4</v>
      </c>
      <c r="V225" s="106">
        <f t="shared" si="189"/>
        <v>4</v>
      </c>
      <c r="W225" s="106">
        <f t="shared" si="193"/>
        <v>4</v>
      </c>
      <c r="X225" s="106">
        <f t="shared" si="194"/>
        <v>16</v>
      </c>
      <c r="Y225" s="107" t="str">
        <f t="shared" si="187"/>
        <v>High</v>
      </c>
      <c r="Z225" s="104"/>
      <c r="AA225" s="108">
        <f t="shared" si="195"/>
        <v>0.52</v>
      </c>
      <c r="AB225" s="109">
        <f t="shared" si="196"/>
        <v>1040</v>
      </c>
      <c r="AC225" s="109" t="s">
        <v>155</v>
      </c>
      <c r="AD225" s="745" t="s">
        <v>1516</v>
      </c>
      <c r="AE225" s="745"/>
      <c r="AF225" s="815" t="s">
        <v>200</v>
      </c>
      <c r="AG225" s="103"/>
      <c r="AH225" s="101" t="s">
        <v>1517</v>
      </c>
      <c r="AI225" s="978">
        <v>0.2</v>
      </c>
      <c r="AJ225" s="979">
        <v>500</v>
      </c>
      <c r="AK225" s="979">
        <v>1000</v>
      </c>
      <c r="AL225" s="979">
        <v>1500</v>
      </c>
      <c r="AM225" s="979">
        <v>6</v>
      </c>
      <c r="AN225" s="979">
        <v>12</v>
      </c>
      <c r="AO225" s="979">
        <v>18</v>
      </c>
      <c r="AP225" s="112" t="str">
        <f>IF(OR(ISBLANK(AI225),AI225=0),"INSERT LIKELIHOOD",IF(ABS(AI225)&lt;='Risk Matrices'!$D$22,'Risk Matrices'!$C$21,IF(ABS(AI225)&lt;='Risk Matrices'!$D$19,'Risk Matrices'!$C$18,IF(ABS(AI225)&lt;='Risk Matrices'!$D$16,'Risk Matrices'!$C$15,IF(ABS(AI225)&lt;='Risk Matrices'!$D$13,'Risk Matrices'!$C$12,'Risk Matrices'!$C$10)))))</f>
        <v>Low</v>
      </c>
      <c r="AQ225" s="112" t="str">
        <f>IF(OR(ISBLANK(AK225),AK225=0),"None",IF(ABS(AK225)&lt;='Risk Matrices'!$E$7,'Risk Matrices'!$E$5,IF(ABS(AK225)&lt;='Risk Matrices'!$G$7,'Risk Matrices'!$G$5,IF(ABS(AK225)&lt;='Risk Matrices'!$H$7,'Risk Matrices'!$H$5,'Risk Matrices'!$I$5))))</f>
        <v>Significant</v>
      </c>
      <c r="AR225" s="112" t="str">
        <f>IF(AN225="","",IF(ABS(AN225)&lt;='Risk Matrices'!$E$8,"Negligible",IF(ABS(AN225)&lt;='Risk Matrices'!$F$8,"Marginal",IF(ABS(AN225)&lt;='Risk Matrices'!$G$8,"Significant",IF(ABS(AN225)&lt;='Risk Matrices'!$H$8,"Critical","Crisis")))))</f>
        <v>Significant</v>
      </c>
      <c r="AS225" s="103" t="s">
        <v>207</v>
      </c>
      <c r="AT225" s="298">
        <f>IF(OR(ISBLANK(AI225),AI225=0),0,VLOOKUP(AP225,'Risk Matrices'!$B$30:$C$34,2,0))</f>
        <v>2</v>
      </c>
      <c r="AU225" s="298">
        <f>IF(OR(ISBLANK(AK225),AK225=0),0,HLOOKUP(AQ225,'Risk Matrices'!$D$28:$H$29,2,0))</f>
        <v>3</v>
      </c>
      <c r="AV225" s="298">
        <f>IF(OR(ISBLANK(AR225),AR225=0),0,HLOOKUP(AR225,'Risk Matrices'!$D$28:$H$29,2,0))</f>
        <v>3</v>
      </c>
      <c r="AW225" s="298">
        <f>IF(OR(ISBLANK(AS225),AS225=0),0,HLOOKUP(AS225,'Risk Matrices'!$D$28:$H$29,2,0))</f>
        <v>1</v>
      </c>
      <c r="AX225" s="106">
        <f t="shared" si="197"/>
        <v>3</v>
      </c>
      <c r="AY225" s="106">
        <f t="shared" si="198"/>
        <v>6</v>
      </c>
      <c r="AZ225" s="967" t="str">
        <f>IF(B225="Retired","Retired",IF(OR(ISBLANK(AY225),AY225=0),"TBD",IF(AY225&lt;='Risk Matrices'!$D$40,'Risk Matrices'!$B$40,IF(AY225&lt;='Risk Matrices'!$D$39,'Risk Matrices'!$B$39,'Risk Matrices'!$B$38))))</f>
        <v>Low</v>
      </c>
      <c r="BA225" s="104"/>
      <c r="BB225" s="745" t="s">
        <v>1518</v>
      </c>
      <c r="BC225" s="109">
        <f t="shared" si="199"/>
        <v>200</v>
      </c>
      <c r="BD225" s="929">
        <v>45506</v>
      </c>
      <c r="BE225" s="104"/>
      <c r="BF225" s="104"/>
      <c r="BG225" s="104"/>
      <c r="BH225" s="104"/>
      <c r="BI225" s="104"/>
      <c r="BJ225" s="874">
        <f t="shared" si="204"/>
        <v>200</v>
      </c>
      <c r="BK225" s="101"/>
      <c r="BL225" s="101"/>
      <c r="BM225" s="185">
        <v>45506</v>
      </c>
      <c r="BN225" s="185">
        <v>45506</v>
      </c>
      <c r="BO225" s="1000"/>
      <c r="BP225" s="94">
        <f t="shared" si="190"/>
        <v>200</v>
      </c>
      <c r="BQ225" s="97" t="str">
        <f t="shared" si="200"/>
        <v>500 - 1000 - 1500</v>
      </c>
      <c r="BR225" s="97" t="str">
        <f t="shared" si="201"/>
        <v>6 - 12 - 18</v>
      </c>
      <c r="BS225" s="715">
        <f t="shared" si="185"/>
        <v>200</v>
      </c>
      <c r="BT225" s="736">
        <f t="shared" si="202"/>
        <v>2.4</v>
      </c>
      <c r="BU225" s="735"/>
      <c r="BV225" s="1002">
        <v>45504</v>
      </c>
      <c r="BW225" s="931">
        <f t="shared" si="191"/>
        <v>-2</v>
      </c>
    </row>
    <row r="226" spans="2:75" ht="80" x14ac:dyDescent="0.2">
      <c r="B226" s="101" t="str">
        <f t="shared" si="184"/>
        <v>Active</v>
      </c>
      <c r="C226" s="790" t="s">
        <v>1522</v>
      </c>
      <c r="D226" s="157" t="s">
        <v>151</v>
      </c>
      <c r="E226" s="365" t="s">
        <v>1345</v>
      </c>
      <c r="F226" s="161" t="s">
        <v>124</v>
      </c>
      <c r="G226" s="140" t="s">
        <v>1346</v>
      </c>
      <c r="H226" s="815" t="str">
        <f t="shared" si="188"/>
        <v>RT-6-010-022-LLP-CD3B</v>
      </c>
      <c r="I226" s="943" t="s">
        <v>1347</v>
      </c>
      <c r="J226" s="143" t="s">
        <v>969</v>
      </c>
      <c r="K226" s="365" t="s">
        <v>1523</v>
      </c>
      <c r="L226" s="898" t="s">
        <v>1524</v>
      </c>
      <c r="M226" s="103" t="s">
        <v>129</v>
      </c>
      <c r="N226" s="134">
        <v>2000</v>
      </c>
      <c r="O226" s="106" t="str" cm="1">
        <f t="array" ref="O226">_xlfn.IFS(N226="","",ABS(N226)&lt;='Risk Matrices'!$E$7,'Risk Matrices'!$E$5,ABS(N226)&lt;='Risk Matrices'!$F$7,'Risk Matrices'!$F$5,ABS(N226)&lt;='Risk Matrices'!$G$7,'Risk Matrices'!$G$5,ABS(N226)&lt;='Risk Matrices'!$H$7,'Risk Matrices'!$H$5,ABS(N226)&gt;'Risk Matrices'!$H$7,'Risk Matrices'!$I$5)</f>
        <v>Significant</v>
      </c>
      <c r="P226" s="126">
        <v>24</v>
      </c>
      <c r="Q226" s="101" t="str" cm="1">
        <f t="array" ref="Q226">_xlfn.IFS(P226="","",ABS(P226)&lt;='Risk Matrices'!$E$8,'Risk Matrices'!$E$5,ABS(P226)&lt;='Risk Matrices'!$F$8,'Risk Matrices'!$F$5,ABS(P226)&lt;='Risk Matrices'!$G$8,'Risk Matrices'!$G$5,ABS(P226)&lt;='Risk Matrices'!$H$8,'Risk Matrices'!$H$5,ABS(P226)&gt;'Risk Matrices'!$H$8,'Risk Matrices'!$I$5)</f>
        <v>Critical</v>
      </c>
      <c r="R226" s="101" t="s">
        <v>406</v>
      </c>
      <c r="S226" s="106">
        <f t="shared" si="203"/>
        <v>4</v>
      </c>
      <c r="T226" s="106" cm="1">
        <f t="array" ref="T226">_xlfn.IFS(O226='Risk Matrices'!$D$28,'Risk Matrices'!$D$29,O226='Risk Matrices'!$E$28,'Risk Matrices'!$E$29,O226='Risk Matrices'!$F$28,'Risk Matrices'!$F$29,O226='Risk Matrices'!$G$28,'Risk Matrices'!$G$29,O226='Risk Matrices'!$H$28,'Risk Matrices'!$H$29)</f>
        <v>3</v>
      </c>
      <c r="U226" s="106">
        <f t="shared" si="192"/>
        <v>4</v>
      </c>
      <c r="V226" s="106">
        <f t="shared" si="189"/>
        <v>4</v>
      </c>
      <c r="W226" s="106">
        <f t="shared" si="193"/>
        <v>4</v>
      </c>
      <c r="X226" s="106">
        <f t="shared" si="194"/>
        <v>16</v>
      </c>
      <c r="Y226" s="107" t="str">
        <f t="shared" si="187"/>
        <v>High</v>
      </c>
      <c r="Z226" s="104"/>
      <c r="AA226" s="108">
        <f t="shared" si="195"/>
        <v>0.52</v>
      </c>
      <c r="AB226" s="109">
        <f t="shared" si="196"/>
        <v>1040</v>
      </c>
      <c r="AC226" s="109" t="s">
        <v>155</v>
      </c>
      <c r="AD226" s="745" t="s">
        <v>1525</v>
      </c>
      <c r="AE226" s="745"/>
      <c r="AF226" s="815" t="s">
        <v>167</v>
      </c>
      <c r="AG226" s="103"/>
      <c r="AH226" s="104" t="s">
        <v>1526</v>
      </c>
      <c r="AI226" s="978">
        <v>0.15</v>
      </c>
      <c r="AJ226" s="979">
        <v>50</v>
      </c>
      <c r="AK226" s="979">
        <v>100</v>
      </c>
      <c r="AL226" s="979">
        <v>150</v>
      </c>
      <c r="AM226" s="979">
        <v>3</v>
      </c>
      <c r="AN226" s="979">
        <v>6</v>
      </c>
      <c r="AO226" s="979">
        <v>12</v>
      </c>
      <c r="AP226" s="112" t="str">
        <f>IF(OR(ISBLANK(AI226),AI226=0),"INSERT LIKELIHOOD",IF(ABS(AI226)&lt;='Risk Matrices'!$D$22,'Risk Matrices'!$C$21,IF(ABS(AI226)&lt;='Risk Matrices'!$D$19,'Risk Matrices'!$C$18,IF(ABS(AI226)&lt;='Risk Matrices'!$D$16,'Risk Matrices'!$C$15,IF(ABS(AI226)&lt;='Risk Matrices'!$D$13,'Risk Matrices'!$C$12,'Risk Matrices'!$C$10)))))</f>
        <v>Low</v>
      </c>
      <c r="AQ226" s="112" t="str">
        <f>IF(OR(ISBLANK(AK226),AK226=0),"None",IF(ABS(AK226)&lt;='Risk Matrices'!$E$7,'Risk Matrices'!$E$5,IF(ABS(AK226)&lt;='Risk Matrices'!$G$7,'Risk Matrices'!$G$5,IF(ABS(AK226)&lt;='Risk Matrices'!$H$7,'Risk Matrices'!$H$5,'Risk Matrices'!$I$5))))</f>
        <v>Negligible</v>
      </c>
      <c r="AR226" s="112" t="str">
        <f>IF(AN226="","",IF(ABS(AN226)&lt;='Risk Matrices'!$E$8,"Negligible",IF(ABS(AN226)&lt;='Risk Matrices'!$F$8,"Marginal",IF(ABS(AN226)&lt;='Risk Matrices'!$G$8,"Significant",IF(ABS(AN226)&lt;='Risk Matrices'!$H$8,"Critical","Crisis")))))</f>
        <v>Marginal</v>
      </c>
      <c r="AS226" s="103" t="s">
        <v>207</v>
      </c>
      <c r="AT226" s="298">
        <f>IF(OR(ISBLANK(AI226),AI226=0),0,VLOOKUP(AP226,'Risk Matrices'!$B$30:$C$34,2,0))</f>
        <v>2</v>
      </c>
      <c r="AU226" s="298">
        <f>IF(OR(ISBLANK(AK226),AK226=0),0,HLOOKUP(AQ226,'Risk Matrices'!$D$28:$H$29,2,0))</f>
        <v>1</v>
      </c>
      <c r="AV226" s="298">
        <f>IF(OR(ISBLANK(AR226),AR226=0),0,HLOOKUP(AR226,'Risk Matrices'!$D$28:$H$29,2,0))</f>
        <v>2</v>
      </c>
      <c r="AW226" s="298">
        <f>IF(OR(ISBLANK(AS226),AS226=0),0,HLOOKUP(AS226,'Risk Matrices'!$D$28:$H$29,2,0))</f>
        <v>1</v>
      </c>
      <c r="AX226" s="106">
        <f t="shared" si="197"/>
        <v>2</v>
      </c>
      <c r="AY226" s="106">
        <f t="shared" si="198"/>
        <v>4</v>
      </c>
      <c r="AZ226" s="967" t="str">
        <f>IF(B226="Retired","Retired",IF(OR(ISBLANK(AY226),AY226=0),"TBD",IF(AY226&lt;='Risk Matrices'!$D$40,'Risk Matrices'!$B$40,IF(AY226&lt;='Risk Matrices'!$D$39,'Risk Matrices'!$B$39,'Risk Matrices'!$B$38))))</f>
        <v>Low</v>
      </c>
      <c r="BA226" s="104"/>
      <c r="BB226" s="745" t="s">
        <v>1527</v>
      </c>
      <c r="BC226" s="109">
        <f t="shared" si="199"/>
        <v>15</v>
      </c>
      <c r="BD226" s="929">
        <v>45506</v>
      </c>
      <c r="BE226" s="104"/>
      <c r="BF226" s="104"/>
      <c r="BG226" s="104"/>
      <c r="BH226" s="104"/>
      <c r="BI226" s="104"/>
      <c r="BJ226" s="874">
        <f t="shared" si="204"/>
        <v>15</v>
      </c>
      <c r="BK226" s="101"/>
      <c r="BL226" s="101"/>
      <c r="BM226" s="185">
        <v>45506</v>
      </c>
      <c r="BN226" s="185">
        <v>45506</v>
      </c>
      <c r="BO226" s="1000"/>
      <c r="BP226" s="94">
        <f t="shared" si="190"/>
        <v>15</v>
      </c>
      <c r="BQ226" s="97" t="str">
        <f t="shared" si="200"/>
        <v>50 - 100 - 150</v>
      </c>
      <c r="BR226" s="97" t="str">
        <f t="shared" si="201"/>
        <v>3 - 6 - 12</v>
      </c>
      <c r="BS226" s="715">
        <f t="shared" si="185"/>
        <v>15</v>
      </c>
      <c r="BT226" s="736">
        <f t="shared" si="202"/>
        <v>1.05</v>
      </c>
      <c r="BU226" s="735"/>
      <c r="BV226" s="1002">
        <v>45504</v>
      </c>
      <c r="BW226" s="931">
        <f t="shared" si="191"/>
        <v>-2</v>
      </c>
    </row>
    <row r="227" spans="2:75" ht="80" x14ac:dyDescent="0.2">
      <c r="B227" s="101" t="str">
        <f t="shared" si="184"/>
        <v>Active</v>
      </c>
      <c r="C227" s="790" t="s">
        <v>1528</v>
      </c>
      <c r="D227" s="118" t="s">
        <v>122</v>
      </c>
      <c r="E227" s="157" t="s">
        <v>1345</v>
      </c>
      <c r="F227" s="161" t="s">
        <v>124</v>
      </c>
      <c r="G227" s="140" t="s">
        <v>1346</v>
      </c>
      <c r="H227" s="103" t="str">
        <f t="shared" si="188"/>
        <v>RT-6-010-023</v>
      </c>
      <c r="I227" s="140" t="s">
        <v>1347</v>
      </c>
      <c r="J227" s="143" t="s">
        <v>969</v>
      </c>
      <c r="K227" s="157" t="s">
        <v>1529</v>
      </c>
      <c r="L227" s="951" t="s">
        <v>1530</v>
      </c>
      <c r="M227" s="103" t="s">
        <v>141</v>
      </c>
      <c r="N227" s="105">
        <v>-10000</v>
      </c>
      <c r="O227" s="106" t="str" cm="1">
        <f t="array" ref="O227">_xlfn.IFS(N227="","",ABS(N227)&lt;='Risk Matrices'!$E$7,'Risk Matrices'!$E$5,ABS(N227)&lt;='Risk Matrices'!$F$7,'Risk Matrices'!$F$5,ABS(N227)&lt;='Risk Matrices'!$G$7,'Risk Matrices'!$G$5,ABS(N227)&lt;='Risk Matrices'!$H$7,'Risk Matrices'!$H$5,ABS(N227)&gt;'Risk Matrices'!$H$7,'Risk Matrices'!$I$5)</f>
        <v>Critical</v>
      </c>
      <c r="P227" s="101">
        <v>0</v>
      </c>
      <c r="Q227" s="101" t="str" cm="1">
        <f t="array" ref="Q227">_xlfn.IFS(P227="","",ABS(P227)&lt;='Risk Matrices'!$E$8,'Risk Matrices'!$E$5,ABS(P227)&lt;='Risk Matrices'!$F$8,'Risk Matrices'!$F$5,ABS(P227)&lt;='Risk Matrices'!$G$8,'Risk Matrices'!$G$5,ABS(P227)&lt;='Risk Matrices'!$H$8,'Risk Matrices'!$H$5,ABS(P227)&gt;'Risk Matrices'!$H$8,'Risk Matrices'!$I$5)</f>
        <v>Negligible</v>
      </c>
      <c r="R227" s="101" t="s">
        <v>207</v>
      </c>
      <c r="S227" s="106">
        <f t="shared" si="203"/>
        <v>3</v>
      </c>
      <c r="T227" s="106" cm="1">
        <f t="array" ref="T227">_xlfn.IFS(O227='Risk Matrices'!$D$28,'Risk Matrices'!$D$29,O227='Risk Matrices'!$E$28,'Risk Matrices'!$E$29,O227='Risk Matrices'!$F$28,'Risk Matrices'!$F$29,O227='Risk Matrices'!$G$28,'Risk Matrices'!$G$29,O227='Risk Matrices'!$H$28,'Risk Matrices'!$H$29)</f>
        <v>4</v>
      </c>
      <c r="U227" s="106">
        <f t="shared" si="192"/>
        <v>1</v>
      </c>
      <c r="V227" s="106">
        <f t="shared" si="189"/>
        <v>1</v>
      </c>
      <c r="W227" s="106">
        <f t="shared" si="193"/>
        <v>4</v>
      </c>
      <c r="X227" s="106">
        <f t="shared" si="194"/>
        <v>12</v>
      </c>
      <c r="Y227" s="107" t="str">
        <f t="shared" si="187"/>
        <v>Moderate</v>
      </c>
      <c r="Z227" s="104"/>
      <c r="AA227" s="108">
        <f t="shared" si="195"/>
        <v>0.32</v>
      </c>
      <c r="AB227" s="109">
        <f t="shared" si="196"/>
        <v>-3200</v>
      </c>
      <c r="AC227" s="109" t="s">
        <v>155</v>
      </c>
      <c r="AD227" s="287" t="s">
        <v>1531</v>
      </c>
      <c r="AE227" s="745"/>
      <c r="AF227" s="103"/>
      <c r="AG227" s="103"/>
      <c r="AH227" s="750" t="s">
        <v>1532</v>
      </c>
      <c r="AI227" s="799">
        <v>0.3</v>
      </c>
      <c r="AJ227" s="357">
        <v>-10000</v>
      </c>
      <c r="AK227" s="357">
        <v>-20000</v>
      </c>
      <c r="AL227" s="357">
        <v>-30000</v>
      </c>
      <c r="AM227" s="357">
        <v>0</v>
      </c>
      <c r="AN227" s="357">
        <v>0</v>
      </c>
      <c r="AO227" s="357">
        <v>0</v>
      </c>
      <c r="AP227" s="112" t="str">
        <f>IF(OR(ISBLANK(AI227),AI227=0),"INSERT LIKELIHOOD",IF(ABS(AI227)&lt;='Risk Matrices'!$D$22,'Risk Matrices'!$C$21,IF(ABS(AI227)&lt;='Risk Matrices'!$D$19,'Risk Matrices'!$C$18,IF(ABS(AI227)&lt;='Risk Matrices'!$D$16,'Risk Matrices'!$C$15,IF(ABS(AI227)&lt;='Risk Matrices'!$D$13,'Risk Matrices'!$C$12,'Risk Matrices'!$C$10)))))</f>
        <v>Moderate</v>
      </c>
      <c r="AQ227" s="112" t="str">
        <f>IF(OR(ISBLANK(AK227),AK227=0),"None",IF(ABS(AK227)&lt;='Risk Matrices'!$E$7,'Risk Matrices'!$E$5,IF(ABS(AK227)&lt;='Risk Matrices'!$G$7,'Risk Matrices'!$G$5,IF(ABS(AK227)&lt;='Risk Matrices'!$H$7,'Risk Matrices'!$H$5,'Risk Matrices'!$I$5))))</f>
        <v>Critical</v>
      </c>
      <c r="AR227" s="112" t="str">
        <f>IF(AN227="","",IF(ABS(AN227)&lt;='Risk Matrices'!$E$8,"Negligible",IF(ABS(AN227)&lt;='Risk Matrices'!$F$8,"Marginal",IF(ABS(AN227)&lt;='Risk Matrices'!$G$8,"Significant",IF(ABS(AN227)&lt;='Risk Matrices'!$H$8,"Critical","Crisis")))))</f>
        <v>Negligible</v>
      </c>
      <c r="AS227" s="103" t="s">
        <v>207</v>
      </c>
      <c r="AT227" s="298">
        <f>IF(OR(ISBLANK(AI227),AI227=0),0,VLOOKUP(AP227,'Risk Matrices'!$B$30:$C$34,2,0))</f>
        <v>3</v>
      </c>
      <c r="AU227" s="298">
        <f>IF(OR(ISBLANK(AK227),AK227=0),0,HLOOKUP(AQ227,'Risk Matrices'!$D$28:$H$29,2,0))</f>
        <v>4</v>
      </c>
      <c r="AV227" s="298">
        <f>IF(OR(ISBLANK(AR227),AR227=0),0,HLOOKUP(AR227,'Risk Matrices'!$D$28:$H$29,2,0))</f>
        <v>1</v>
      </c>
      <c r="AW227" s="298">
        <f>IF(OR(ISBLANK(AS227),AS227=0),0,HLOOKUP(AS227,'Risk Matrices'!$D$28:$H$29,2,0))</f>
        <v>1</v>
      </c>
      <c r="AX227" s="106">
        <f t="shared" si="197"/>
        <v>4</v>
      </c>
      <c r="AY227" s="106">
        <f t="shared" si="198"/>
        <v>12</v>
      </c>
      <c r="AZ227" s="107" t="str">
        <f>IF(B227="Retired","Retired",IF(OR(ISBLANK(AY227),AY227=0),"TBD",IF(AY227&lt;='Risk Matrices'!$D$40,'Risk Matrices'!$B$40,IF(AY227&lt;='Risk Matrices'!$D$39,'Risk Matrices'!$B$39,'Risk Matrices'!$B$38))))</f>
        <v>Moderate</v>
      </c>
      <c r="BA227" s="104"/>
      <c r="BB227" s="745" t="s">
        <v>1533</v>
      </c>
      <c r="BC227" s="109">
        <f t="shared" si="199"/>
        <v>-6000</v>
      </c>
      <c r="BD227" s="929">
        <v>45506</v>
      </c>
      <c r="BE227" s="104"/>
      <c r="BF227" s="104"/>
      <c r="BG227" s="104"/>
      <c r="BH227" s="104"/>
      <c r="BI227" s="104"/>
      <c r="BJ227" s="874">
        <f t="shared" si="204"/>
        <v>-6000</v>
      </c>
      <c r="BK227" s="101"/>
      <c r="BL227" s="101"/>
      <c r="BM227" s="185">
        <v>45506</v>
      </c>
      <c r="BN227" s="185">
        <v>45506</v>
      </c>
      <c r="BO227" s="1000"/>
      <c r="BP227" s="94">
        <f t="shared" si="190"/>
        <v>-6000</v>
      </c>
      <c r="BQ227" s="97" t="str">
        <f t="shared" si="200"/>
        <v>-10000 - -20000 - -30000</v>
      </c>
      <c r="BR227" s="97" t="str">
        <f t="shared" si="201"/>
        <v>0 - 0 - 0</v>
      </c>
      <c r="BS227" s="715">
        <f t="shared" si="185"/>
        <v>-6000</v>
      </c>
      <c r="BT227" s="736">
        <f t="shared" si="202"/>
        <v>0</v>
      </c>
      <c r="BU227" s="735"/>
      <c r="BV227" s="1002">
        <v>45504</v>
      </c>
      <c r="BW227" s="931">
        <f t="shared" si="191"/>
        <v>-2</v>
      </c>
    </row>
    <row r="228" spans="2:75" ht="80" x14ac:dyDescent="0.2">
      <c r="B228" s="101" t="str">
        <f t="shared" si="184"/>
        <v>Active</v>
      </c>
      <c r="C228" s="790" t="s">
        <v>1534</v>
      </c>
      <c r="D228" s="157" t="s">
        <v>151</v>
      </c>
      <c r="E228" s="365" t="s">
        <v>1345</v>
      </c>
      <c r="F228" s="161" t="s">
        <v>124</v>
      </c>
      <c r="G228" s="140" t="s">
        <v>1346</v>
      </c>
      <c r="H228" s="815" t="str">
        <f t="shared" si="188"/>
        <v>RT-6-010-024-LLP-CD3B</v>
      </c>
      <c r="I228" s="943" t="s">
        <v>1347</v>
      </c>
      <c r="J228" s="143" t="s">
        <v>969</v>
      </c>
      <c r="K228" s="365" t="s">
        <v>1535</v>
      </c>
      <c r="L228" s="898" t="s">
        <v>1536</v>
      </c>
      <c r="M228" s="103" t="s">
        <v>141</v>
      </c>
      <c r="N228" s="134">
        <v>5823</v>
      </c>
      <c r="O228" s="106" t="str" cm="1">
        <f t="array" ref="O228">_xlfn.IFS(N228="","",ABS(N228)&lt;='Risk Matrices'!$E$7,'Risk Matrices'!$E$5,ABS(N228)&lt;='Risk Matrices'!$F$7,'Risk Matrices'!$F$5,ABS(N228)&lt;='Risk Matrices'!$G$7,'Risk Matrices'!$G$5,ABS(N228)&lt;='Risk Matrices'!$H$7,'Risk Matrices'!$H$5,ABS(N228)&gt;'Risk Matrices'!$H$7,'Risk Matrices'!$I$5)</f>
        <v>Critical</v>
      </c>
      <c r="P228" s="126">
        <v>12</v>
      </c>
      <c r="Q228" s="101" t="str" cm="1">
        <f t="array" ref="Q228">_xlfn.IFS(P228="","",ABS(P228)&lt;='Risk Matrices'!$E$8,'Risk Matrices'!$E$5,ABS(P228)&lt;='Risk Matrices'!$F$8,'Risk Matrices'!$F$5,ABS(P228)&lt;='Risk Matrices'!$G$8,'Risk Matrices'!$G$5,ABS(P228)&lt;='Risk Matrices'!$H$8,'Risk Matrices'!$H$5,ABS(P228)&gt;'Risk Matrices'!$H$8,'Risk Matrices'!$I$5)</f>
        <v>Significant</v>
      </c>
      <c r="R228" s="101" t="s">
        <v>406</v>
      </c>
      <c r="S228" s="106">
        <f t="shared" si="203"/>
        <v>3</v>
      </c>
      <c r="T228" s="106" cm="1">
        <f t="array" ref="T228">_xlfn.IFS(O228='Risk Matrices'!$D$28,'Risk Matrices'!$D$29,O228='Risk Matrices'!$E$28,'Risk Matrices'!$E$29,O228='Risk Matrices'!$F$28,'Risk Matrices'!$F$29,O228='Risk Matrices'!$G$28,'Risk Matrices'!$G$29,O228='Risk Matrices'!$H$28,'Risk Matrices'!$H$29)</f>
        <v>4</v>
      </c>
      <c r="U228" s="106">
        <f t="shared" si="192"/>
        <v>3</v>
      </c>
      <c r="V228" s="106">
        <f t="shared" si="189"/>
        <v>4</v>
      </c>
      <c r="W228" s="106">
        <f t="shared" si="193"/>
        <v>4</v>
      </c>
      <c r="X228" s="106">
        <f t="shared" si="194"/>
        <v>12</v>
      </c>
      <c r="Y228" s="107" t="str">
        <f t="shared" si="187"/>
        <v>Moderate</v>
      </c>
      <c r="Z228" s="104"/>
      <c r="AA228" s="108">
        <f t="shared" si="195"/>
        <v>0.32</v>
      </c>
      <c r="AB228" s="109">
        <f t="shared" si="196"/>
        <v>1863.3600000000001</v>
      </c>
      <c r="AC228" s="109" t="s">
        <v>155</v>
      </c>
      <c r="AD228" s="745" t="s">
        <v>1537</v>
      </c>
      <c r="AE228" s="745"/>
      <c r="AF228" s="815" t="s">
        <v>265</v>
      </c>
      <c r="AG228" s="103"/>
      <c r="AH228" s="101" t="s">
        <v>1538</v>
      </c>
      <c r="AI228" s="978">
        <v>0.15</v>
      </c>
      <c r="AJ228" s="979">
        <v>250</v>
      </c>
      <c r="AK228" s="979">
        <v>500</v>
      </c>
      <c r="AL228" s="979">
        <v>1000</v>
      </c>
      <c r="AM228" s="979">
        <v>3</v>
      </c>
      <c r="AN228" s="979">
        <v>6</v>
      </c>
      <c r="AO228" s="979">
        <v>12</v>
      </c>
      <c r="AP228" s="112" t="str">
        <f>IF(OR(ISBLANK(AI228),AI228=0),"INSERT LIKELIHOOD",IF(ABS(AI228)&lt;='Risk Matrices'!$D$22,'Risk Matrices'!$C$21,IF(ABS(AI228)&lt;='Risk Matrices'!$D$19,'Risk Matrices'!$C$18,IF(ABS(AI228)&lt;='Risk Matrices'!$D$16,'Risk Matrices'!$C$15,IF(ABS(AI228)&lt;='Risk Matrices'!$D$13,'Risk Matrices'!$C$12,'Risk Matrices'!$C$10)))))</f>
        <v>Low</v>
      </c>
      <c r="AQ228" s="112" t="str">
        <f>IF(OR(ISBLANK(AK228),AK228=0),"None",IF(ABS(AK228)&lt;='Risk Matrices'!$E$7,'Risk Matrices'!$E$5,IF(ABS(AK228)&lt;='Risk Matrices'!$G$7,'Risk Matrices'!$G$5,IF(ABS(AK228)&lt;='Risk Matrices'!$H$7,'Risk Matrices'!$H$5,'Risk Matrices'!$I$5))))</f>
        <v>Significant</v>
      </c>
      <c r="AR228" s="112" t="str">
        <f>IF(AN228="","",IF(ABS(AN228)&lt;='Risk Matrices'!$E$8,"Negligible",IF(ABS(AN228)&lt;='Risk Matrices'!$F$8,"Marginal",IF(ABS(AN228)&lt;='Risk Matrices'!$G$8,"Significant",IF(ABS(AN228)&lt;='Risk Matrices'!$H$8,"Critical","Crisis")))))</f>
        <v>Marginal</v>
      </c>
      <c r="AS228" s="103" t="s">
        <v>207</v>
      </c>
      <c r="AT228" s="298">
        <f>IF(OR(ISBLANK(AI228),AI228=0),0,VLOOKUP(AP228,'Risk Matrices'!$B$30:$C$34,2,0))</f>
        <v>2</v>
      </c>
      <c r="AU228" s="298">
        <f>IF(OR(ISBLANK(AK228),AK228=0),0,HLOOKUP(AQ228,'Risk Matrices'!$D$28:$H$29,2,0))</f>
        <v>3</v>
      </c>
      <c r="AV228" s="298">
        <f>IF(OR(ISBLANK(AR228),AR228=0),0,HLOOKUP(AR228,'Risk Matrices'!$D$28:$H$29,2,0))</f>
        <v>2</v>
      </c>
      <c r="AW228" s="298">
        <f>IF(OR(ISBLANK(AS228),AS228=0),0,HLOOKUP(AS228,'Risk Matrices'!$D$28:$H$29,2,0))</f>
        <v>1</v>
      </c>
      <c r="AX228" s="106">
        <f t="shared" si="197"/>
        <v>3</v>
      </c>
      <c r="AY228" s="106">
        <f t="shared" si="198"/>
        <v>6</v>
      </c>
      <c r="AZ228" s="968" t="str">
        <f>IF(B228="Retired","Retired",IF(OR(ISBLANK(AY228),AY228=0),"TBD",IF(AY228&lt;='Risk Matrices'!$D$40,'Risk Matrices'!$B$40,IF(AY228&lt;='Risk Matrices'!$D$39,'Risk Matrices'!$B$39,'Risk Matrices'!$B$38))))</f>
        <v>Low</v>
      </c>
      <c r="BA228" s="104"/>
      <c r="BB228" s="745" t="s">
        <v>1539</v>
      </c>
      <c r="BC228" s="109">
        <f t="shared" si="199"/>
        <v>75</v>
      </c>
      <c r="BD228" s="929">
        <v>45525</v>
      </c>
      <c r="BE228" s="104"/>
      <c r="BF228" s="104"/>
      <c r="BG228" s="104"/>
      <c r="BH228" s="104"/>
      <c r="BI228" s="104"/>
      <c r="BJ228" s="874">
        <f t="shared" si="204"/>
        <v>87.5</v>
      </c>
      <c r="BK228" s="101"/>
      <c r="BL228" s="101"/>
      <c r="BM228" s="185">
        <v>45525</v>
      </c>
      <c r="BN228" s="185">
        <v>45525</v>
      </c>
      <c r="BO228" s="1000"/>
      <c r="BP228" s="94">
        <f t="shared" si="190"/>
        <v>81.249999999999986</v>
      </c>
      <c r="BQ228" s="97" t="str">
        <f t="shared" si="200"/>
        <v>250 - 500 - 1000</v>
      </c>
      <c r="BR228" s="97" t="str">
        <f t="shared" si="201"/>
        <v>3 - 6 - 12</v>
      </c>
      <c r="BS228" s="715">
        <f t="shared" si="185"/>
        <v>87.5</v>
      </c>
      <c r="BT228" s="736">
        <f t="shared" si="202"/>
        <v>1.05</v>
      </c>
      <c r="BU228" s="735"/>
      <c r="BV228" s="1002">
        <v>45504</v>
      </c>
      <c r="BW228" s="931">
        <f t="shared" si="191"/>
        <v>-21</v>
      </c>
    </row>
    <row r="229" spans="2:75" ht="80" x14ac:dyDescent="0.2">
      <c r="B229" s="101" t="str">
        <f t="shared" si="184"/>
        <v>Active</v>
      </c>
      <c r="C229" s="790" t="s">
        <v>1540</v>
      </c>
      <c r="D229" s="157" t="s">
        <v>151</v>
      </c>
      <c r="E229" s="365" t="s">
        <v>1345</v>
      </c>
      <c r="F229" s="161" t="s">
        <v>124</v>
      </c>
      <c r="G229" s="140" t="s">
        <v>1346</v>
      </c>
      <c r="H229" s="815" t="str">
        <f t="shared" si="188"/>
        <v>RT-6-010-025-LLP-CD3B</v>
      </c>
      <c r="I229" s="943" t="s">
        <v>1347</v>
      </c>
      <c r="J229" s="143" t="s">
        <v>969</v>
      </c>
      <c r="K229" s="365" t="s">
        <v>1541</v>
      </c>
      <c r="L229" s="898" t="s">
        <v>1542</v>
      </c>
      <c r="M229" s="103" t="s">
        <v>141</v>
      </c>
      <c r="N229" s="134">
        <v>2348</v>
      </c>
      <c r="O229" s="106" t="str" cm="1">
        <f t="array" ref="O229">_xlfn.IFS(N229="","",ABS(N229)&lt;='Risk Matrices'!$E$7,'Risk Matrices'!$E$5,ABS(N229)&lt;='Risk Matrices'!$F$7,'Risk Matrices'!$F$5,ABS(N229)&lt;='Risk Matrices'!$G$7,'Risk Matrices'!$G$5,ABS(N229)&lt;='Risk Matrices'!$H$7,'Risk Matrices'!$H$5,ABS(N229)&gt;'Risk Matrices'!$H$7,'Risk Matrices'!$I$5)</f>
        <v>Significant</v>
      </c>
      <c r="P229" s="126">
        <v>12</v>
      </c>
      <c r="Q229" s="101" t="str" cm="1">
        <f t="array" ref="Q229">_xlfn.IFS(P229="","",ABS(P229)&lt;='Risk Matrices'!$E$8,'Risk Matrices'!$E$5,ABS(P229)&lt;='Risk Matrices'!$F$8,'Risk Matrices'!$F$5,ABS(P229)&lt;='Risk Matrices'!$G$8,'Risk Matrices'!$G$5,ABS(P229)&lt;='Risk Matrices'!$H$8,'Risk Matrices'!$H$5,ABS(P229)&gt;'Risk Matrices'!$H$8,'Risk Matrices'!$I$5)</f>
        <v>Significant</v>
      </c>
      <c r="R229" s="101" t="s">
        <v>406</v>
      </c>
      <c r="S229" s="106">
        <f t="shared" si="203"/>
        <v>3</v>
      </c>
      <c r="T229" s="106" cm="1">
        <f t="array" ref="T229">_xlfn.IFS(O229='Risk Matrices'!$D$28,'Risk Matrices'!$D$29,O229='Risk Matrices'!$E$28,'Risk Matrices'!$E$29,O229='Risk Matrices'!$F$28,'Risk Matrices'!$F$29,O229='Risk Matrices'!$G$28,'Risk Matrices'!$G$29,O229='Risk Matrices'!$H$28,'Risk Matrices'!$H$29)</f>
        <v>3</v>
      </c>
      <c r="U229" s="106">
        <f t="shared" si="192"/>
        <v>3</v>
      </c>
      <c r="V229" s="106">
        <f t="shared" si="189"/>
        <v>4</v>
      </c>
      <c r="W229" s="106">
        <f t="shared" si="193"/>
        <v>4</v>
      </c>
      <c r="X229" s="106">
        <f t="shared" si="194"/>
        <v>12</v>
      </c>
      <c r="Y229" s="107" t="str">
        <f t="shared" si="187"/>
        <v>Moderate</v>
      </c>
      <c r="Z229" s="104"/>
      <c r="AA229" s="108">
        <f t="shared" si="195"/>
        <v>0.32</v>
      </c>
      <c r="AB229" s="109">
        <f t="shared" si="196"/>
        <v>751.36</v>
      </c>
      <c r="AC229" s="109" t="s">
        <v>155</v>
      </c>
      <c r="AD229" s="745" t="s">
        <v>1537</v>
      </c>
      <c r="AE229" s="745"/>
      <c r="AF229" s="815" t="s">
        <v>628</v>
      </c>
      <c r="AG229" s="103"/>
      <c r="AH229" s="101" t="s">
        <v>1543</v>
      </c>
      <c r="AI229" s="978">
        <v>0.15</v>
      </c>
      <c r="AJ229" s="979">
        <v>500</v>
      </c>
      <c r="AK229" s="979">
        <v>1000</v>
      </c>
      <c r="AL229" s="979">
        <v>2000</v>
      </c>
      <c r="AM229" s="979">
        <v>3</v>
      </c>
      <c r="AN229" s="979">
        <v>6</v>
      </c>
      <c r="AO229" s="979">
        <v>12</v>
      </c>
      <c r="AP229" s="112" t="str">
        <f>IF(OR(ISBLANK(AI229),AI229=0),"INSERT LIKELIHOOD",IF(ABS(AI229)&lt;='Risk Matrices'!$D$22,'Risk Matrices'!$C$21,IF(ABS(AI229)&lt;='Risk Matrices'!$D$19,'Risk Matrices'!$C$18,IF(ABS(AI229)&lt;='Risk Matrices'!$D$16,'Risk Matrices'!$C$15,IF(ABS(AI229)&lt;='Risk Matrices'!$D$13,'Risk Matrices'!$C$12,'Risk Matrices'!$C$10)))))</f>
        <v>Low</v>
      </c>
      <c r="AQ229" s="112" t="str">
        <f>IF(OR(ISBLANK(AK229),AK229=0),"None",IF(ABS(AK229)&lt;='Risk Matrices'!$E$7,'Risk Matrices'!$E$5,IF(ABS(AK229)&lt;='Risk Matrices'!$G$7,'Risk Matrices'!$G$5,IF(ABS(AK229)&lt;='Risk Matrices'!$H$7,'Risk Matrices'!$H$5,'Risk Matrices'!$I$5))))</f>
        <v>Significant</v>
      </c>
      <c r="AR229" s="112" t="str">
        <f>IF(AN229="","",IF(ABS(AN229)&lt;='Risk Matrices'!$E$8,"Negligible",IF(ABS(AN229)&lt;='Risk Matrices'!$F$8,"Marginal",IF(ABS(AN229)&lt;='Risk Matrices'!$G$8,"Significant",IF(ABS(AN229)&lt;='Risk Matrices'!$H$8,"Critical","Crisis")))))</f>
        <v>Marginal</v>
      </c>
      <c r="AS229" s="103" t="s">
        <v>207</v>
      </c>
      <c r="AT229" s="298">
        <f>IF(OR(ISBLANK(AI229),AI229=0),0,VLOOKUP(AP229,'Risk Matrices'!$B$30:$C$34,2,0))</f>
        <v>2</v>
      </c>
      <c r="AU229" s="298">
        <f>IF(OR(ISBLANK(AK229),AK229=0),0,HLOOKUP(AQ229,'Risk Matrices'!$D$28:$H$29,2,0))</f>
        <v>3</v>
      </c>
      <c r="AV229" s="298">
        <f>IF(OR(ISBLANK(AR229),AR229=0),0,HLOOKUP(AR229,'Risk Matrices'!$D$28:$H$29,2,0))</f>
        <v>2</v>
      </c>
      <c r="AW229" s="298">
        <f>IF(OR(ISBLANK(AS229),AS229=0),0,HLOOKUP(AS229,'Risk Matrices'!$D$28:$H$29,2,0))</f>
        <v>1</v>
      </c>
      <c r="AX229" s="106">
        <f t="shared" si="197"/>
        <v>3</v>
      </c>
      <c r="AY229" s="106">
        <f t="shared" si="198"/>
        <v>6</v>
      </c>
      <c r="AZ229" s="968" t="str">
        <f>IF(B229="Retired","Retired",IF(OR(ISBLANK(AY229),AY229=0),"TBD",IF(AY229&lt;='Risk Matrices'!$D$40,'Risk Matrices'!$B$40,IF(AY229&lt;='Risk Matrices'!$D$39,'Risk Matrices'!$B$39,'Risk Matrices'!$B$38))))</f>
        <v>Low</v>
      </c>
      <c r="BA229" s="104"/>
      <c r="BB229" s="745" t="s">
        <v>1544</v>
      </c>
      <c r="BC229" s="109">
        <f t="shared" si="199"/>
        <v>150</v>
      </c>
      <c r="BD229" s="929">
        <v>45525</v>
      </c>
      <c r="BE229" s="104"/>
      <c r="BF229" s="104"/>
      <c r="BG229" s="104"/>
      <c r="BH229" s="104"/>
      <c r="BI229" s="104"/>
      <c r="BJ229" s="874">
        <f t="shared" si="204"/>
        <v>175</v>
      </c>
      <c r="BK229" s="101"/>
      <c r="BL229" s="101"/>
      <c r="BM229" s="185">
        <v>45525</v>
      </c>
      <c r="BN229" s="185">
        <v>45525</v>
      </c>
      <c r="BO229" s="1000"/>
      <c r="BP229" s="94">
        <f t="shared" si="190"/>
        <v>162.49999999999997</v>
      </c>
      <c r="BQ229" s="97" t="str">
        <f t="shared" si="200"/>
        <v>500 - 1000 - 2000</v>
      </c>
      <c r="BR229" s="97" t="str">
        <f t="shared" si="201"/>
        <v>3 - 6 - 12</v>
      </c>
      <c r="BS229" s="715">
        <f t="shared" si="185"/>
        <v>175</v>
      </c>
      <c r="BT229" s="736">
        <f t="shared" si="202"/>
        <v>1.05</v>
      </c>
      <c r="BU229" s="735"/>
      <c r="BV229" s="1002">
        <v>45504</v>
      </c>
      <c r="BW229" s="931">
        <f t="shared" si="191"/>
        <v>-21</v>
      </c>
    </row>
    <row r="230" spans="2:75" ht="80" x14ac:dyDescent="0.2">
      <c r="B230" s="101" t="str">
        <f t="shared" si="184"/>
        <v>Active</v>
      </c>
      <c r="C230" s="790" t="s">
        <v>1545</v>
      </c>
      <c r="D230" s="157" t="s">
        <v>151</v>
      </c>
      <c r="E230" s="365" t="s">
        <v>1345</v>
      </c>
      <c r="F230" s="161" t="s">
        <v>124</v>
      </c>
      <c r="G230" s="140" t="s">
        <v>1346</v>
      </c>
      <c r="H230" s="815" t="str">
        <f t="shared" si="188"/>
        <v>RT-6-010-026-LLP-CD3B</v>
      </c>
      <c r="I230" s="943" t="s">
        <v>1347</v>
      </c>
      <c r="J230" s="143" t="s">
        <v>969</v>
      </c>
      <c r="K230" s="365" t="s">
        <v>1546</v>
      </c>
      <c r="L230" s="898" t="s">
        <v>1547</v>
      </c>
      <c r="M230" s="103" t="s">
        <v>141</v>
      </c>
      <c r="N230" s="134">
        <v>1000</v>
      </c>
      <c r="O230" s="106" t="str" cm="1">
        <f t="array" ref="O230">_xlfn.IFS(N230="","",ABS(N230)&lt;='Risk Matrices'!$E$7,'Risk Matrices'!$E$5,ABS(N230)&lt;='Risk Matrices'!$F$7,'Risk Matrices'!$F$5,ABS(N230)&lt;='Risk Matrices'!$G$7,'Risk Matrices'!$G$5,ABS(N230)&lt;='Risk Matrices'!$H$7,'Risk Matrices'!$H$5,ABS(N230)&gt;'Risk Matrices'!$H$7,'Risk Matrices'!$I$5)</f>
        <v>Marginal</v>
      </c>
      <c r="P230" s="126">
        <v>12</v>
      </c>
      <c r="Q230" s="101" t="str" cm="1">
        <f t="array" ref="Q230">_xlfn.IFS(P230="","",ABS(P230)&lt;='Risk Matrices'!$E$8,'Risk Matrices'!$E$5,ABS(P230)&lt;='Risk Matrices'!$F$8,'Risk Matrices'!$F$5,ABS(P230)&lt;='Risk Matrices'!$G$8,'Risk Matrices'!$G$5,ABS(P230)&lt;='Risk Matrices'!$H$8,'Risk Matrices'!$H$5,ABS(P230)&gt;'Risk Matrices'!$H$8,'Risk Matrices'!$I$5)</f>
        <v>Significant</v>
      </c>
      <c r="R230" s="101" t="s">
        <v>406</v>
      </c>
      <c r="S230" s="106">
        <f t="shared" si="203"/>
        <v>3</v>
      </c>
      <c r="T230" s="106" cm="1">
        <f t="array" ref="T230">_xlfn.IFS(O230='Risk Matrices'!$D$28,'Risk Matrices'!$D$29,O230='Risk Matrices'!$E$28,'Risk Matrices'!$E$29,O230='Risk Matrices'!$F$28,'Risk Matrices'!$F$29,O230='Risk Matrices'!$G$28,'Risk Matrices'!$G$29,O230='Risk Matrices'!$H$28,'Risk Matrices'!$H$29)</f>
        <v>2</v>
      </c>
      <c r="U230" s="106">
        <f t="shared" si="192"/>
        <v>3</v>
      </c>
      <c r="V230" s="106">
        <f t="shared" si="189"/>
        <v>4</v>
      </c>
      <c r="W230" s="106">
        <f t="shared" si="193"/>
        <v>4</v>
      </c>
      <c r="X230" s="106">
        <f t="shared" si="194"/>
        <v>12</v>
      </c>
      <c r="Y230" s="107" t="str">
        <f t="shared" si="187"/>
        <v>Moderate</v>
      </c>
      <c r="Z230" s="104"/>
      <c r="AA230" s="108">
        <f t="shared" si="195"/>
        <v>0.32</v>
      </c>
      <c r="AB230" s="109">
        <f t="shared" si="196"/>
        <v>320</v>
      </c>
      <c r="AC230" s="109" t="s">
        <v>155</v>
      </c>
      <c r="AD230" s="745" t="s">
        <v>1537</v>
      </c>
      <c r="AE230" s="745"/>
      <c r="AF230" s="815" t="s">
        <v>200</v>
      </c>
      <c r="AG230" s="103"/>
      <c r="AH230" s="101" t="s">
        <v>1548</v>
      </c>
      <c r="AI230" s="978">
        <v>0.15</v>
      </c>
      <c r="AJ230" s="979">
        <v>250</v>
      </c>
      <c r="AK230" s="979">
        <v>500</v>
      </c>
      <c r="AL230" s="979">
        <v>1000</v>
      </c>
      <c r="AM230" s="979">
        <v>3</v>
      </c>
      <c r="AN230" s="979">
        <v>6</v>
      </c>
      <c r="AO230" s="979">
        <v>12</v>
      </c>
      <c r="AP230" s="112" t="str">
        <f>IF(OR(ISBLANK(AI230),AI230=0),"INSERT LIKELIHOOD",IF(ABS(AI230)&lt;='Risk Matrices'!$D$22,'Risk Matrices'!$C$21,IF(ABS(AI230)&lt;='Risk Matrices'!$D$19,'Risk Matrices'!$C$18,IF(ABS(AI230)&lt;='Risk Matrices'!$D$16,'Risk Matrices'!$C$15,IF(ABS(AI230)&lt;='Risk Matrices'!$D$13,'Risk Matrices'!$C$12,'Risk Matrices'!$C$10)))))</f>
        <v>Low</v>
      </c>
      <c r="AQ230" s="112" t="str">
        <f>IF(OR(ISBLANK(AK230),AK230=0),"None",IF(ABS(AK230)&lt;='Risk Matrices'!$E$7,'Risk Matrices'!$E$5,IF(ABS(AK230)&lt;='Risk Matrices'!$G$7,'Risk Matrices'!$G$5,IF(ABS(AK230)&lt;='Risk Matrices'!$H$7,'Risk Matrices'!$H$5,'Risk Matrices'!$I$5))))</f>
        <v>Significant</v>
      </c>
      <c r="AR230" s="112" t="str">
        <f>IF(AN230="","",IF(ABS(AN230)&lt;='Risk Matrices'!$E$8,"Negligible",IF(ABS(AN230)&lt;='Risk Matrices'!$F$8,"Marginal",IF(ABS(AN230)&lt;='Risk Matrices'!$G$8,"Significant",IF(ABS(AN230)&lt;='Risk Matrices'!$H$8,"Critical","Crisis")))))</f>
        <v>Marginal</v>
      </c>
      <c r="AS230" s="103" t="s">
        <v>207</v>
      </c>
      <c r="AT230" s="298">
        <f>IF(OR(ISBLANK(AI230),AI230=0),0,VLOOKUP(AP230,'Risk Matrices'!$B$30:$C$34,2,0))</f>
        <v>2</v>
      </c>
      <c r="AU230" s="298">
        <f>IF(OR(ISBLANK(AK230),AK230=0),0,HLOOKUP(AQ230,'Risk Matrices'!$D$28:$H$29,2,0))</f>
        <v>3</v>
      </c>
      <c r="AV230" s="298">
        <f>IF(OR(ISBLANK(AR230),AR230=0),0,HLOOKUP(AR230,'Risk Matrices'!$D$28:$H$29,2,0))</f>
        <v>2</v>
      </c>
      <c r="AW230" s="298">
        <f>IF(OR(ISBLANK(AS230),AS230=0),0,HLOOKUP(AS230,'Risk Matrices'!$D$28:$H$29,2,0))</f>
        <v>1</v>
      </c>
      <c r="AX230" s="106">
        <f t="shared" si="197"/>
        <v>3</v>
      </c>
      <c r="AY230" s="106">
        <f t="shared" si="198"/>
        <v>6</v>
      </c>
      <c r="AZ230" s="968" t="str">
        <f>IF(B230="Retired","Retired",IF(OR(ISBLANK(AY230),AY230=0),"TBD",IF(AY230&lt;='Risk Matrices'!$D$40,'Risk Matrices'!$B$40,IF(AY230&lt;='Risk Matrices'!$D$39,'Risk Matrices'!$B$39,'Risk Matrices'!$B$38))))</f>
        <v>Low</v>
      </c>
      <c r="BA230" s="104"/>
      <c r="BB230" s="745" t="s">
        <v>1539</v>
      </c>
      <c r="BC230" s="109">
        <f t="shared" si="199"/>
        <v>75</v>
      </c>
      <c r="BD230" s="929">
        <v>45525</v>
      </c>
      <c r="BE230" s="104"/>
      <c r="BF230" s="104"/>
      <c r="BG230" s="104"/>
      <c r="BH230" s="104"/>
      <c r="BI230" s="104"/>
      <c r="BJ230" s="874">
        <f t="shared" si="204"/>
        <v>87.5</v>
      </c>
      <c r="BK230" s="101"/>
      <c r="BL230" s="101"/>
      <c r="BM230" s="185">
        <v>45525</v>
      </c>
      <c r="BN230" s="185">
        <v>45525</v>
      </c>
      <c r="BO230" s="1000"/>
      <c r="BP230" s="94">
        <f t="shared" si="190"/>
        <v>81.249999999999986</v>
      </c>
      <c r="BQ230" s="97" t="str">
        <f t="shared" si="200"/>
        <v>250 - 500 - 1000</v>
      </c>
      <c r="BR230" s="97" t="str">
        <f t="shared" si="201"/>
        <v>3 - 6 - 12</v>
      </c>
      <c r="BS230" s="715">
        <f t="shared" si="185"/>
        <v>87.5</v>
      </c>
      <c r="BT230" s="736">
        <f t="shared" si="202"/>
        <v>1.05</v>
      </c>
      <c r="BU230" s="735"/>
      <c r="BV230" s="1002">
        <v>45504</v>
      </c>
      <c r="BW230" s="931">
        <f t="shared" si="191"/>
        <v>-21</v>
      </c>
    </row>
    <row r="231" spans="2:75" ht="96" x14ac:dyDescent="0.2">
      <c r="B231" s="101" t="str">
        <f t="shared" si="184"/>
        <v>Active</v>
      </c>
      <c r="C231" s="790" t="s">
        <v>1549</v>
      </c>
      <c r="D231" s="157" t="s">
        <v>151</v>
      </c>
      <c r="E231" s="157" t="s">
        <v>1345</v>
      </c>
      <c r="F231" s="161" t="s">
        <v>124</v>
      </c>
      <c r="G231" s="140" t="s">
        <v>1346</v>
      </c>
      <c r="H231" s="103" t="str">
        <f t="shared" si="188"/>
        <v>RT-6-010-027</v>
      </c>
      <c r="I231" s="140" t="s">
        <v>1347</v>
      </c>
      <c r="J231" s="143" t="s">
        <v>969</v>
      </c>
      <c r="K231" s="157" t="s">
        <v>1550</v>
      </c>
      <c r="L231" s="951" t="s">
        <v>1551</v>
      </c>
      <c r="M231" s="103" t="s">
        <v>141</v>
      </c>
      <c r="N231" s="105">
        <v>20000</v>
      </c>
      <c r="O231" s="106" t="str" cm="1">
        <f t="array" ref="O231">_xlfn.IFS(N231="","",ABS(N231)&lt;='Risk Matrices'!$E$7,'Risk Matrices'!$E$5,ABS(N231)&lt;='Risk Matrices'!$F$7,'Risk Matrices'!$F$5,ABS(N231)&lt;='Risk Matrices'!$G$7,'Risk Matrices'!$G$5,ABS(N231)&lt;='Risk Matrices'!$H$7,'Risk Matrices'!$H$5,ABS(N231)&gt;'Risk Matrices'!$H$7,'Risk Matrices'!$I$5)</f>
        <v>Critical</v>
      </c>
      <c r="P231" s="101">
        <v>12</v>
      </c>
      <c r="Q231" s="101" t="str" cm="1">
        <f t="array" ref="Q231">_xlfn.IFS(P231="","",ABS(P231)&lt;='Risk Matrices'!$E$8,'Risk Matrices'!$E$5,ABS(P231)&lt;='Risk Matrices'!$F$8,'Risk Matrices'!$F$5,ABS(P231)&lt;='Risk Matrices'!$G$8,'Risk Matrices'!$G$5,ABS(P231)&lt;='Risk Matrices'!$H$8,'Risk Matrices'!$H$5,ABS(P231)&gt;'Risk Matrices'!$H$8,'Risk Matrices'!$I$5)</f>
        <v>Significant</v>
      </c>
      <c r="R231" s="101" t="s">
        <v>600</v>
      </c>
      <c r="S231" s="106">
        <f t="shared" si="203"/>
        <v>3</v>
      </c>
      <c r="T231" s="106" cm="1">
        <f t="array" ref="T231">_xlfn.IFS(O231='Risk Matrices'!$D$28,'Risk Matrices'!$D$29,O231='Risk Matrices'!$E$28,'Risk Matrices'!$E$29,O231='Risk Matrices'!$F$28,'Risk Matrices'!$F$29,O231='Risk Matrices'!$G$28,'Risk Matrices'!$G$29,O231='Risk Matrices'!$H$28,'Risk Matrices'!$H$29)</f>
        <v>4</v>
      </c>
      <c r="U231" s="106">
        <f t="shared" si="192"/>
        <v>3</v>
      </c>
      <c r="V231" s="106">
        <f t="shared" si="189"/>
        <v>5</v>
      </c>
      <c r="W231" s="106">
        <f t="shared" si="193"/>
        <v>5</v>
      </c>
      <c r="X231" s="106">
        <f t="shared" si="194"/>
        <v>15</v>
      </c>
      <c r="Y231" s="107" t="str">
        <f t="shared" si="187"/>
        <v>High</v>
      </c>
      <c r="Z231" s="104"/>
      <c r="AA231" s="108">
        <f t="shared" si="195"/>
        <v>0.32</v>
      </c>
      <c r="AB231" s="109">
        <f t="shared" si="196"/>
        <v>6400</v>
      </c>
      <c r="AC231" s="109" t="s">
        <v>155</v>
      </c>
      <c r="AD231" s="745" t="s">
        <v>1552</v>
      </c>
      <c r="AE231" s="745"/>
      <c r="AF231" s="103"/>
      <c r="AG231" s="103"/>
      <c r="AH231" s="750" t="s">
        <v>1553</v>
      </c>
      <c r="AI231" s="799">
        <v>0.1</v>
      </c>
      <c r="AJ231" s="357">
        <v>5000</v>
      </c>
      <c r="AK231" s="357">
        <v>10000</v>
      </c>
      <c r="AL231" s="357">
        <v>15000</v>
      </c>
      <c r="AM231" s="357">
        <v>6</v>
      </c>
      <c r="AN231" s="357">
        <v>12</v>
      </c>
      <c r="AO231" s="357">
        <v>24</v>
      </c>
      <c r="AP231" s="112" t="str">
        <f>IF(OR(ISBLANK(AI231),AI231=0),"INSERT LIKELIHOOD",IF(ABS(AI231)&lt;='Risk Matrices'!$D$22,'Risk Matrices'!$C$21,IF(ABS(AI231)&lt;='Risk Matrices'!$D$19,'Risk Matrices'!$C$18,IF(ABS(AI231)&lt;='Risk Matrices'!$D$16,'Risk Matrices'!$C$15,IF(ABS(AI231)&lt;='Risk Matrices'!$D$13,'Risk Matrices'!$C$12,'Risk Matrices'!$C$10)))))</f>
        <v>Very Low</v>
      </c>
      <c r="AQ231" s="112" t="str">
        <f>IF(OR(ISBLANK(AK231),AK231=0),"None",IF(ABS(AK231)&lt;='Risk Matrices'!$E$7,'Risk Matrices'!$E$5,IF(ABS(AK231)&lt;='Risk Matrices'!$G$7,'Risk Matrices'!$G$5,IF(ABS(AK231)&lt;='Risk Matrices'!$H$7,'Risk Matrices'!$H$5,'Risk Matrices'!$I$5))))</f>
        <v>Critical</v>
      </c>
      <c r="AR231" s="112" t="str">
        <f>IF(AN231="","",IF(ABS(AN231)&lt;='Risk Matrices'!$E$8,"Negligible",IF(ABS(AN231)&lt;='Risk Matrices'!$F$8,"Marginal",IF(ABS(AN231)&lt;='Risk Matrices'!$G$8,"Significant",IF(ABS(AN231)&lt;='Risk Matrices'!$H$8,"Critical","Crisis")))))</f>
        <v>Significant</v>
      </c>
      <c r="AS231" s="103" t="s">
        <v>207</v>
      </c>
      <c r="AT231" s="298">
        <f>IF(OR(ISBLANK(AI231),AI231=0),0,VLOOKUP(AP231,'Risk Matrices'!$B$30:$C$34,2,0))</f>
        <v>1</v>
      </c>
      <c r="AU231" s="298">
        <f>IF(OR(ISBLANK(AK231),AK231=0),0,HLOOKUP(AQ231,'Risk Matrices'!$D$28:$H$29,2,0))</f>
        <v>4</v>
      </c>
      <c r="AV231" s="298">
        <f>IF(OR(ISBLANK(AR231),AR231=0),0,HLOOKUP(AR231,'Risk Matrices'!$D$28:$H$29,2,0))</f>
        <v>3</v>
      </c>
      <c r="AW231" s="298">
        <f>IF(OR(ISBLANK(AS231),AS231=0),0,HLOOKUP(AS231,'Risk Matrices'!$D$28:$H$29,2,0))</f>
        <v>1</v>
      </c>
      <c r="AX231" s="106">
        <f t="shared" si="197"/>
        <v>4</v>
      </c>
      <c r="AY231" s="106">
        <f t="shared" si="198"/>
        <v>4</v>
      </c>
      <c r="AZ231" s="107" t="str">
        <f>IF(B231="Retired","Retired",IF(OR(ISBLANK(AY231),AY231=0),"TBD",IF(AY231&lt;='Risk Matrices'!$D$40,'Risk Matrices'!$B$40,IF(AY231&lt;='Risk Matrices'!$D$39,'Risk Matrices'!$B$39,'Risk Matrices'!$B$38))))</f>
        <v>Low</v>
      </c>
      <c r="BA231" s="104"/>
      <c r="BB231" s="745" t="s">
        <v>1554</v>
      </c>
      <c r="BC231" s="109">
        <f t="shared" si="199"/>
        <v>1000</v>
      </c>
      <c r="BD231" s="929">
        <v>45506</v>
      </c>
      <c r="BE231" s="104"/>
      <c r="BF231" s="104"/>
      <c r="BG231" s="104"/>
      <c r="BH231" s="104"/>
      <c r="BI231" s="104"/>
      <c r="BJ231" s="874">
        <f t="shared" si="204"/>
        <v>1000</v>
      </c>
      <c r="BK231" s="101"/>
      <c r="BL231" s="101"/>
      <c r="BM231" s="185">
        <v>45506</v>
      </c>
      <c r="BN231" s="185">
        <v>45506</v>
      </c>
      <c r="BO231" s="1000"/>
      <c r="BP231" s="94">
        <f t="shared" si="190"/>
        <v>1000</v>
      </c>
      <c r="BQ231" s="97" t="str">
        <f t="shared" si="200"/>
        <v>5000 - 10000 - 15000</v>
      </c>
      <c r="BR231" s="97" t="str">
        <f t="shared" si="201"/>
        <v>6 - 12 - 24</v>
      </c>
      <c r="BS231" s="715">
        <f t="shared" si="185"/>
        <v>1000</v>
      </c>
      <c r="BT231" s="736">
        <f t="shared" si="202"/>
        <v>1.4000000000000001</v>
      </c>
      <c r="BU231" s="735"/>
      <c r="BV231" s="1002">
        <v>45504</v>
      </c>
      <c r="BW231" s="931">
        <f t="shared" si="191"/>
        <v>-2</v>
      </c>
    </row>
    <row r="232" spans="2:75" ht="224" x14ac:dyDescent="0.2">
      <c r="B232" s="101" t="str">
        <f t="shared" si="184"/>
        <v>Active</v>
      </c>
      <c r="C232" s="790" t="s">
        <v>1555</v>
      </c>
      <c r="D232" s="157" t="s">
        <v>151</v>
      </c>
      <c r="E232" s="157" t="s">
        <v>1345</v>
      </c>
      <c r="F232" s="161" t="s">
        <v>124</v>
      </c>
      <c r="G232" s="140" t="s">
        <v>1346</v>
      </c>
      <c r="H232" s="103" t="str">
        <f t="shared" si="188"/>
        <v>RT-6-010-028</v>
      </c>
      <c r="I232" s="140" t="s">
        <v>1347</v>
      </c>
      <c r="J232" s="143" t="s">
        <v>969</v>
      </c>
      <c r="K232" s="157" t="s">
        <v>1556</v>
      </c>
      <c r="L232" s="951" t="s">
        <v>1557</v>
      </c>
      <c r="M232" s="104" t="s">
        <v>197</v>
      </c>
      <c r="N232" s="105">
        <v>15000</v>
      </c>
      <c r="O232" s="106" t="str" cm="1">
        <f t="array" ref="O232">_xlfn.IFS(N232="","",ABS(N232)&lt;='Risk Matrices'!$E$7,'Risk Matrices'!$E$5,ABS(N232)&lt;='Risk Matrices'!$F$7,'Risk Matrices'!$F$5,ABS(N232)&lt;='Risk Matrices'!$G$7,'Risk Matrices'!$G$5,ABS(N232)&lt;='Risk Matrices'!$H$7,'Risk Matrices'!$H$5,ABS(N232)&gt;'Risk Matrices'!$H$7,'Risk Matrices'!$I$5)</f>
        <v>Critical</v>
      </c>
      <c r="P232" s="101">
        <v>36</v>
      </c>
      <c r="Q232" s="101" t="str" cm="1">
        <f t="array" ref="Q232">_xlfn.IFS(P232="","",ABS(P232)&lt;='Risk Matrices'!$E$8,'Risk Matrices'!$E$5,ABS(P232)&lt;='Risk Matrices'!$F$8,'Risk Matrices'!$F$5,ABS(P232)&lt;='Risk Matrices'!$G$8,'Risk Matrices'!$G$5,ABS(P232)&lt;='Risk Matrices'!$H$8,'Risk Matrices'!$H$5,ABS(P232)&gt;'Risk Matrices'!$H$8,'Risk Matrices'!$I$5)</f>
        <v>Crisis</v>
      </c>
      <c r="R232" s="101" t="s">
        <v>406</v>
      </c>
      <c r="S232" s="106">
        <f t="shared" si="203"/>
        <v>5</v>
      </c>
      <c r="T232" s="106" cm="1">
        <f t="array" ref="T232">_xlfn.IFS(O232='Risk Matrices'!$D$28,'Risk Matrices'!$D$29,O232='Risk Matrices'!$E$28,'Risk Matrices'!$E$29,O232='Risk Matrices'!$F$28,'Risk Matrices'!$F$29,O232='Risk Matrices'!$G$28,'Risk Matrices'!$G$29,O232='Risk Matrices'!$H$28,'Risk Matrices'!$H$29)</f>
        <v>4</v>
      </c>
      <c r="U232" s="106">
        <f t="shared" si="192"/>
        <v>5</v>
      </c>
      <c r="V232" s="106">
        <f t="shared" si="189"/>
        <v>4</v>
      </c>
      <c r="W232" s="106">
        <f t="shared" si="193"/>
        <v>5</v>
      </c>
      <c r="X232" s="106">
        <f t="shared" si="194"/>
        <v>25</v>
      </c>
      <c r="Y232" s="107" t="str">
        <f t="shared" si="187"/>
        <v>High</v>
      </c>
      <c r="Z232" s="104"/>
      <c r="AA232" s="108">
        <f t="shared" si="195"/>
        <v>0.82</v>
      </c>
      <c r="AB232" s="109">
        <f t="shared" si="196"/>
        <v>12300</v>
      </c>
      <c r="AC232" s="109" t="s">
        <v>155</v>
      </c>
      <c r="AD232" s="745" t="s">
        <v>1558</v>
      </c>
      <c r="AE232" s="745"/>
      <c r="AF232" s="103" t="s">
        <v>1559</v>
      </c>
      <c r="AG232" s="103"/>
      <c r="AH232" s="750" t="s">
        <v>1560</v>
      </c>
      <c r="AI232" s="955">
        <v>0.15</v>
      </c>
      <c r="AJ232" s="357">
        <v>2000</v>
      </c>
      <c r="AK232" s="357">
        <v>4000</v>
      </c>
      <c r="AL232" s="357">
        <v>10000</v>
      </c>
      <c r="AM232" s="357">
        <v>6</v>
      </c>
      <c r="AN232" s="357">
        <v>9</v>
      </c>
      <c r="AO232" s="357">
        <v>12</v>
      </c>
      <c r="AP232" s="112" t="str">
        <f>IF(OR(ISBLANK(AI232),AI232=0),"INSERT LIKELIHOOD",IF(ABS(AI232)&lt;='Risk Matrices'!$D$22,'Risk Matrices'!$C$21,IF(ABS(AI232)&lt;='Risk Matrices'!$D$19,'Risk Matrices'!$C$18,IF(ABS(AI232)&lt;='Risk Matrices'!$D$16,'Risk Matrices'!$C$15,IF(ABS(AI232)&lt;='Risk Matrices'!$D$13,'Risk Matrices'!$C$12,'Risk Matrices'!$C$10)))))</f>
        <v>Low</v>
      </c>
      <c r="AQ232" s="112" t="str">
        <f>IF(OR(ISBLANK(AK232),AK232=0),"None",IF(ABS(AK232)&lt;='Risk Matrices'!$E$7,'Risk Matrices'!$E$5,IF(ABS(AK232)&lt;='Risk Matrices'!$G$7,'Risk Matrices'!$G$5,IF(ABS(AK232)&lt;='Risk Matrices'!$H$7,'Risk Matrices'!$H$5,'Risk Matrices'!$I$5))))</f>
        <v>Significant</v>
      </c>
      <c r="AR232" s="112" t="str">
        <f>IF(AN232="","",IF(ABS(AN232)&lt;='Risk Matrices'!$E$8,"Negligible",IF(ABS(AN232)&lt;='Risk Matrices'!$F$8,"Marginal",IF(ABS(AN232)&lt;='Risk Matrices'!$G$8,"Significant",IF(ABS(AN232)&lt;='Risk Matrices'!$H$8,"Critical","Crisis")))))</f>
        <v>Significant</v>
      </c>
      <c r="AS232" s="103" t="s">
        <v>207</v>
      </c>
      <c r="AT232" s="298">
        <f>IF(OR(ISBLANK(AI232),AI232=0),0,VLOOKUP(AP232,'Risk Matrices'!$B$30:$C$34,2,0))</f>
        <v>2</v>
      </c>
      <c r="AU232" s="298">
        <f>IF(OR(ISBLANK(AK232),AK232=0),0,HLOOKUP(AQ232,'Risk Matrices'!$D$28:$H$29,2,0))</f>
        <v>3</v>
      </c>
      <c r="AV232" s="298">
        <f>IF(OR(ISBLANK(AR232),AR232=0),0,HLOOKUP(AR232,'Risk Matrices'!$D$28:$H$29,2,0))</f>
        <v>3</v>
      </c>
      <c r="AW232" s="298">
        <f>IF(OR(ISBLANK(AS232),AS232=0),0,HLOOKUP(AS232,'Risk Matrices'!$D$28:$H$29,2,0))</f>
        <v>1</v>
      </c>
      <c r="AX232" s="106">
        <f t="shared" si="197"/>
        <v>3</v>
      </c>
      <c r="AY232" s="106">
        <f t="shared" si="198"/>
        <v>6</v>
      </c>
      <c r="AZ232" s="107" t="str">
        <f>IF(B232="Retired","Retired",IF(OR(ISBLANK(AY232),AY232=0),"TBD",IF(AY232&lt;='Risk Matrices'!$D$40,'Risk Matrices'!$B$40,IF(AY232&lt;='Risk Matrices'!$D$39,'Risk Matrices'!$B$39,'Risk Matrices'!$B$38))))</f>
        <v>Low</v>
      </c>
      <c r="BA232" s="104"/>
      <c r="BB232" s="745" t="s">
        <v>1561</v>
      </c>
      <c r="BC232" s="109">
        <f t="shared" si="199"/>
        <v>600</v>
      </c>
      <c r="BD232" s="929"/>
      <c r="BE232" s="104"/>
      <c r="BF232" s="104"/>
      <c r="BG232" s="104"/>
      <c r="BH232" s="104"/>
      <c r="BI232" s="104"/>
      <c r="BJ232" s="874">
        <f t="shared" si="204"/>
        <v>799.99999999999989</v>
      </c>
      <c r="BK232" s="101"/>
      <c r="BL232" s="101"/>
      <c r="BM232" s="185">
        <v>45558</v>
      </c>
      <c r="BN232" s="185">
        <v>45558</v>
      </c>
      <c r="BO232" s="1000"/>
      <c r="BP232" s="94">
        <f t="shared" si="190"/>
        <v>700</v>
      </c>
      <c r="BQ232" s="97" t="str">
        <f t="shared" si="200"/>
        <v>2000 - 4000 - 10000</v>
      </c>
      <c r="BR232" s="97" t="str">
        <f t="shared" si="201"/>
        <v>6 - 9 - 12</v>
      </c>
      <c r="BS232" s="715">
        <f t="shared" si="185"/>
        <v>799.99999999999989</v>
      </c>
      <c r="BT232" s="736">
        <f t="shared" si="202"/>
        <v>1.3499999999999999</v>
      </c>
      <c r="BU232" s="735"/>
      <c r="BV232" s="1002"/>
    </row>
    <row r="233" spans="2:75" ht="96" x14ac:dyDescent="0.2">
      <c r="B233" s="101" t="str">
        <f t="shared" ref="B233:B264" si="205">IF(BN233="","Proposed",IF(BG233="","Active","Retired"))</f>
        <v>Active</v>
      </c>
      <c r="C233" s="790" t="s">
        <v>1562</v>
      </c>
      <c r="D233" s="157" t="s">
        <v>151</v>
      </c>
      <c r="E233" s="157" t="s">
        <v>1345</v>
      </c>
      <c r="F233" s="161" t="s">
        <v>124</v>
      </c>
      <c r="G233" s="140" t="s">
        <v>1346</v>
      </c>
      <c r="H233" s="103" t="str">
        <f t="shared" si="188"/>
        <v>RT-6-010-029</v>
      </c>
      <c r="I233" s="140" t="s">
        <v>1347</v>
      </c>
      <c r="J233" s="143" t="s">
        <v>969</v>
      </c>
      <c r="K233" s="157" t="s">
        <v>1563</v>
      </c>
      <c r="L233" s="951" t="s">
        <v>1564</v>
      </c>
      <c r="M233" s="103" t="s">
        <v>141</v>
      </c>
      <c r="N233" s="105">
        <v>5000</v>
      </c>
      <c r="O233" s="106" t="str" cm="1">
        <f t="array" ref="O233">_xlfn.IFS(N233="","",ABS(N233)&lt;='Risk Matrices'!$E$7,'Risk Matrices'!$E$5,ABS(N233)&lt;='Risk Matrices'!$F$7,'Risk Matrices'!$F$5,ABS(N233)&lt;='Risk Matrices'!$G$7,'Risk Matrices'!$G$5,ABS(N233)&lt;='Risk Matrices'!$H$7,'Risk Matrices'!$H$5,ABS(N233)&gt;'Risk Matrices'!$H$7,'Risk Matrices'!$I$5)</f>
        <v>Significant</v>
      </c>
      <c r="P233" s="101">
        <v>18</v>
      </c>
      <c r="Q233" s="101" t="str" cm="1">
        <f t="array" ref="Q233">_xlfn.IFS(P233="","",ABS(P233)&lt;='Risk Matrices'!$E$8,'Risk Matrices'!$E$5,ABS(P233)&lt;='Risk Matrices'!$F$8,'Risk Matrices'!$F$5,ABS(P233)&lt;='Risk Matrices'!$G$8,'Risk Matrices'!$G$5,ABS(P233)&lt;='Risk Matrices'!$H$8,'Risk Matrices'!$H$5,ABS(P233)&gt;'Risk Matrices'!$H$8,'Risk Matrices'!$I$5)</f>
        <v>Critical</v>
      </c>
      <c r="R233" s="101" t="s">
        <v>406</v>
      </c>
      <c r="S233" s="106">
        <f t="shared" si="203"/>
        <v>3</v>
      </c>
      <c r="T233" s="106" cm="1">
        <f t="array" ref="T233">_xlfn.IFS(O233='Risk Matrices'!$D$28,'Risk Matrices'!$D$29,O233='Risk Matrices'!$E$28,'Risk Matrices'!$E$29,O233='Risk Matrices'!$F$28,'Risk Matrices'!$F$29,O233='Risk Matrices'!$G$28,'Risk Matrices'!$G$29,O233='Risk Matrices'!$H$28,'Risk Matrices'!$H$29)</f>
        <v>3</v>
      </c>
      <c r="U233" s="106">
        <f t="shared" si="192"/>
        <v>4</v>
      </c>
      <c r="V233" s="106">
        <f t="shared" si="189"/>
        <v>4</v>
      </c>
      <c r="W233" s="106">
        <f t="shared" si="193"/>
        <v>4</v>
      </c>
      <c r="X233" s="106">
        <f t="shared" si="194"/>
        <v>12</v>
      </c>
      <c r="Y233" s="107" t="str">
        <f t="shared" si="187"/>
        <v>Moderate</v>
      </c>
      <c r="Z233" s="104"/>
      <c r="AA233" s="108">
        <f t="shared" si="195"/>
        <v>0.32</v>
      </c>
      <c r="AB233" s="109">
        <f t="shared" si="196"/>
        <v>1600</v>
      </c>
      <c r="AC233" s="109" t="s">
        <v>155</v>
      </c>
      <c r="AD233" s="745" t="s">
        <v>1565</v>
      </c>
      <c r="AE233" s="745"/>
      <c r="AF233" s="103" t="s">
        <v>1559</v>
      </c>
      <c r="AG233" s="103"/>
      <c r="AH233" s="750" t="s">
        <v>1560</v>
      </c>
      <c r="AI233" s="955">
        <v>0.15</v>
      </c>
      <c r="AJ233" s="357">
        <v>1000</v>
      </c>
      <c r="AK233" s="357">
        <v>2000</v>
      </c>
      <c r="AL233" s="357">
        <v>3000</v>
      </c>
      <c r="AM233" s="357">
        <v>4</v>
      </c>
      <c r="AN233" s="357">
        <v>8</v>
      </c>
      <c r="AO233" s="357">
        <v>12</v>
      </c>
      <c r="AP233" s="112" t="str">
        <f>IF(OR(ISBLANK(AI233),AI233=0),"INSERT LIKELIHOOD",IF(ABS(AI233)&lt;='Risk Matrices'!$D$22,'Risk Matrices'!$C$21,IF(ABS(AI233)&lt;='Risk Matrices'!$D$19,'Risk Matrices'!$C$18,IF(ABS(AI233)&lt;='Risk Matrices'!$D$16,'Risk Matrices'!$C$15,IF(ABS(AI233)&lt;='Risk Matrices'!$D$13,'Risk Matrices'!$C$12,'Risk Matrices'!$C$10)))))</f>
        <v>Low</v>
      </c>
      <c r="AQ233" s="112" t="str">
        <f>IF(OR(ISBLANK(AK233),AK233=0),"None",IF(ABS(AK233)&lt;='Risk Matrices'!$E$7,'Risk Matrices'!$E$5,IF(ABS(AK233)&lt;='Risk Matrices'!$G$7,'Risk Matrices'!$G$5,IF(ABS(AK233)&lt;='Risk Matrices'!$H$7,'Risk Matrices'!$H$5,'Risk Matrices'!$I$5))))</f>
        <v>Significant</v>
      </c>
      <c r="AR233" s="112" t="str">
        <f>IF(AN233="","",IF(ABS(AN233)&lt;='Risk Matrices'!$E$8,"Negligible",IF(ABS(AN233)&lt;='Risk Matrices'!$F$8,"Marginal",IF(ABS(AN233)&lt;='Risk Matrices'!$G$8,"Significant",IF(ABS(AN233)&lt;='Risk Matrices'!$H$8,"Critical","Crisis")))))</f>
        <v>Significant</v>
      </c>
      <c r="AS233" s="103" t="s">
        <v>207</v>
      </c>
      <c r="AT233" s="298">
        <f>IF(OR(ISBLANK(AI233),AI233=0),0,VLOOKUP(AP233,'Risk Matrices'!$B$30:$C$34,2,0))</f>
        <v>2</v>
      </c>
      <c r="AU233" s="298">
        <f>IF(OR(ISBLANK(AK233),AK233=0),0,HLOOKUP(AQ233,'Risk Matrices'!$D$28:$H$29,2,0))</f>
        <v>3</v>
      </c>
      <c r="AV233" s="298">
        <f>IF(OR(ISBLANK(AR233),AR233=0),0,HLOOKUP(AR233,'Risk Matrices'!$D$28:$H$29,2,0))</f>
        <v>3</v>
      </c>
      <c r="AW233" s="298">
        <f>IF(OR(ISBLANK(AS233),AS233=0),0,HLOOKUP(AS233,'Risk Matrices'!$D$28:$H$29,2,0))</f>
        <v>1</v>
      </c>
      <c r="AX233" s="106">
        <f t="shared" si="197"/>
        <v>3</v>
      </c>
      <c r="AY233" s="106">
        <f t="shared" si="198"/>
        <v>6</v>
      </c>
      <c r="AZ233" s="107" t="str">
        <f>IF(B233="Retired","Retired",IF(OR(ISBLANK(AY233),AY233=0),"TBD",IF(AY233&lt;='Risk Matrices'!$D$40,'Risk Matrices'!$B$40,IF(AY233&lt;='Risk Matrices'!$D$39,'Risk Matrices'!$B$39,'Risk Matrices'!$B$38))))</f>
        <v>Low</v>
      </c>
      <c r="BA233" s="104"/>
      <c r="BB233" s="745" t="s">
        <v>1566</v>
      </c>
      <c r="BC233" s="109">
        <f t="shared" si="199"/>
        <v>300</v>
      </c>
      <c r="BD233" s="929"/>
      <c r="BE233" s="104"/>
      <c r="BF233" s="104"/>
      <c r="BG233" s="104"/>
      <c r="BH233" s="104"/>
      <c r="BI233" s="104"/>
      <c r="BJ233" s="874">
        <f t="shared" si="204"/>
        <v>300</v>
      </c>
      <c r="BK233" s="101"/>
      <c r="BL233" s="101"/>
      <c r="BM233" s="185">
        <v>45558</v>
      </c>
      <c r="BN233" s="185">
        <v>45558</v>
      </c>
      <c r="BO233" s="1000"/>
      <c r="BP233" s="94">
        <f t="shared" si="190"/>
        <v>300</v>
      </c>
      <c r="BQ233" s="97" t="str">
        <f t="shared" si="200"/>
        <v>1000 - 2000 - 3000</v>
      </c>
      <c r="BR233" s="97" t="str">
        <f t="shared" si="201"/>
        <v>4 - 8 - 12</v>
      </c>
      <c r="BS233" s="715">
        <f t="shared" ref="BS233:BS264" si="206">BJ233</f>
        <v>300</v>
      </c>
      <c r="BT233" s="736">
        <f t="shared" si="202"/>
        <v>1.2</v>
      </c>
      <c r="BU233" s="735"/>
      <c r="BV233" s="1002"/>
    </row>
    <row r="234" spans="2:75" customFormat="1" ht="84" hidden="1" x14ac:dyDescent="0.2">
      <c r="B234" s="101" t="str">
        <f t="shared" si="205"/>
        <v>Retired</v>
      </c>
      <c r="C234" s="110">
        <v>155</v>
      </c>
      <c r="D234" s="101" t="s">
        <v>151</v>
      </c>
      <c r="E234" s="101" t="s">
        <v>1345</v>
      </c>
      <c r="F234" s="102" t="s">
        <v>124</v>
      </c>
      <c r="G234" s="106" t="s">
        <v>1346</v>
      </c>
      <c r="H234" s="106"/>
      <c r="I234" s="106" t="s">
        <v>1347</v>
      </c>
      <c r="J234" s="143" t="s">
        <v>969</v>
      </c>
      <c r="K234" s="101" t="s">
        <v>1567</v>
      </c>
      <c r="L234" s="104" t="s">
        <v>1568</v>
      </c>
      <c r="M234" s="104" t="s">
        <v>197</v>
      </c>
      <c r="N234" s="105">
        <v>10000</v>
      </c>
      <c r="O234" s="106" t="str" cm="1">
        <f t="array" ref="O234">_xlfn.IFS(N234="","",ABS(N234)&lt;='Risk Matrices'!$E$7,'Risk Matrices'!$E$5,ABS(N234)&lt;='Risk Matrices'!$F$7,'Risk Matrices'!$F$5,ABS(N234)&lt;='Risk Matrices'!$G$7,'Risk Matrices'!$G$5,ABS(N234)&lt;='Risk Matrices'!$H$7,'Risk Matrices'!$H$5,ABS(N234)&gt;'Risk Matrices'!$H$7,'Risk Matrices'!$I$5)</f>
        <v>Critical</v>
      </c>
      <c r="P234" s="101">
        <v>12</v>
      </c>
      <c r="Q234" s="101" t="s">
        <v>600</v>
      </c>
      <c r="R234" s="101" t="s">
        <v>280</v>
      </c>
      <c r="S234" s="106">
        <f t="shared" si="203"/>
        <v>5</v>
      </c>
      <c r="T234" s="106" cm="1">
        <f t="array" ref="T234">_xlfn.IFS(O234='Risk Matrices'!$D$28,'Risk Matrices'!$D$29,O234='Risk Matrices'!$E$28,'Risk Matrices'!$E$29,O234='Risk Matrices'!$F$28,'Risk Matrices'!$F$29,O234='Risk Matrices'!$G$28,'Risk Matrices'!$G$29,O234='Risk Matrices'!$H$28,'Risk Matrices'!$H$29)</f>
        <v>4</v>
      </c>
      <c r="U234" s="106">
        <f t="shared" si="192"/>
        <v>5</v>
      </c>
      <c r="V234" s="106">
        <f>IF(R234="",0,IF(R234="Negligible",1,IF(R234="Marginal",2,IF(R234="Significant",3,IF(R234="Critical",4,IF(R234="Crisis",5))))))</f>
        <v>2</v>
      </c>
      <c r="W234" s="106">
        <f t="shared" si="193"/>
        <v>5</v>
      </c>
      <c r="X234" s="106">
        <f t="shared" si="194"/>
        <v>25</v>
      </c>
      <c r="Y234" s="107" t="str">
        <f t="shared" si="187"/>
        <v>High</v>
      </c>
      <c r="Z234" s="104"/>
      <c r="AA234" s="108">
        <f t="shared" si="195"/>
        <v>0.82</v>
      </c>
      <c r="AB234" s="109">
        <f t="shared" si="196"/>
        <v>8200</v>
      </c>
      <c r="AC234" s="109" t="s">
        <v>155</v>
      </c>
      <c r="AD234" s="189"/>
      <c r="AE234" s="189"/>
      <c r="AF234" s="104"/>
      <c r="AG234" s="104"/>
      <c r="AH234" s="101"/>
      <c r="AI234" s="878"/>
      <c r="AJ234" s="101"/>
      <c r="AK234" s="101"/>
      <c r="AL234" s="101"/>
      <c r="AM234" s="101"/>
      <c r="AN234" s="101"/>
      <c r="AO234" s="101"/>
      <c r="AP234" s="112" t="str">
        <f>IF(OR(ISBLANK(AI234),AI234=0),"INSERT LIKELIHOOD",IF(ABS(AI234)&lt;='Risk Matrices'!$D$22,'Risk Matrices'!$C$21,IF(ABS(AI234)&lt;='Risk Matrices'!$D$19,'Risk Matrices'!$C$18,IF(ABS(AI234)&lt;='Risk Matrices'!$D$16,'Risk Matrices'!$C$15,IF(ABS(AI234)&lt;='Risk Matrices'!$D$13,'Risk Matrices'!$C$12,'Risk Matrices'!$C$10)))))</f>
        <v>INSERT LIKELIHOOD</v>
      </c>
      <c r="AQ234" s="112" t="str">
        <f>IF(OR(ISBLANK(AK234),AK234=0),"",IF(ABS(AK234)&lt;='Risk Matrices'!$E$7,'Risk Matrices'!$E$5,IF(ABS(AK234)&lt;='Risk Matrices'!$G$7,'Risk Matrices'!$G$5,IF(ABS(AK234)&lt;='Risk Matrices'!$H$7,'Risk Matrices'!$H$5,'Risk Matrices'!$I$5))))</f>
        <v/>
      </c>
      <c r="AR234" s="112" t="str">
        <f>IF(AN234="","",IF(ABS(AN234)&lt;='Risk Matrices'!$E$8,"Negligible",IF(ABS(AN234)&lt;='Risk Matrices'!$F$8,"Marginal",IF(ABS(AN234)&lt;='Risk Matrices'!$G$8,"Significant",IF(ABS(AN234)&lt;='Risk Matrices'!$H$8,"Critical","Crisis")))))</f>
        <v/>
      </c>
      <c r="AS234" s="103" t="s">
        <v>130</v>
      </c>
      <c r="AT234" s="298">
        <f>IF(OR(ISBLANK(AI234),AI234=0),0,VLOOKUP(AP234,'Risk Matrices'!$B$30:$C$34,2,0))</f>
        <v>0</v>
      </c>
      <c r="AU234" s="298">
        <f>IF(OR(ISBLANK(AK234),AK234=0),0,HLOOKUP(AQ234,'Risk Matrices'!$D$28:$H$29,2,0))</f>
        <v>0</v>
      </c>
      <c r="AV234" s="298" t="e">
        <f>IF(OR(ISBLANK(AR234),AR234=0),0,HLOOKUP(AR234,'Risk Matrices'!$D$28:$H$29,2,0))</f>
        <v>#N/A</v>
      </c>
      <c r="AW234" s="298">
        <f>IF(AS234="None",0,HLOOKUP(AS234,'Risk Matrices'!$D$28:$H$29,2,0))</f>
        <v>0</v>
      </c>
      <c r="AX234" s="106" t="e">
        <f t="shared" si="197"/>
        <v>#N/A</v>
      </c>
      <c r="AY234" s="106" t="e">
        <f t="shared" si="198"/>
        <v>#N/A</v>
      </c>
      <c r="AZ234" s="107" t="str">
        <f>IF(B234="Retired","Retired",IF(OR(ISBLANK(AY234),AY234=0),"TBD",IF(AY234&lt;='Risk Matrices'!$D$40,'Risk Matrices'!$B$40,IF(AY234&lt;='Risk Matrices'!$D$39,'Risk Matrices'!$B$39,'Risk Matrices'!$B$38))))</f>
        <v>Retired</v>
      </c>
      <c r="BA234" s="104"/>
      <c r="BB234" s="104"/>
      <c r="BC234" s="109" t="str">
        <f t="shared" si="199"/>
        <v>Retired</v>
      </c>
      <c r="BD234" s="104"/>
      <c r="BE234" s="104"/>
      <c r="BF234" s="104"/>
      <c r="BG234" s="192" t="s">
        <v>1569</v>
      </c>
      <c r="BH234" s="104"/>
      <c r="BI234" s="104"/>
      <c r="BJ234" s="874">
        <f t="shared" si="204"/>
        <v>0</v>
      </c>
      <c r="BK234" s="101" t="s">
        <v>311</v>
      </c>
      <c r="BL234" s="193"/>
      <c r="BM234" s="116">
        <v>44012</v>
      </c>
      <c r="BN234" s="330">
        <v>44134</v>
      </c>
      <c r="BO234" s="332"/>
      <c r="BP234" s="94">
        <f>AI234*((2*AJ234+4*AK234+2*AL234)/6)</f>
        <v>0</v>
      </c>
      <c r="BQ234" s="97" t="str">
        <f t="shared" si="200"/>
        <v xml:space="preserve"> -  - </v>
      </c>
      <c r="BR234" s="97" t="str">
        <f t="shared" si="201"/>
        <v xml:space="preserve"> -  - </v>
      </c>
      <c r="BS234" s="715">
        <f t="shared" si="206"/>
        <v>0</v>
      </c>
      <c r="BT234" s="736">
        <f t="shared" si="202"/>
        <v>0</v>
      </c>
      <c r="BU234" s="735" t="s">
        <v>1570</v>
      </c>
      <c r="BV234" s="873"/>
    </row>
    <row r="235" spans="2:75" customFormat="1" ht="388" hidden="1" x14ac:dyDescent="0.2">
      <c r="B235" s="101" t="str">
        <f t="shared" si="205"/>
        <v>Retired</v>
      </c>
      <c r="C235" s="110" t="s">
        <v>1571</v>
      </c>
      <c r="D235" s="118" t="s">
        <v>122</v>
      </c>
      <c r="E235" s="101" t="s">
        <v>1345</v>
      </c>
      <c r="F235" s="102" t="s">
        <v>124</v>
      </c>
      <c r="G235" s="106" t="s">
        <v>1346</v>
      </c>
      <c r="H235" s="106"/>
      <c r="I235" s="106" t="s">
        <v>1347</v>
      </c>
      <c r="J235" s="143" t="s">
        <v>969</v>
      </c>
      <c r="K235" s="101" t="s">
        <v>1572</v>
      </c>
      <c r="L235" s="752" t="s">
        <v>1573</v>
      </c>
      <c r="M235" s="104" t="s">
        <v>197</v>
      </c>
      <c r="N235" s="105">
        <v>25000</v>
      </c>
      <c r="O235" s="106" t="str" cm="1">
        <f t="array" ref="O235">_xlfn.IFS(N235="","",ABS(N235)&lt;='Risk Matrices'!$E$7,'Risk Matrices'!$E$5,ABS(N235)&lt;='Risk Matrices'!$F$7,'Risk Matrices'!$F$5,ABS(N235)&lt;='Risk Matrices'!$G$7,'Risk Matrices'!$G$5,ABS(N235)&lt;='Risk Matrices'!$H$7,'Risk Matrices'!$H$5,ABS(N235)&gt;'Risk Matrices'!$H$7,'Risk Matrices'!$I$5)</f>
        <v>Critical</v>
      </c>
      <c r="P235" s="101">
        <v>12</v>
      </c>
      <c r="Q235" s="101" t="s">
        <v>406</v>
      </c>
      <c r="R235" s="101" t="s">
        <v>600</v>
      </c>
      <c r="S235" s="106">
        <f t="shared" si="203"/>
        <v>5</v>
      </c>
      <c r="T235" s="106" cm="1">
        <f t="array" ref="T235">_xlfn.IFS(O235='Risk Matrices'!$D$28,'Risk Matrices'!$D$29,O235='Risk Matrices'!$E$28,'Risk Matrices'!$E$29,O235='Risk Matrices'!$F$28,'Risk Matrices'!$F$29,O235='Risk Matrices'!$G$28,'Risk Matrices'!$G$29,O235='Risk Matrices'!$H$28,'Risk Matrices'!$H$29)</f>
        <v>4</v>
      </c>
      <c r="U235" s="106">
        <f t="shared" si="192"/>
        <v>4</v>
      </c>
      <c r="V235" s="106">
        <f>IF(R235="",0,IF(R235="Negligible",1,IF(R235="Marginal",2,IF(R235="Significant",3,IF(R235="Critical",4,IF(R235="Crisis",5))))))</f>
        <v>5</v>
      </c>
      <c r="W235" s="106">
        <f t="shared" si="193"/>
        <v>5</v>
      </c>
      <c r="X235" s="106">
        <f t="shared" si="194"/>
        <v>25</v>
      </c>
      <c r="Y235" s="107" t="str">
        <f t="shared" si="187"/>
        <v>High</v>
      </c>
      <c r="Z235" s="189" t="s">
        <v>1574</v>
      </c>
      <c r="AA235" s="108">
        <f t="shared" si="195"/>
        <v>0.82</v>
      </c>
      <c r="AB235" s="109">
        <f t="shared" si="196"/>
        <v>20500</v>
      </c>
      <c r="AC235" s="109" t="s">
        <v>132</v>
      </c>
      <c r="AD235" s="104"/>
      <c r="AE235" s="104"/>
      <c r="AF235" s="104"/>
      <c r="AG235" s="104"/>
      <c r="AH235" s="704" t="s">
        <v>1575</v>
      </c>
      <c r="AI235" s="878">
        <v>0.1</v>
      </c>
      <c r="AJ235" s="106">
        <v>-10000</v>
      </c>
      <c r="AK235" s="106">
        <v>-10000</v>
      </c>
      <c r="AL235" s="106">
        <v>-10000</v>
      </c>
      <c r="AM235" s="106">
        <v>-3</v>
      </c>
      <c r="AN235" s="106">
        <v>-6</v>
      </c>
      <c r="AO235" s="106">
        <v>-9</v>
      </c>
      <c r="AP235" s="112" t="str">
        <f>IF(OR(ISBLANK(AI235),AI235=0),"INSERT LIKELIHOOD",IF(ABS(AI235)&lt;='Risk Matrices'!$D$22,'Risk Matrices'!$C$21,IF(ABS(AI235)&lt;='Risk Matrices'!$D$19,'Risk Matrices'!$C$18,IF(ABS(AI235)&lt;='Risk Matrices'!$D$16,'Risk Matrices'!$C$15,IF(ABS(AI235)&lt;='Risk Matrices'!$D$13,'Risk Matrices'!$C$12,'Risk Matrices'!$C$10)))))</f>
        <v>Very Low</v>
      </c>
      <c r="AQ235" s="112" t="str">
        <f>IF(OR(ISBLANK(AK235),AK235=0),"None",IF(ABS(AK235)&lt;='Risk Matrices'!$E$7,'Risk Matrices'!$E$5,IF(ABS(AK235)&lt;='Risk Matrices'!$G$7,'Risk Matrices'!$G$5,IF(ABS(AK235)&lt;='Risk Matrices'!$H$7,'Risk Matrices'!$H$5,'Risk Matrices'!$I$5))))</f>
        <v>Critical</v>
      </c>
      <c r="AR235" s="112" t="str">
        <f>IF(AN235="","",IF(ABS(AN235)&lt;='Risk Matrices'!$E$8,"Negligible",IF(ABS(AN235)&lt;='Risk Matrices'!$F$8,"Marginal",IF(ABS(AN235)&lt;='Risk Matrices'!$G$8,"Significant",IF(ABS(AN235)&lt;='Risk Matrices'!$H$8,"Critical","Crisis")))))</f>
        <v>Marginal</v>
      </c>
      <c r="AS235" s="103" t="s">
        <v>600</v>
      </c>
      <c r="AT235" s="298">
        <f>IF(OR(ISBLANK(AI235),AI235=0),0,VLOOKUP(AP235,'Risk Matrices'!$B$30:$C$34,2,0))</f>
        <v>1</v>
      </c>
      <c r="AU235" s="298">
        <f>IF(OR(ISBLANK(AK235),AK235=0),0,HLOOKUP(AQ235,'Risk Matrices'!$D$28:$H$29,2,0))</f>
        <v>4</v>
      </c>
      <c r="AV235" s="298">
        <f>IF(OR(ISBLANK(AR235),AR235=0),0,HLOOKUP(AR235,'Risk Matrices'!$D$28:$H$29,2,0))</f>
        <v>2</v>
      </c>
      <c r="AW235" s="298">
        <f>IF(OR(ISBLANK(AS235),AS235=0),0,HLOOKUP(AS235,'Risk Matrices'!$D$28:$H$29,2,0))</f>
        <v>5</v>
      </c>
      <c r="AX235" s="106">
        <f t="shared" si="197"/>
        <v>5</v>
      </c>
      <c r="AY235" s="106">
        <f t="shared" si="198"/>
        <v>5</v>
      </c>
      <c r="AZ235" s="107" t="str">
        <f>IF(B235="Retired","Retired",IF(OR(ISBLANK(AY235),AY235=0),"TBD",IF(AY235&lt;='Risk Matrices'!$D$40,'Risk Matrices'!$B$40,IF(AY235&lt;='Risk Matrices'!$D$39,'Risk Matrices'!$B$39,'Risk Matrices'!$B$38))))</f>
        <v>Retired</v>
      </c>
      <c r="BA235" s="104"/>
      <c r="BB235" s="122" t="s">
        <v>1576</v>
      </c>
      <c r="BC235" s="109" t="str">
        <f t="shared" si="199"/>
        <v>Retired</v>
      </c>
      <c r="BD235" s="104"/>
      <c r="BE235" s="104"/>
      <c r="BF235" s="104"/>
      <c r="BG235" s="26" t="s">
        <v>1577</v>
      </c>
      <c r="BH235" s="104"/>
      <c r="BI235" s="104"/>
      <c r="BJ235" s="874">
        <f t="shared" si="204"/>
        <v>-1000</v>
      </c>
      <c r="BK235" s="101"/>
      <c r="BL235" s="130">
        <v>44998</v>
      </c>
      <c r="BM235" s="116">
        <v>44681</v>
      </c>
      <c r="BN235" s="330">
        <v>44684</v>
      </c>
      <c r="BO235" s="332"/>
      <c r="BP235" s="94">
        <f>AI235*((2*AJ235+4*AK235+2*AL235)/6)</f>
        <v>-1333.3333333333335</v>
      </c>
      <c r="BQ235" s="97" t="str">
        <f t="shared" si="200"/>
        <v>-10000 - -10000 - -10000</v>
      </c>
      <c r="BR235" s="97" t="str">
        <f t="shared" si="201"/>
        <v>-3 - -6 - -9</v>
      </c>
      <c r="BS235" s="715">
        <f t="shared" si="206"/>
        <v>-1000</v>
      </c>
      <c r="BT235" s="736">
        <f t="shared" si="202"/>
        <v>-0.6</v>
      </c>
      <c r="BU235" s="735" t="s">
        <v>1571</v>
      </c>
    </row>
    <row r="236" spans="2:75" customFormat="1" ht="409.6" hidden="1" x14ac:dyDescent="0.2">
      <c r="B236" s="101" t="str">
        <f t="shared" si="205"/>
        <v>Retired</v>
      </c>
      <c r="C236" s="110">
        <v>140</v>
      </c>
      <c r="D236" s="101" t="s">
        <v>151</v>
      </c>
      <c r="E236" s="101" t="s">
        <v>1345</v>
      </c>
      <c r="F236" s="102" t="s">
        <v>124</v>
      </c>
      <c r="G236" s="106" t="s">
        <v>1346</v>
      </c>
      <c r="H236" s="106"/>
      <c r="I236" s="106" t="s">
        <v>1347</v>
      </c>
      <c r="J236" s="143" t="s">
        <v>969</v>
      </c>
      <c r="K236" s="101" t="s">
        <v>1578</v>
      </c>
      <c r="L236" s="104" t="s">
        <v>1579</v>
      </c>
      <c r="M236" s="104" t="s">
        <v>197</v>
      </c>
      <c r="N236" s="105">
        <v>10000</v>
      </c>
      <c r="O236" s="106" t="str" cm="1">
        <f t="array" ref="O236">_xlfn.IFS(N236="","",ABS(N236)&lt;='Risk Matrices'!$E$7,'Risk Matrices'!$E$5,ABS(N236)&lt;='Risk Matrices'!$F$7,'Risk Matrices'!$F$5,ABS(N236)&lt;='Risk Matrices'!$G$7,'Risk Matrices'!$G$5,ABS(N236)&lt;='Risk Matrices'!$H$7,'Risk Matrices'!$H$5,ABS(N236)&gt;'Risk Matrices'!$H$7,'Risk Matrices'!$I$5)</f>
        <v>Critical</v>
      </c>
      <c r="P236" s="101">
        <v>12</v>
      </c>
      <c r="Q236" s="101" t="s">
        <v>600</v>
      </c>
      <c r="R236" s="101" t="s">
        <v>280</v>
      </c>
      <c r="S236" s="106">
        <f t="shared" si="203"/>
        <v>5</v>
      </c>
      <c r="T236" s="106" cm="1">
        <f t="array" ref="T236">_xlfn.IFS(O236='Risk Matrices'!$D$28,'Risk Matrices'!$D$29,O236='Risk Matrices'!$E$28,'Risk Matrices'!$E$29,O236='Risk Matrices'!$F$28,'Risk Matrices'!$F$29,O236='Risk Matrices'!$G$28,'Risk Matrices'!$G$29,O236='Risk Matrices'!$H$28,'Risk Matrices'!$H$29)</f>
        <v>4</v>
      </c>
      <c r="U236" s="106">
        <f t="shared" si="192"/>
        <v>5</v>
      </c>
      <c r="V236" s="106">
        <f>IF(R236="",0,IF(R236="Negligible",1,IF(R236="Marginal",2,IF(R236="Significant",3,IF(R236="Critical",4,IF(R236="Crisis",5))))))</f>
        <v>2</v>
      </c>
      <c r="W236" s="106">
        <f t="shared" si="193"/>
        <v>5</v>
      </c>
      <c r="X236" s="106">
        <f t="shared" si="194"/>
        <v>25</v>
      </c>
      <c r="Y236" s="107" t="str">
        <f t="shared" si="187"/>
        <v>High</v>
      </c>
      <c r="Z236" s="104" t="s">
        <v>1580</v>
      </c>
      <c r="AA236" s="108">
        <f t="shared" si="195"/>
        <v>0.82</v>
      </c>
      <c r="AB236" s="109">
        <f t="shared" si="196"/>
        <v>8200</v>
      </c>
      <c r="AC236" s="109" t="s">
        <v>155</v>
      </c>
      <c r="AD236" s="104" t="s">
        <v>1581</v>
      </c>
      <c r="AE236" s="104"/>
      <c r="AF236" s="104"/>
      <c r="AG236" s="104"/>
      <c r="AH236" s="289" t="s">
        <v>1582</v>
      </c>
      <c r="AI236" s="880">
        <v>0.8</v>
      </c>
      <c r="AJ236" s="190">
        <v>10000</v>
      </c>
      <c r="AK236" s="190">
        <v>10000</v>
      </c>
      <c r="AL236" s="190">
        <v>15000</v>
      </c>
      <c r="AM236" s="190">
        <v>6</v>
      </c>
      <c r="AN236" s="190">
        <v>12</v>
      </c>
      <c r="AO236" s="190">
        <v>18</v>
      </c>
      <c r="AP236" s="112" t="str">
        <f>IF(OR(ISBLANK(AI236),AI236=0),"INSERT LIKELIHOOD",IF(ABS(AI236)&lt;='Risk Matrices'!$D$22,'Risk Matrices'!$C$21,IF(ABS(AI236)&lt;='Risk Matrices'!$D$19,'Risk Matrices'!$C$18,IF(ABS(AI236)&lt;='Risk Matrices'!$D$16,'Risk Matrices'!$C$15,IF(ABS(AI236)&lt;='Risk Matrices'!$D$13,'Risk Matrices'!$C$12,'Risk Matrices'!$C$10)))))</f>
        <v>Very High</v>
      </c>
      <c r="AQ236" s="112" t="str">
        <f>IF(OR(ISBLANK(AK236),AK236=0),"None",IF(ABS(AK236)&lt;='Risk Matrices'!$E$7,'Risk Matrices'!$E$5,IF(ABS(AK236)&lt;='Risk Matrices'!$G$7,'Risk Matrices'!$G$5,IF(ABS(AK236)&lt;='Risk Matrices'!$H$7,'Risk Matrices'!$H$5,'Risk Matrices'!$I$5))))</f>
        <v>Critical</v>
      </c>
      <c r="AR236" s="112" t="str">
        <f>IF(AN236="","",IF(ABS(AN236)&lt;='Risk Matrices'!$E$8,"Negligible",IF(ABS(AN236)&lt;='Risk Matrices'!$F$8,"Marginal",IF(ABS(AN236)&lt;='Risk Matrices'!$G$8,"Significant",IF(ABS(AN236)&lt;='Risk Matrices'!$H$8,"Critical","Crisis")))))</f>
        <v>Significant</v>
      </c>
      <c r="AS236" s="103" t="s">
        <v>280</v>
      </c>
      <c r="AT236" s="298">
        <f>IF(OR(ISBLANK(AI236),AI236=0),0,VLOOKUP(AP236,'Risk Matrices'!$B$30:$C$34,2,0))</f>
        <v>5</v>
      </c>
      <c r="AU236" s="298">
        <f>IF(OR(ISBLANK(AK236),AK236=0),0,HLOOKUP(AQ236,'Risk Matrices'!$D$28:$H$29,2,0))</f>
        <v>4</v>
      </c>
      <c r="AV236" s="298">
        <f>IF(OR(ISBLANK(AR236),AR236=0),0,HLOOKUP(AR236,'Risk Matrices'!$D$28:$H$29,2,0))</f>
        <v>3</v>
      </c>
      <c r="AW236" s="298">
        <f>IF(OR(ISBLANK(AS236),AS236=0),0,HLOOKUP(AS236,'Risk Matrices'!$D$28:$H$29,2,0))</f>
        <v>2</v>
      </c>
      <c r="AX236" s="106">
        <f t="shared" si="197"/>
        <v>4</v>
      </c>
      <c r="AY236" s="106">
        <f t="shared" si="198"/>
        <v>20</v>
      </c>
      <c r="AZ236" s="107" t="str">
        <f>IF(B236="Retired","Retired",IF(OR(ISBLANK(AY236),AY236=0),"TBD",IF(AY236&lt;='Risk Matrices'!$D$40,'Risk Matrices'!$B$40,IF(AY236&lt;='Risk Matrices'!$D$39,'Risk Matrices'!$B$39,'Risk Matrices'!$B$38))))</f>
        <v>Retired</v>
      </c>
      <c r="BA236" s="104"/>
      <c r="BB236" s="104"/>
      <c r="BC236" s="109" t="str">
        <f t="shared" si="199"/>
        <v>Retired</v>
      </c>
      <c r="BD236" s="104"/>
      <c r="BE236" s="104"/>
      <c r="BF236" s="104"/>
      <c r="BG236" s="124" t="s">
        <v>1583</v>
      </c>
      <c r="BH236" s="104"/>
      <c r="BI236" s="104"/>
      <c r="BJ236" s="874">
        <f t="shared" si="204"/>
        <v>9333.3333333333339</v>
      </c>
      <c r="BK236" s="101" t="s">
        <v>311</v>
      </c>
      <c r="BL236" s="116">
        <v>44635</v>
      </c>
      <c r="BM236" s="116">
        <v>44012</v>
      </c>
      <c r="BN236" s="330">
        <v>44134</v>
      </c>
      <c r="BO236" s="332"/>
      <c r="BP236" s="94">
        <f>AI236*((2*AJ236+4*AK236+2*AL236)/6)</f>
        <v>12000</v>
      </c>
      <c r="BQ236" s="97" t="str">
        <f t="shared" si="200"/>
        <v>10000 - 10000 - 15000</v>
      </c>
      <c r="BR236" s="97" t="str">
        <f t="shared" si="201"/>
        <v>6 - 12 - 18</v>
      </c>
      <c r="BS236" s="715">
        <f t="shared" si="206"/>
        <v>9333.3333333333339</v>
      </c>
      <c r="BT236" s="736">
        <f t="shared" si="202"/>
        <v>9.6</v>
      </c>
      <c r="BU236" s="735" t="s">
        <v>1584</v>
      </c>
    </row>
    <row r="237" spans="2:75" customFormat="1" ht="120" hidden="1" x14ac:dyDescent="0.2">
      <c r="B237" s="101" t="str">
        <f t="shared" si="205"/>
        <v>Retired</v>
      </c>
      <c r="C237" s="110">
        <v>187</v>
      </c>
      <c r="D237" s="101" t="s">
        <v>151</v>
      </c>
      <c r="E237" s="101" t="s">
        <v>1345</v>
      </c>
      <c r="F237" s="143" t="s">
        <v>124</v>
      </c>
      <c r="G237" s="106" t="s">
        <v>1346</v>
      </c>
      <c r="H237" s="106"/>
      <c r="I237" s="106" t="s">
        <v>1347</v>
      </c>
      <c r="J237" s="143" t="s">
        <v>969</v>
      </c>
      <c r="K237" s="101" t="s">
        <v>1585</v>
      </c>
      <c r="L237" s="104" t="s">
        <v>1586</v>
      </c>
      <c r="M237" s="104" t="s">
        <v>164</v>
      </c>
      <c r="N237" s="105">
        <v>10000</v>
      </c>
      <c r="O237" s="106" t="str" cm="1">
        <f t="array" ref="O237">_xlfn.IFS(N237="","",ABS(N237)&lt;='Risk Matrices'!$E$7,'Risk Matrices'!$E$5,ABS(N237)&lt;='Risk Matrices'!$F$7,'Risk Matrices'!$F$5,ABS(N237)&lt;='Risk Matrices'!$G$7,'Risk Matrices'!$G$5,ABS(N237)&lt;='Risk Matrices'!$H$7,'Risk Matrices'!$H$5,ABS(N237)&gt;'Risk Matrices'!$H$7,'Risk Matrices'!$I$5)</f>
        <v>Critical</v>
      </c>
      <c r="P237" s="101">
        <v>12</v>
      </c>
      <c r="Q237" s="101" t="s">
        <v>406</v>
      </c>
      <c r="R237" s="101" t="s">
        <v>406</v>
      </c>
      <c r="S237" s="106">
        <f t="shared" si="203"/>
        <v>2</v>
      </c>
      <c r="T237" s="106" cm="1">
        <f t="array" ref="T237">_xlfn.IFS(O237='Risk Matrices'!$D$28,'Risk Matrices'!$D$29,O237='Risk Matrices'!$E$28,'Risk Matrices'!$E$29,O237='Risk Matrices'!$F$28,'Risk Matrices'!$F$29,O237='Risk Matrices'!$G$28,'Risk Matrices'!$G$29,O237='Risk Matrices'!$H$28,'Risk Matrices'!$H$29)</f>
        <v>4</v>
      </c>
      <c r="U237" s="106">
        <f t="shared" si="192"/>
        <v>4</v>
      </c>
      <c r="V237" s="106">
        <f>IF(R237="",0,IF(R237="Negligible",1,IF(R237="Marginal",2,IF(R237="Significant",3,IF(R237="Critical",4,IF(R237="Crisis",5))))))</f>
        <v>4</v>
      </c>
      <c r="W237" s="106">
        <f t="shared" si="193"/>
        <v>4</v>
      </c>
      <c r="X237" s="106">
        <f t="shared" si="194"/>
        <v>8</v>
      </c>
      <c r="Y237" s="107" t="str">
        <f t="shared" si="187"/>
        <v>Moderate</v>
      </c>
      <c r="Z237" s="159"/>
      <c r="AA237" s="108">
        <f t="shared" si="195"/>
        <v>0.17</v>
      </c>
      <c r="AB237" s="109">
        <f t="shared" si="196"/>
        <v>1700.0000000000002</v>
      </c>
      <c r="AC237" s="109" t="s">
        <v>155</v>
      </c>
      <c r="AD237" s="104" t="s">
        <v>1587</v>
      </c>
      <c r="AE237" s="104"/>
      <c r="AF237" s="159"/>
      <c r="AG237" s="159"/>
      <c r="AH237" s="290" t="s">
        <v>1588</v>
      </c>
      <c r="AI237" s="880">
        <v>0.2</v>
      </c>
      <c r="AJ237" s="190">
        <v>5000</v>
      </c>
      <c r="AK237" s="190">
        <v>10000</v>
      </c>
      <c r="AL237" s="190">
        <v>30000</v>
      </c>
      <c r="AM237" s="190">
        <v>6</v>
      </c>
      <c r="AN237" s="190">
        <v>12</v>
      </c>
      <c r="AO237" s="190">
        <v>24</v>
      </c>
      <c r="AP237" s="112" t="str">
        <f>IF(OR(ISBLANK(AI237),AI237=0),"INSERT LIKELIHOOD",IF(ABS(AI237)&lt;='Risk Matrices'!$D$22,'Risk Matrices'!$C$21,IF(ABS(AI237)&lt;='Risk Matrices'!$D$19,'Risk Matrices'!$C$18,IF(ABS(AI237)&lt;='Risk Matrices'!$D$16,'Risk Matrices'!$C$15,IF(ABS(AI237)&lt;='Risk Matrices'!$D$13,'Risk Matrices'!$C$12,'Risk Matrices'!$C$10)))))</f>
        <v>Low</v>
      </c>
      <c r="AQ237" s="112" t="str">
        <f>IF(OR(ISBLANK(AK237),AK237=0),"None",IF(ABS(AK237)&lt;='Risk Matrices'!$E$7,'Risk Matrices'!$E$5,IF(ABS(AK237)&lt;='Risk Matrices'!$G$7,'Risk Matrices'!$G$5,IF(ABS(AK237)&lt;='Risk Matrices'!$H$7,'Risk Matrices'!$H$5,'Risk Matrices'!$I$5))))</f>
        <v>Critical</v>
      </c>
      <c r="AR237" s="112" t="str">
        <f>IF(AN237="","",IF(ABS(AN237)&lt;='Risk Matrices'!$E$8,"Negligible",IF(ABS(AN237)&lt;='Risk Matrices'!$F$8,"Marginal",IF(ABS(AN237)&lt;='Risk Matrices'!$G$8,"Significant",IF(ABS(AN237)&lt;='Risk Matrices'!$H$8,"Critical","Crisis")))))</f>
        <v>Significant</v>
      </c>
      <c r="AS237" s="102" t="s">
        <v>406</v>
      </c>
      <c r="AT237" s="298">
        <f>IF(OR(ISBLANK(AI237),AI237=0),0,VLOOKUP(AP237,'Risk Matrices'!$B$30:$C$34,2,0))</f>
        <v>2</v>
      </c>
      <c r="AU237" s="298">
        <f>IF(OR(ISBLANK(AK237),AK237=0),0,HLOOKUP(AQ237,'Risk Matrices'!$D$28:$H$29,2,0))</f>
        <v>4</v>
      </c>
      <c r="AV237" s="298">
        <f>IF(OR(ISBLANK(AR237),AR237=0),0,HLOOKUP(AR237,'Risk Matrices'!$D$28:$H$29,2,0))</f>
        <v>3</v>
      </c>
      <c r="AW237" s="298">
        <f>IF(OR(ISBLANK(AS237),AS237=0),0,HLOOKUP(AS237,'Risk Matrices'!$D$28:$H$29,2,0))</f>
        <v>4</v>
      </c>
      <c r="AX237" s="106">
        <f t="shared" si="197"/>
        <v>4</v>
      </c>
      <c r="AY237" s="106">
        <f t="shared" si="198"/>
        <v>8</v>
      </c>
      <c r="AZ237" s="107" t="str">
        <f>IF(B237="Retired","Retired",IF(OR(ISBLANK(AY237),AY237=0),"TBD",IF(AY237&lt;='Risk Matrices'!$D$40,'Risk Matrices'!$B$40,IF(AY237&lt;='Risk Matrices'!$D$39,'Risk Matrices'!$B$39,'Risk Matrices'!$B$38))))</f>
        <v>Retired</v>
      </c>
      <c r="BA237" s="104"/>
      <c r="BB237" s="104"/>
      <c r="BC237" s="109" t="str">
        <f t="shared" si="199"/>
        <v>Retired</v>
      </c>
      <c r="BD237" s="104"/>
      <c r="BE237" s="104"/>
      <c r="BF237" s="104"/>
      <c r="BG237" s="355" t="s">
        <v>1589</v>
      </c>
      <c r="BH237" s="104"/>
      <c r="BI237" s="104"/>
      <c r="BJ237" s="874">
        <f t="shared" si="204"/>
        <v>3000</v>
      </c>
      <c r="BK237" s="101" t="s">
        <v>311</v>
      </c>
      <c r="BL237" s="116">
        <v>44630</v>
      </c>
      <c r="BM237" s="116">
        <v>44012</v>
      </c>
      <c r="BN237" s="330">
        <v>44134</v>
      </c>
      <c r="BO237" s="332"/>
      <c r="BP237" s="94">
        <f>AI237*((2*AJ237+4*AK237+2*AL237)/6)</f>
        <v>3666.6666666666665</v>
      </c>
      <c r="BQ237" s="97" t="str">
        <f t="shared" si="200"/>
        <v>5000 - 10000 - 30000</v>
      </c>
      <c r="BR237" s="97" t="str">
        <f t="shared" si="201"/>
        <v>6 - 12 - 24</v>
      </c>
      <c r="BS237" s="715">
        <f t="shared" si="206"/>
        <v>3000</v>
      </c>
      <c r="BT237" s="736">
        <f t="shared" si="202"/>
        <v>2.8000000000000003</v>
      </c>
      <c r="BU237" s="735" t="s">
        <v>1590</v>
      </c>
    </row>
    <row r="238" spans="2:75" customFormat="1" ht="90" hidden="1" x14ac:dyDescent="0.2">
      <c r="B238" s="101" t="str">
        <f t="shared" si="205"/>
        <v>Active</v>
      </c>
      <c r="C238" s="785" t="s">
        <v>1591</v>
      </c>
      <c r="D238" s="118" t="s">
        <v>122</v>
      </c>
      <c r="E238" s="207" t="s">
        <v>1592</v>
      </c>
      <c r="F238" s="101" t="s">
        <v>124</v>
      </c>
      <c r="G238" s="101" t="s">
        <v>1125</v>
      </c>
      <c r="H238" s="103" t="str">
        <f t="shared" ref="H238:H271" si="207">C238</f>
        <v>RO-6-011-001</v>
      </c>
      <c r="I238" s="101" t="s">
        <v>1593</v>
      </c>
      <c r="J238" s="101" t="s">
        <v>497</v>
      </c>
      <c r="K238" s="101" t="s">
        <v>1594</v>
      </c>
      <c r="L238" s="146" t="s">
        <v>1595</v>
      </c>
      <c r="M238" s="104" t="s">
        <v>141</v>
      </c>
      <c r="N238" s="105">
        <v>50</v>
      </c>
      <c r="O238" s="106" t="str" cm="1">
        <f t="array" ref="O238">_xlfn.IFS(N238="","",ABS(N238)&lt;='Risk Matrices'!$E$7,'Risk Matrices'!$E$5,ABS(N238)&lt;='Risk Matrices'!$F$7,'Risk Matrices'!$F$5,ABS(N238)&lt;='Risk Matrices'!$G$7,'Risk Matrices'!$G$5,ABS(N238)&lt;='Risk Matrices'!$H$7,'Risk Matrices'!$H$5,ABS(N238)&gt;'Risk Matrices'!$H$7,'Risk Matrices'!$I$5)</f>
        <v>Negligible</v>
      </c>
      <c r="P238" s="101">
        <v>6</v>
      </c>
      <c r="Q238" s="101" t="str" cm="1">
        <f t="array" ref="Q238">_xlfn.IFS(P238="","",ABS(P238)&lt;='Risk Matrices'!$E$8,'Risk Matrices'!$E$5,ABS(P238)&lt;='Risk Matrices'!$F$8,'Risk Matrices'!$F$5,ABS(P238)&lt;='Risk Matrices'!$G$8,'Risk Matrices'!$G$5,ABS(P238)&lt;='Risk Matrices'!$H$8,'Risk Matrices'!$H$5,ABS(P238)&gt;'Risk Matrices'!$H$8,'Risk Matrices'!$I$5)</f>
        <v>Marginal</v>
      </c>
      <c r="R238" s="101" t="s">
        <v>207</v>
      </c>
      <c r="S238" s="106">
        <f t="shared" si="203"/>
        <v>3</v>
      </c>
      <c r="T238" s="106" cm="1">
        <f t="array" ref="T238">_xlfn.IFS(O238='Risk Matrices'!$D$28,'Risk Matrices'!$D$29,O238='Risk Matrices'!$E$28,'Risk Matrices'!$E$29,O238='Risk Matrices'!$F$28,'Risk Matrices'!$F$29,O238='Risk Matrices'!$G$28,'Risk Matrices'!$G$29,O238='Risk Matrices'!$H$28,'Risk Matrices'!$H$29)</f>
        <v>1</v>
      </c>
      <c r="U238" s="106">
        <f t="shared" si="192"/>
        <v>2</v>
      </c>
      <c r="V238" s="106">
        <f t="shared" ref="V238:V271" si="208">IF(R238="None",0,IF(R238="Negligible",1,IF(R238="Marginal",2,IF(R238="Significant",3,IF(R238="Critical",4,IF(R238="Crisis",5))))))</f>
        <v>1</v>
      </c>
      <c r="W238" s="106">
        <f t="shared" si="193"/>
        <v>2</v>
      </c>
      <c r="X238" s="106">
        <f t="shared" si="194"/>
        <v>6</v>
      </c>
      <c r="Y238" s="107" t="str">
        <f t="shared" si="187"/>
        <v>Low</v>
      </c>
      <c r="Z238" s="104" t="s">
        <v>1596</v>
      </c>
      <c r="AA238" s="136">
        <f t="shared" si="195"/>
        <v>0.32</v>
      </c>
      <c r="AB238" s="109">
        <f t="shared" si="196"/>
        <v>16</v>
      </c>
      <c r="AC238" s="119" t="s">
        <v>132</v>
      </c>
      <c r="AD238" s="206" t="s">
        <v>1597</v>
      </c>
      <c r="AE238" s="939"/>
      <c r="AF238" s="101" t="s">
        <v>175</v>
      </c>
      <c r="AG238" s="749"/>
      <c r="AH238" s="101" t="s">
        <v>175</v>
      </c>
      <c r="AI238" s="875">
        <v>0.1</v>
      </c>
      <c r="AJ238" s="105">
        <v>-20</v>
      </c>
      <c r="AK238" s="105">
        <v>0</v>
      </c>
      <c r="AL238" s="105">
        <v>10</v>
      </c>
      <c r="AM238" s="105">
        <v>-6</v>
      </c>
      <c r="AN238" s="105">
        <v>-4</v>
      </c>
      <c r="AO238" s="105">
        <v>-2</v>
      </c>
      <c r="AP238" s="112" t="str">
        <f>IF(OR(ISBLANK(AI238),AI238=0),"INSERT LIKELIHOOD",IF(ABS(AI238)&lt;='Risk Matrices'!$D$22,'Risk Matrices'!$C$21,IF(ABS(AI238)&lt;='Risk Matrices'!$D$19,'Risk Matrices'!$C$18,IF(ABS(AI238)&lt;='Risk Matrices'!$D$16,'Risk Matrices'!$C$15,IF(ABS(AI238)&lt;='Risk Matrices'!$D$13,'Risk Matrices'!$C$12,'Risk Matrices'!$C$10)))))</f>
        <v>Very Low</v>
      </c>
      <c r="AQ238" s="112" t="str">
        <f>IF(OR(ISBLANK(AK238),AK238=0),"None",IF(ABS(AK238)&lt;='Risk Matrices'!$E$7,'Risk Matrices'!$E$5,IF(ABS(AK238)&lt;='Risk Matrices'!$G$7,'Risk Matrices'!$G$5,IF(ABS(AK238)&lt;='Risk Matrices'!$H$7,'Risk Matrices'!$H$5,'Risk Matrices'!$I$5))))</f>
        <v>None</v>
      </c>
      <c r="AR238" s="112" t="str">
        <f>IF(AN238="","",IF(ABS(AN238)&lt;='Risk Matrices'!$E$8,"Negligible",IF(ABS(AN238)&lt;='Risk Matrices'!$F$8,"Marginal",IF(ABS(AN238)&lt;='Risk Matrices'!$G$8,"Significant",IF(ABS(AN238)&lt;='Risk Matrices'!$H$8,"Critical","Crisis")))))</f>
        <v>Marginal</v>
      </c>
      <c r="AS238" s="103" t="s">
        <v>207</v>
      </c>
      <c r="AT238" s="298">
        <f>IF(OR(ISBLANK(AI238),AI238=0),0,VLOOKUP(AP238,'Risk Matrices'!$B$30:$C$34,2,0))</f>
        <v>1</v>
      </c>
      <c r="AU238" s="298">
        <f>IF(OR(ISBLANK(AK238),AK238=0),0,HLOOKUP(AQ238,'Risk Matrices'!$D$28:$H$29,2,0))</f>
        <v>0</v>
      </c>
      <c r="AV238" s="298">
        <f>IF(OR(ISBLANK(AR238),AR238=0),0,HLOOKUP(AR238,'Risk Matrices'!$D$28:$H$29,2,0))</f>
        <v>2</v>
      </c>
      <c r="AW238" s="298">
        <f>IF(OR(ISBLANK(AS238),AS238=0),0,HLOOKUP(AS238,'Risk Matrices'!$D$28:$H$29,2,0))</f>
        <v>1</v>
      </c>
      <c r="AX238" s="106">
        <f t="shared" si="197"/>
        <v>2</v>
      </c>
      <c r="AY238" s="106">
        <f t="shared" si="198"/>
        <v>2</v>
      </c>
      <c r="AZ238" s="107" t="str">
        <f>IF(B238="Retired","Retired",IF(OR(ISBLANK(AY238),AY238=0),"TBD",IF(AY238&lt;='Risk Matrices'!$D$40,'Risk Matrices'!$B$40,IF(AY238&lt;='Risk Matrices'!$D$39,'Risk Matrices'!$B$39,'Risk Matrices'!$B$38))))</f>
        <v>Low</v>
      </c>
      <c r="BA238" s="104"/>
      <c r="BB238" s="101" t="s">
        <v>366</v>
      </c>
      <c r="BC238" s="109">
        <f t="shared" si="199"/>
        <v>0</v>
      </c>
      <c r="BD238" s="116">
        <v>45372</v>
      </c>
      <c r="BE238" s="104"/>
      <c r="BF238" s="104"/>
      <c r="BG238" s="104"/>
      <c r="BH238" s="104"/>
      <c r="BI238" s="104"/>
      <c r="BJ238" s="874">
        <f t="shared" si="204"/>
        <v>-0.33333333333333337</v>
      </c>
      <c r="BK238" s="101"/>
      <c r="BL238" s="101"/>
      <c r="BM238" s="116">
        <v>44377</v>
      </c>
      <c r="BN238" s="330">
        <v>44466</v>
      </c>
      <c r="BO238" s="332"/>
      <c r="BP238" s="94">
        <f t="shared" ref="BP238:BP270" si="209">AI238*((AJ238+4*AK238+AL238)/6)</f>
        <v>-0.16666666666666669</v>
      </c>
      <c r="BQ238" s="97" t="str">
        <f t="shared" si="200"/>
        <v>-20 - 0 - 10</v>
      </c>
      <c r="BR238" s="97" t="str">
        <f t="shared" si="201"/>
        <v>-6 - -4 - -2</v>
      </c>
      <c r="BS238" s="715">
        <f t="shared" si="206"/>
        <v>-0.33333333333333337</v>
      </c>
      <c r="BT238" s="736">
        <f t="shared" si="202"/>
        <v>-0.40000000000000008</v>
      </c>
      <c r="BU238" s="735" t="s">
        <v>1598</v>
      </c>
      <c r="BV238" s="873">
        <v>45382</v>
      </c>
      <c r="BW238">
        <f t="shared" ref="BW238:BW270" si="210">BV238-BN238</f>
        <v>916</v>
      </c>
    </row>
    <row r="239" spans="2:75" customFormat="1" ht="102" hidden="1" x14ac:dyDescent="0.2">
      <c r="B239" s="101" t="str">
        <f t="shared" si="205"/>
        <v>Active</v>
      </c>
      <c r="C239" s="785" t="s">
        <v>1599</v>
      </c>
      <c r="D239" s="101" t="s">
        <v>151</v>
      </c>
      <c r="E239" s="194" t="s">
        <v>1592</v>
      </c>
      <c r="F239" s="101" t="s">
        <v>124</v>
      </c>
      <c r="G239" s="126" t="s">
        <v>1125</v>
      </c>
      <c r="H239" s="101" t="str">
        <f t="shared" si="207"/>
        <v>RT-6-011-001</v>
      </c>
      <c r="I239" s="106" t="s">
        <v>1125</v>
      </c>
      <c r="J239" s="101" t="s">
        <v>497</v>
      </c>
      <c r="K239" s="101" t="s">
        <v>1600</v>
      </c>
      <c r="L239" s="812" t="s">
        <v>1601</v>
      </c>
      <c r="M239" s="103" t="s">
        <v>129</v>
      </c>
      <c r="N239" s="134">
        <v>5000</v>
      </c>
      <c r="O239" s="106" t="str" cm="1">
        <f t="array" ref="O239">_xlfn.IFS(N239="","",ABS(N239)&lt;='Risk Matrices'!$E$7,'Risk Matrices'!$E$5,ABS(N239)&lt;='Risk Matrices'!$F$7,'Risk Matrices'!$F$5,ABS(N239)&lt;='Risk Matrices'!$G$7,'Risk Matrices'!$G$5,ABS(N239)&lt;='Risk Matrices'!$H$7,'Risk Matrices'!$H$5,ABS(N239)&gt;'Risk Matrices'!$H$7,'Risk Matrices'!$I$5)</f>
        <v>Significant</v>
      </c>
      <c r="P239" s="126">
        <v>12</v>
      </c>
      <c r="Q239" s="101" t="str" cm="1">
        <f t="array" ref="Q239">_xlfn.IFS(P239="","",ABS(P239)&lt;='Risk Matrices'!$E$8,'Risk Matrices'!$E$5,ABS(P239)&lt;='Risk Matrices'!$F$8,'Risk Matrices'!$F$5,ABS(P239)&lt;='Risk Matrices'!$G$8,'Risk Matrices'!$G$5,ABS(P239)&lt;='Risk Matrices'!$H$8,'Risk Matrices'!$H$5,ABS(P239)&gt;'Risk Matrices'!$H$8,'Risk Matrices'!$I$5)</f>
        <v>Significant</v>
      </c>
      <c r="R239" s="121" t="s">
        <v>207</v>
      </c>
      <c r="S239" s="128">
        <f t="shared" si="203"/>
        <v>4</v>
      </c>
      <c r="T239" s="106" cm="1">
        <f t="array" ref="T239">_xlfn.IFS(O239='Risk Matrices'!$D$28,'Risk Matrices'!$D$29,O239='Risk Matrices'!$E$28,'Risk Matrices'!$E$29,O239='Risk Matrices'!$F$28,'Risk Matrices'!$F$29,O239='Risk Matrices'!$G$28,'Risk Matrices'!$G$29,O239='Risk Matrices'!$H$28,'Risk Matrices'!$H$29)</f>
        <v>3</v>
      </c>
      <c r="U239" s="106">
        <f t="shared" si="192"/>
        <v>3</v>
      </c>
      <c r="V239" s="106">
        <f t="shared" si="208"/>
        <v>1</v>
      </c>
      <c r="W239" s="106">
        <f t="shared" si="193"/>
        <v>3</v>
      </c>
      <c r="X239" s="195">
        <f t="shared" si="194"/>
        <v>12</v>
      </c>
      <c r="Y239" s="107" t="str">
        <f t="shared" si="187"/>
        <v>Moderate</v>
      </c>
      <c r="Z239" s="121" t="s">
        <v>1602</v>
      </c>
      <c r="AA239" s="108">
        <f t="shared" si="195"/>
        <v>0.52</v>
      </c>
      <c r="AB239" s="196">
        <f t="shared" si="196"/>
        <v>2600</v>
      </c>
      <c r="AC239" s="137" t="s">
        <v>155</v>
      </c>
      <c r="AD239" s="339" t="s">
        <v>1603</v>
      </c>
      <c r="AE239" s="339"/>
      <c r="AF239" s="101" t="s">
        <v>628</v>
      </c>
      <c r="AG239" s="101" t="s">
        <v>1604</v>
      </c>
      <c r="AH239" s="102" t="s">
        <v>175</v>
      </c>
      <c r="AI239" s="198">
        <v>0.4</v>
      </c>
      <c r="AJ239" s="199">
        <v>5000</v>
      </c>
      <c r="AK239" s="199">
        <v>5000</v>
      </c>
      <c r="AL239" s="199">
        <v>5000</v>
      </c>
      <c r="AM239" s="200">
        <v>0</v>
      </c>
      <c r="AN239" s="200">
        <f t="shared" ref="AN239:AN244" si="211">+P239</f>
        <v>12</v>
      </c>
      <c r="AO239" s="200">
        <v>12</v>
      </c>
      <c r="AP239" s="112" t="str">
        <f>IF(OR(ISBLANK(AI239),AI239=0),"INSERT LIKELIHOOD",IF(ABS(AI239)&lt;='Risk Matrices'!$D$22,'Risk Matrices'!$C$21,IF(ABS(AI239)&lt;='Risk Matrices'!$D$19,'Risk Matrices'!$C$18,IF(ABS(AI239)&lt;='Risk Matrices'!$D$16,'Risk Matrices'!$C$15,IF(ABS(AI239)&lt;='Risk Matrices'!$D$13,'Risk Matrices'!$C$12,'Risk Matrices'!$C$10)))))</f>
        <v>Moderate</v>
      </c>
      <c r="AQ239" s="112" t="str">
        <f>IF(OR(ISBLANK(AK239),AK239=0),"None",IF(ABS(AK239)&lt;='Risk Matrices'!$E$7,'Risk Matrices'!$E$5,IF(ABS(AK239)&lt;='Risk Matrices'!$G$7,'Risk Matrices'!$G$5,IF(ABS(AK239)&lt;='Risk Matrices'!$H$7,'Risk Matrices'!$H$5,'Risk Matrices'!$I$5))))</f>
        <v>Significant</v>
      </c>
      <c r="AR239" s="112" t="str">
        <f>IF(AN239="","",IF(ABS(AN239)&lt;='Risk Matrices'!$E$8,"Negligible",IF(ABS(AN239)&lt;='Risk Matrices'!$F$8,"Marginal",IF(ABS(AN239)&lt;='Risk Matrices'!$G$8,"Significant",IF(ABS(AN239)&lt;='Risk Matrices'!$H$8,"Critical","Crisis")))))</f>
        <v>Significant</v>
      </c>
      <c r="AS239" s="102" t="s">
        <v>130</v>
      </c>
      <c r="AT239" s="298">
        <f>IF(OR(ISBLANK(AI239),AI239=0),0,VLOOKUP(AP239,'Risk Matrices'!$B$30:$C$34,2,0))</f>
        <v>3</v>
      </c>
      <c r="AU239" s="298">
        <f>IF(OR(ISBLANK(AK239),AK239=0),0,HLOOKUP(AQ239,'Risk Matrices'!$D$28:$H$29,2,0))</f>
        <v>3</v>
      </c>
      <c r="AV239" s="298">
        <f>IF(OR(ISBLANK(AR239),AR239=0),0,HLOOKUP(AR239,'Risk Matrices'!$D$28:$H$29,2,0))</f>
        <v>3</v>
      </c>
      <c r="AW239" s="298">
        <f>IF(AS239="None",0,HLOOKUP(AS239,'Risk Matrices'!$D$28:$H$29,2,0))</f>
        <v>0</v>
      </c>
      <c r="AX239" s="106">
        <f t="shared" si="197"/>
        <v>3</v>
      </c>
      <c r="AY239" s="106">
        <f t="shared" si="198"/>
        <v>9</v>
      </c>
      <c r="AZ239" s="107" t="str">
        <f>IF(B239="Retired","Retired",IF(OR(ISBLANK(AY239),AY239=0),"TBD",IF(AY239&lt;='Risk Matrices'!$D$40,'Risk Matrices'!$B$40,IF(AY239&lt;='Risk Matrices'!$D$39,'Risk Matrices'!$B$39,'Risk Matrices'!$B$38))))</f>
        <v>Moderate</v>
      </c>
      <c r="BA239" s="104"/>
      <c r="BB239" s="197" t="s">
        <v>1605</v>
      </c>
      <c r="BC239" s="109">
        <f t="shared" si="199"/>
        <v>2000</v>
      </c>
      <c r="BD239" s="116">
        <v>45300</v>
      </c>
      <c r="BE239" s="104"/>
      <c r="BF239" s="104"/>
      <c r="BG239" s="104"/>
      <c r="BH239" s="104"/>
      <c r="BI239" s="104"/>
      <c r="BJ239" s="874">
        <f t="shared" si="204"/>
        <v>2000</v>
      </c>
      <c r="BK239" s="101"/>
      <c r="BL239" s="101"/>
      <c r="BM239" s="116">
        <v>44377</v>
      </c>
      <c r="BN239" s="330">
        <v>44466</v>
      </c>
      <c r="BO239" s="332"/>
      <c r="BP239" s="94">
        <f t="shared" si="209"/>
        <v>2000</v>
      </c>
      <c r="BQ239" s="97" t="str">
        <f t="shared" si="200"/>
        <v>5000 - 5000 - 5000</v>
      </c>
      <c r="BR239" s="97" t="str">
        <f t="shared" si="201"/>
        <v>0 - 12 - 12</v>
      </c>
      <c r="BS239" s="715">
        <f t="shared" si="206"/>
        <v>2000</v>
      </c>
      <c r="BT239" s="736">
        <f t="shared" si="202"/>
        <v>3.2000000000000006</v>
      </c>
      <c r="BU239" s="735" t="s">
        <v>1606</v>
      </c>
      <c r="BV239" s="873">
        <v>45382</v>
      </c>
      <c r="BW239">
        <f t="shared" si="210"/>
        <v>916</v>
      </c>
    </row>
    <row r="240" spans="2:75" customFormat="1" ht="255" hidden="1" x14ac:dyDescent="0.2">
      <c r="B240" s="101" t="str">
        <f t="shared" si="205"/>
        <v>Active</v>
      </c>
      <c r="C240" s="785" t="s">
        <v>1607</v>
      </c>
      <c r="D240" s="101" t="s">
        <v>151</v>
      </c>
      <c r="E240" s="171" t="s">
        <v>1592</v>
      </c>
      <c r="F240" s="101" t="s">
        <v>124</v>
      </c>
      <c r="G240" s="101" t="s">
        <v>1125</v>
      </c>
      <c r="H240" s="101" t="str">
        <f t="shared" si="207"/>
        <v>RT-6-011-002</v>
      </c>
      <c r="I240" s="106" t="s">
        <v>1125</v>
      </c>
      <c r="J240" s="101" t="s">
        <v>497</v>
      </c>
      <c r="K240" s="101" t="s">
        <v>1608</v>
      </c>
      <c r="L240" s="812" t="s">
        <v>1609</v>
      </c>
      <c r="M240" s="103" t="s">
        <v>141</v>
      </c>
      <c r="N240" s="105">
        <v>13900</v>
      </c>
      <c r="O240" s="106" t="str" cm="1">
        <f t="array" ref="O240">_xlfn.IFS(N240="","",ABS(N240)&lt;='Risk Matrices'!$E$7,'Risk Matrices'!$E$5,ABS(N240)&lt;='Risk Matrices'!$F$7,'Risk Matrices'!$F$5,ABS(N240)&lt;='Risk Matrices'!$G$7,'Risk Matrices'!$G$5,ABS(N240)&lt;='Risk Matrices'!$H$7,'Risk Matrices'!$H$5,ABS(N240)&gt;'Risk Matrices'!$H$7,'Risk Matrices'!$I$5)</f>
        <v>Critical</v>
      </c>
      <c r="P240" s="101">
        <v>12</v>
      </c>
      <c r="Q240" s="101" t="str" cm="1">
        <f t="array" ref="Q240">_xlfn.IFS(P240="","",ABS(P240)&lt;='Risk Matrices'!$E$8,'Risk Matrices'!$E$5,ABS(P240)&lt;='Risk Matrices'!$F$8,'Risk Matrices'!$F$5,ABS(P240)&lt;='Risk Matrices'!$G$8,'Risk Matrices'!$G$5,ABS(P240)&lt;='Risk Matrices'!$H$8,'Risk Matrices'!$H$5,ABS(P240)&gt;'Risk Matrices'!$H$8,'Risk Matrices'!$I$5)</f>
        <v>Significant</v>
      </c>
      <c r="R240" s="104" t="s">
        <v>280</v>
      </c>
      <c r="S240" s="106">
        <f t="shared" si="203"/>
        <v>3</v>
      </c>
      <c r="T240" s="106" cm="1">
        <f t="array" ref="T240">_xlfn.IFS(O240='Risk Matrices'!$D$28,'Risk Matrices'!$D$29,O240='Risk Matrices'!$E$28,'Risk Matrices'!$E$29,O240='Risk Matrices'!$F$28,'Risk Matrices'!$F$29,O240='Risk Matrices'!$G$28,'Risk Matrices'!$G$29,O240='Risk Matrices'!$H$28,'Risk Matrices'!$H$29)</f>
        <v>4</v>
      </c>
      <c r="U240" s="106">
        <f t="shared" si="192"/>
        <v>3</v>
      </c>
      <c r="V240" s="106">
        <f t="shared" si="208"/>
        <v>2</v>
      </c>
      <c r="W240" s="106">
        <f t="shared" si="193"/>
        <v>4</v>
      </c>
      <c r="X240" s="201">
        <f t="shared" si="194"/>
        <v>12</v>
      </c>
      <c r="Y240" s="107" t="str">
        <f t="shared" si="187"/>
        <v>Moderate</v>
      </c>
      <c r="Z240" s="104" t="s">
        <v>1610</v>
      </c>
      <c r="AA240" s="108">
        <f t="shared" si="195"/>
        <v>0.32</v>
      </c>
      <c r="AB240" s="202">
        <f t="shared" si="196"/>
        <v>4448</v>
      </c>
      <c r="AC240" s="109" t="s">
        <v>155</v>
      </c>
      <c r="AD240" s="351" t="s">
        <v>1611</v>
      </c>
      <c r="AE240" s="351"/>
      <c r="AF240" s="101" t="s">
        <v>134</v>
      </c>
      <c r="AG240" s="749" t="s">
        <v>1612</v>
      </c>
      <c r="AH240" s="119" t="s">
        <v>1613</v>
      </c>
      <c r="AI240" s="198">
        <v>0.25</v>
      </c>
      <c r="AJ240" s="199">
        <f>+AK240</f>
        <v>13900</v>
      </c>
      <c r="AK240" s="199">
        <f>+N240</f>
        <v>13900</v>
      </c>
      <c r="AL240" s="199">
        <f>+AK240</f>
        <v>13900</v>
      </c>
      <c r="AM240" s="200">
        <v>2</v>
      </c>
      <c r="AN240" s="200">
        <f t="shared" si="211"/>
        <v>12</v>
      </c>
      <c r="AO240" s="200">
        <f>+AN240</f>
        <v>12</v>
      </c>
      <c r="AP240" s="112" t="str">
        <f>IF(OR(ISBLANK(AI240),AI240=0),"INSERT LIKELIHOOD",IF(ABS(AI240)&lt;='Risk Matrices'!$D$22,'Risk Matrices'!$C$21,IF(ABS(AI240)&lt;='Risk Matrices'!$D$19,'Risk Matrices'!$C$18,IF(ABS(AI240)&lt;='Risk Matrices'!$D$16,'Risk Matrices'!$C$15,IF(ABS(AI240)&lt;='Risk Matrices'!$D$13,'Risk Matrices'!$C$12,'Risk Matrices'!$C$10)))))</f>
        <v>Low</v>
      </c>
      <c r="AQ240" s="112" t="str">
        <f>IF(OR(ISBLANK(AK240),AK240=0),"None",IF(ABS(AK240)&lt;='Risk Matrices'!$E$7,'Risk Matrices'!$E$5,IF(ABS(AK240)&lt;='Risk Matrices'!$G$7,'Risk Matrices'!$G$5,IF(ABS(AK240)&lt;='Risk Matrices'!$H$7,'Risk Matrices'!$H$5,'Risk Matrices'!$I$5))))</f>
        <v>Critical</v>
      </c>
      <c r="AR240" s="112" t="str">
        <f>IF(AN240="","",IF(ABS(AN240)&lt;='Risk Matrices'!$E$8,"Negligible",IF(ABS(AN240)&lt;='Risk Matrices'!$F$8,"Marginal",IF(ABS(AN240)&lt;='Risk Matrices'!$G$8,"Significant",IF(ABS(AN240)&lt;='Risk Matrices'!$H$8,"Critical","Crisis")))))</f>
        <v>Significant</v>
      </c>
      <c r="AS240" s="102" t="s">
        <v>130</v>
      </c>
      <c r="AT240" s="298">
        <f>IF(OR(ISBLANK(AI240),AI240=0),0,VLOOKUP(AP240,'Risk Matrices'!$B$30:$C$34,2,0))</f>
        <v>2</v>
      </c>
      <c r="AU240" s="298">
        <f>IF(OR(ISBLANK(AK240),AK240=0),0,HLOOKUP(AQ240,'Risk Matrices'!$D$28:$H$29,2,0))</f>
        <v>4</v>
      </c>
      <c r="AV240" s="298">
        <f>IF(OR(ISBLANK(AR240),AR240=0),0,HLOOKUP(AR240,'Risk Matrices'!$D$28:$H$29,2,0))</f>
        <v>3</v>
      </c>
      <c r="AW240" s="298">
        <f>IF(AS240="None",0,HLOOKUP(AS240,'Risk Matrices'!$D$28:$H$29,2,0))</f>
        <v>0</v>
      </c>
      <c r="AX240" s="106">
        <f t="shared" si="197"/>
        <v>4</v>
      </c>
      <c r="AY240" s="106">
        <f t="shared" si="198"/>
        <v>8</v>
      </c>
      <c r="AZ240" s="107" t="str">
        <f>IF(B240="Retired","Retired",IF(OR(ISBLANK(AY240),AY240=0),"TBD",IF(AY240&lt;='Risk Matrices'!$D$40,'Risk Matrices'!$B$40,IF(AY240&lt;='Risk Matrices'!$D$39,'Risk Matrices'!$B$39,'Risk Matrices'!$B$38))))</f>
        <v>Moderate</v>
      </c>
      <c r="BA240" s="104"/>
      <c r="BB240" s="197" t="s">
        <v>1614</v>
      </c>
      <c r="BC240" s="109">
        <f t="shared" si="199"/>
        <v>3475</v>
      </c>
      <c r="BD240" s="116">
        <v>45300</v>
      </c>
      <c r="BE240" s="104"/>
      <c r="BF240" s="104"/>
      <c r="BG240" s="104"/>
      <c r="BH240" s="104"/>
      <c r="BI240" s="104"/>
      <c r="BJ240" s="874">
        <f t="shared" si="204"/>
        <v>3475</v>
      </c>
      <c r="BK240" s="101"/>
      <c r="BL240" s="101"/>
      <c r="BM240" s="116">
        <v>44377</v>
      </c>
      <c r="BN240" s="330">
        <v>44466</v>
      </c>
      <c r="BO240" s="332"/>
      <c r="BP240" s="94">
        <f t="shared" si="209"/>
        <v>3475</v>
      </c>
      <c r="BQ240" s="97" t="str">
        <f t="shared" si="200"/>
        <v>13900 - 13900 - 13900</v>
      </c>
      <c r="BR240" s="97" t="str">
        <f t="shared" si="201"/>
        <v>2 - 12 - 12</v>
      </c>
      <c r="BS240" s="715">
        <f t="shared" si="206"/>
        <v>3475</v>
      </c>
      <c r="BT240" s="736">
        <f t="shared" si="202"/>
        <v>2.1666666666666665</v>
      </c>
      <c r="BU240" s="735" t="s">
        <v>1615</v>
      </c>
      <c r="BV240" s="873">
        <v>45382</v>
      </c>
      <c r="BW240">
        <f t="shared" si="210"/>
        <v>916</v>
      </c>
    </row>
    <row r="241" spans="2:75" customFormat="1" ht="150" hidden="1" x14ac:dyDescent="0.2">
      <c r="B241" s="101" t="str">
        <f t="shared" si="205"/>
        <v>Active</v>
      </c>
      <c r="C241" s="785" t="s">
        <v>1616</v>
      </c>
      <c r="D241" s="101" t="s">
        <v>151</v>
      </c>
      <c r="E241" s="171" t="s">
        <v>1592</v>
      </c>
      <c r="F241" s="101" t="s">
        <v>124</v>
      </c>
      <c r="G241" s="101" t="s">
        <v>1125</v>
      </c>
      <c r="H241" s="101" t="str">
        <f t="shared" si="207"/>
        <v>RT-6-011-003</v>
      </c>
      <c r="I241" s="106" t="s">
        <v>1125</v>
      </c>
      <c r="J241" s="101" t="s">
        <v>497</v>
      </c>
      <c r="K241" s="101" t="s">
        <v>1617</v>
      </c>
      <c r="L241" s="812" t="s">
        <v>1618</v>
      </c>
      <c r="M241" s="103" t="s">
        <v>141</v>
      </c>
      <c r="N241" s="105">
        <v>13900</v>
      </c>
      <c r="O241" s="106" t="str" cm="1">
        <f t="array" ref="O241">_xlfn.IFS(N241="","",ABS(N241)&lt;='Risk Matrices'!$E$7,'Risk Matrices'!$E$5,ABS(N241)&lt;='Risk Matrices'!$F$7,'Risk Matrices'!$F$5,ABS(N241)&lt;='Risk Matrices'!$G$7,'Risk Matrices'!$G$5,ABS(N241)&lt;='Risk Matrices'!$H$7,'Risk Matrices'!$H$5,ABS(N241)&gt;'Risk Matrices'!$H$7,'Risk Matrices'!$I$5)</f>
        <v>Critical</v>
      </c>
      <c r="P241" s="101">
        <v>12</v>
      </c>
      <c r="Q241" s="101" t="str" cm="1">
        <f t="array" ref="Q241">_xlfn.IFS(P241="","",ABS(P241)&lt;='Risk Matrices'!$E$8,'Risk Matrices'!$E$5,ABS(P241)&lt;='Risk Matrices'!$F$8,'Risk Matrices'!$F$5,ABS(P241)&lt;='Risk Matrices'!$G$8,'Risk Matrices'!$G$5,ABS(P241)&lt;='Risk Matrices'!$H$8,'Risk Matrices'!$H$5,ABS(P241)&gt;'Risk Matrices'!$H$8,'Risk Matrices'!$I$5)</f>
        <v>Significant</v>
      </c>
      <c r="R241" s="104" t="s">
        <v>280</v>
      </c>
      <c r="S241" s="106">
        <f t="shared" si="203"/>
        <v>3</v>
      </c>
      <c r="T241" s="106" cm="1">
        <f t="array" ref="T241">_xlfn.IFS(O241='Risk Matrices'!$D$28,'Risk Matrices'!$D$29,O241='Risk Matrices'!$E$28,'Risk Matrices'!$E$29,O241='Risk Matrices'!$F$28,'Risk Matrices'!$F$29,O241='Risk Matrices'!$G$28,'Risk Matrices'!$G$29,O241='Risk Matrices'!$H$28,'Risk Matrices'!$H$29)</f>
        <v>4</v>
      </c>
      <c r="U241" s="106">
        <f t="shared" si="192"/>
        <v>3</v>
      </c>
      <c r="V241" s="106">
        <f t="shared" si="208"/>
        <v>2</v>
      </c>
      <c r="W241" s="106">
        <f t="shared" si="193"/>
        <v>4</v>
      </c>
      <c r="X241" s="201">
        <f t="shared" si="194"/>
        <v>12</v>
      </c>
      <c r="Y241" s="107" t="str">
        <f t="shared" si="187"/>
        <v>Moderate</v>
      </c>
      <c r="Z241" s="104" t="s">
        <v>1619</v>
      </c>
      <c r="AA241" s="108">
        <f t="shared" si="195"/>
        <v>0.32</v>
      </c>
      <c r="AB241" s="202">
        <f t="shared" si="196"/>
        <v>4448</v>
      </c>
      <c r="AC241" s="109" t="s">
        <v>155</v>
      </c>
      <c r="AD241" s="351" t="s">
        <v>1611</v>
      </c>
      <c r="AE241" s="351"/>
      <c r="AF241" s="101" t="s">
        <v>134</v>
      </c>
      <c r="AG241" s="101"/>
      <c r="AH241" s="981" t="s">
        <v>1620</v>
      </c>
      <c r="AI241" s="198">
        <v>0.25</v>
      </c>
      <c r="AJ241" s="199">
        <f>+AK241</f>
        <v>13900</v>
      </c>
      <c r="AK241" s="199">
        <f>+N241</f>
        <v>13900</v>
      </c>
      <c r="AL241" s="199">
        <f>+AK241</f>
        <v>13900</v>
      </c>
      <c r="AM241" s="200">
        <v>2</v>
      </c>
      <c r="AN241" s="200">
        <f t="shared" si="211"/>
        <v>12</v>
      </c>
      <c r="AO241" s="200">
        <f>+AN241</f>
        <v>12</v>
      </c>
      <c r="AP241" s="112" t="str">
        <f>IF(OR(ISBLANK(AI241),AI241=0),"INSERT LIKELIHOOD",IF(ABS(AI241)&lt;='Risk Matrices'!$D$22,'Risk Matrices'!$C$21,IF(ABS(AI241)&lt;='Risk Matrices'!$D$19,'Risk Matrices'!$C$18,IF(ABS(AI241)&lt;='Risk Matrices'!$D$16,'Risk Matrices'!$C$15,IF(ABS(AI241)&lt;='Risk Matrices'!$D$13,'Risk Matrices'!$C$12,'Risk Matrices'!$C$10)))))</f>
        <v>Low</v>
      </c>
      <c r="AQ241" s="112" t="str">
        <f>IF(OR(ISBLANK(AK241),AK241=0),"None",IF(ABS(AK241)&lt;='Risk Matrices'!$E$7,'Risk Matrices'!$E$5,IF(ABS(AK241)&lt;='Risk Matrices'!$G$7,'Risk Matrices'!$G$5,IF(ABS(AK241)&lt;='Risk Matrices'!$H$7,'Risk Matrices'!$H$5,'Risk Matrices'!$I$5))))</f>
        <v>Critical</v>
      </c>
      <c r="AR241" s="112" t="str">
        <f>IF(AN241="","",IF(ABS(AN241)&lt;='Risk Matrices'!$E$8,"Negligible",IF(ABS(AN241)&lt;='Risk Matrices'!$F$8,"Marginal",IF(ABS(AN241)&lt;='Risk Matrices'!$G$8,"Significant",IF(ABS(AN241)&lt;='Risk Matrices'!$H$8,"Critical","Crisis")))))</f>
        <v>Significant</v>
      </c>
      <c r="AS241" s="102" t="s">
        <v>307</v>
      </c>
      <c r="AT241" s="298">
        <f>IF(OR(ISBLANK(AI241),AI241=0),0,VLOOKUP(AP241,'Risk Matrices'!$B$30:$C$34,2,0))</f>
        <v>2</v>
      </c>
      <c r="AU241" s="298">
        <f>IF(OR(ISBLANK(AK241),AK241=0),0,HLOOKUP(AQ241,'Risk Matrices'!$D$28:$H$29,2,0))</f>
        <v>4</v>
      </c>
      <c r="AV241" s="298">
        <f>IF(OR(ISBLANK(AR241),AR241=0),0,HLOOKUP(AR241,'Risk Matrices'!$D$28:$H$29,2,0))</f>
        <v>3</v>
      </c>
      <c r="AW241" s="298">
        <f>IF(OR(ISBLANK(AS241),AS241=0),0,HLOOKUP(AS241,'Risk Matrices'!$D$28:$H$29,2,0))</f>
        <v>3</v>
      </c>
      <c r="AX241" s="106">
        <f t="shared" si="197"/>
        <v>4</v>
      </c>
      <c r="AY241" s="106">
        <f t="shared" si="198"/>
        <v>8</v>
      </c>
      <c r="AZ241" s="107" t="str">
        <f>IF(B241="Retired","Retired",IF(OR(ISBLANK(AY241),AY241=0),"TBD",IF(AY241&lt;='Risk Matrices'!$D$40,'Risk Matrices'!$B$40,IF(AY241&lt;='Risk Matrices'!$D$39,'Risk Matrices'!$B$39,'Risk Matrices'!$B$38))))</f>
        <v>Moderate</v>
      </c>
      <c r="BA241" s="104"/>
      <c r="BB241" s="197" t="s">
        <v>1614</v>
      </c>
      <c r="BC241" s="109">
        <f t="shared" si="199"/>
        <v>3475</v>
      </c>
      <c r="BD241" s="116">
        <v>45300</v>
      </c>
      <c r="BE241" s="104"/>
      <c r="BF241" s="104"/>
      <c r="BG241" s="104"/>
      <c r="BH241" s="104"/>
      <c r="BI241" s="104"/>
      <c r="BJ241" s="874">
        <f t="shared" si="204"/>
        <v>3475</v>
      </c>
      <c r="BK241" s="101"/>
      <c r="BL241" s="101"/>
      <c r="BM241" s="116">
        <v>44377</v>
      </c>
      <c r="BN241" s="330">
        <v>44466</v>
      </c>
      <c r="BO241" s="332"/>
      <c r="BP241" s="94">
        <f t="shared" si="209"/>
        <v>3475</v>
      </c>
      <c r="BQ241" s="97" t="str">
        <f t="shared" si="200"/>
        <v>13900 - 13900 - 13900</v>
      </c>
      <c r="BR241" s="97" t="str">
        <f t="shared" si="201"/>
        <v>2 - 12 - 12</v>
      </c>
      <c r="BS241" s="715">
        <f t="shared" si="206"/>
        <v>3475</v>
      </c>
      <c r="BT241" s="736">
        <f t="shared" si="202"/>
        <v>2.1666666666666665</v>
      </c>
      <c r="BU241" s="735" t="s">
        <v>1621</v>
      </c>
      <c r="BV241" s="873">
        <v>45382</v>
      </c>
      <c r="BW241">
        <f t="shared" si="210"/>
        <v>916</v>
      </c>
    </row>
    <row r="242" spans="2:75" customFormat="1" ht="90" hidden="1" x14ac:dyDescent="0.2">
      <c r="B242" s="101" t="str">
        <f t="shared" si="205"/>
        <v>Active</v>
      </c>
      <c r="C242" s="785" t="s">
        <v>1622</v>
      </c>
      <c r="D242" s="101" t="s">
        <v>151</v>
      </c>
      <c r="E242" s="171" t="s">
        <v>1592</v>
      </c>
      <c r="F242" s="101" t="s">
        <v>124</v>
      </c>
      <c r="G242" s="101" t="s">
        <v>1125</v>
      </c>
      <c r="H242" s="101" t="str">
        <f t="shared" si="207"/>
        <v>RT-6-011-004</v>
      </c>
      <c r="I242" s="106" t="s">
        <v>1125</v>
      </c>
      <c r="J242" s="101" t="s">
        <v>497</v>
      </c>
      <c r="K242" s="101" t="s">
        <v>1623</v>
      </c>
      <c r="L242" s="812" t="s">
        <v>1624</v>
      </c>
      <c r="M242" s="104" t="s">
        <v>129</v>
      </c>
      <c r="N242" s="105">
        <v>2000</v>
      </c>
      <c r="O242" s="106" t="str" cm="1">
        <f t="array" ref="O242">_xlfn.IFS(N242="","",ABS(N242)&lt;='Risk Matrices'!$E$7,'Risk Matrices'!$E$5,ABS(N242)&lt;='Risk Matrices'!$F$7,'Risk Matrices'!$F$5,ABS(N242)&lt;='Risk Matrices'!$G$7,'Risk Matrices'!$G$5,ABS(N242)&lt;='Risk Matrices'!$H$7,'Risk Matrices'!$H$5,ABS(N242)&gt;'Risk Matrices'!$H$7,'Risk Matrices'!$I$5)</f>
        <v>Significant</v>
      </c>
      <c r="P242" s="101">
        <v>12</v>
      </c>
      <c r="Q242" s="101" t="str" cm="1">
        <f t="array" ref="Q242">_xlfn.IFS(P242="","",ABS(P242)&lt;='Risk Matrices'!$E$8,'Risk Matrices'!$E$5,ABS(P242)&lt;='Risk Matrices'!$F$8,'Risk Matrices'!$F$5,ABS(P242)&lt;='Risk Matrices'!$G$8,'Risk Matrices'!$G$5,ABS(P242)&lt;='Risk Matrices'!$H$8,'Risk Matrices'!$H$5,ABS(P242)&gt;'Risk Matrices'!$H$8,'Risk Matrices'!$I$5)</f>
        <v>Significant</v>
      </c>
      <c r="R242" s="104" t="s">
        <v>280</v>
      </c>
      <c r="S242" s="106">
        <f t="shared" si="203"/>
        <v>4</v>
      </c>
      <c r="T242" s="106" cm="1">
        <f t="array" ref="T242">_xlfn.IFS(O242='Risk Matrices'!$D$28,'Risk Matrices'!$D$29,O242='Risk Matrices'!$E$28,'Risk Matrices'!$E$29,O242='Risk Matrices'!$F$28,'Risk Matrices'!$F$29,O242='Risk Matrices'!$G$28,'Risk Matrices'!$G$29,O242='Risk Matrices'!$H$28,'Risk Matrices'!$H$29)</f>
        <v>3</v>
      </c>
      <c r="U242" s="106">
        <f t="shared" si="192"/>
        <v>3</v>
      </c>
      <c r="V242" s="106">
        <f t="shared" si="208"/>
        <v>2</v>
      </c>
      <c r="W242" s="106">
        <f t="shared" si="193"/>
        <v>3</v>
      </c>
      <c r="X242" s="201">
        <f t="shared" si="194"/>
        <v>12</v>
      </c>
      <c r="Y242" s="107" t="str">
        <f t="shared" si="187"/>
        <v>Moderate</v>
      </c>
      <c r="Z242" s="104" t="s">
        <v>1602</v>
      </c>
      <c r="AA242" s="108">
        <f t="shared" si="195"/>
        <v>0.52</v>
      </c>
      <c r="AB242" s="202">
        <f t="shared" si="196"/>
        <v>1040</v>
      </c>
      <c r="AC242" s="109" t="s">
        <v>155</v>
      </c>
      <c r="AD242" s="146" t="s">
        <v>1625</v>
      </c>
      <c r="AE242" s="146"/>
      <c r="AF242" s="101" t="s">
        <v>167</v>
      </c>
      <c r="AG242" s="101"/>
      <c r="AH242" s="750" t="s">
        <v>1626</v>
      </c>
      <c r="AI242" s="198">
        <v>0.5</v>
      </c>
      <c r="AJ242" s="199">
        <v>1500</v>
      </c>
      <c r="AK242" s="199">
        <f>+N242</f>
        <v>2000</v>
      </c>
      <c r="AL242" s="199">
        <f>+AK242</f>
        <v>2000</v>
      </c>
      <c r="AM242" s="200">
        <v>0</v>
      </c>
      <c r="AN242" s="200">
        <f t="shared" si="211"/>
        <v>12</v>
      </c>
      <c r="AO242" s="200">
        <v>12</v>
      </c>
      <c r="AP242" s="112" t="str">
        <f>IF(OR(ISBLANK(AI242),AI242=0),"INSERT LIKELIHOOD",IF(ABS(AI242)&lt;='Risk Matrices'!$D$22,'Risk Matrices'!$C$21,IF(ABS(AI242)&lt;='Risk Matrices'!$D$19,'Risk Matrices'!$C$18,IF(ABS(AI242)&lt;='Risk Matrices'!$D$16,'Risk Matrices'!$C$15,IF(ABS(AI242)&lt;='Risk Matrices'!$D$13,'Risk Matrices'!$C$12,'Risk Matrices'!$C$10)))))</f>
        <v>High</v>
      </c>
      <c r="AQ242" s="112" t="str">
        <f>IF(OR(ISBLANK(AK242),AK242=0),"None",IF(ABS(AK242)&lt;='Risk Matrices'!$E$7,'Risk Matrices'!$E$5,IF(ABS(AK242)&lt;='Risk Matrices'!$G$7,'Risk Matrices'!$G$5,IF(ABS(AK242)&lt;='Risk Matrices'!$H$7,'Risk Matrices'!$H$5,'Risk Matrices'!$I$5))))</f>
        <v>Significant</v>
      </c>
      <c r="AR242" s="112" t="str">
        <f>IF(AN242="","",IF(ABS(AN242)&lt;='Risk Matrices'!$E$8,"Negligible",IF(ABS(AN242)&lt;='Risk Matrices'!$F$8,"Marginal",IF(ABS(AN242)&lt;='Risk Matrices'!$G$8,"Significant",IF(ABS(AN242)&lt;='Risk Matrices'!$H$8,"Critical","Crisis")))))</f>
        <v>Significant</v>
      </c>
      <c r="AS242" s="102" t="s">
        <v>130</v>
      </c>
      <c r="AT242" s="298">
        <f>IF(OR(ISBLANK(AI242),AI242=0),0,VLOOKUP(AP242,'Risk Matrices'!$B$30:$C$34,2,0))</f>
        <v>4</v>
      </c>
      <c r="AU242" s="298">
        <f>IF(OR(ISBLANK(AK242),AK242=0),0,HLOOKUP(AQ242,'Risk Matrices'!$D$28:$H$29,2,0))</f>
        <v>3</v>
      </c>
      <c r="AV242" s="298">
        <f>IF(OR(ISBLANK(AR242),AR242=0),0,HLOOKUP(AR242,'Risk Matrices'!$D$28:$H$29,2,0))</f>
        <v>3</v>
      </c>
      <c r="AW242" s="298">
        <f>IF(AS242="None",0,HLOOKUP(AS242,'Risk Matrices'!$D$28:$H$29,2,0))</f>
        <v>0</v>
      </c>
      <c r="AX242" s="106">
        <f t="shared" si="197"/>
        <v>3</v>
      </c>
      <c r="AY242" s="106">
        <f t="shared" si="198"/>
        <v>12</v>
      </c>
      <c r="AZ242" s="107" t="str">
        <f>IF(B242="Retired","Retired",IF(OR(ISBLANK(AY242),AY242=0),"TBD",IF(AY242&lt;='Risk Matrices'!$D$40,'Risk Matrices'!$B$40,IF(AY242&lt;='Risk Matrices'!$D$39,'Risk Matrices'!$B$39,'Risk Matrices'!$B$38))))</f>
        <v>Moderate</v>
      </c>
      <c r="BA242" s="104"/>
      <c r="BB242" s="203" t="s">
        <v>1627</v>
      </c>
      <c r="BC242" s="109">
        <f t="shared" si="199"/>
        <v>1000</v>
      </c>
      <c r="BD242" s="116">
        <v>45300</v>
      </c>
      <c r="BE242" s="104"/>
      <c r="BF242" s="104"/>
      <c r="BG242" s="104"/>
      <c r="BH242" s="104"/>
      <c r="BI242" s="104"/>
      <c r="BJ242" s="874">
        <f t="shared" si="204"/>
        <v>916.66666666666663</v>
      </c>
      <c r="BK242" s="101"/>
      <c r="BL242" s="101"/>
      <c r="BM242" s="116">
        <v>44377</v>
      </c>
      <c r="BN242" s="330">
        <v>44466</v>
      </c>
      <c r="BO242" s="332"/>
      <c r="BP242" s="94">
        <f t="shared" si="209"/>
        <v>958.33333333333337</v>
      </c>
      <c r="BQ242" s="97" t="str">
        <f t="shared" si="200"/>
        <v>1500 - 2000 - 2000</v>
      </c>
      <c r="BR242" s="97" t="str">
        <f t="shared" si="201"/>
        <v>0 - 12 - 12</v>
      </c>
      <c r="BS242" s="715">
        <f t="shared" si="206"/>
        <v>916.66666666666663</v>
      </c>
      <c r="BT242" s="736">
        <f t="shared" si="202"/>
        <v>4</v>
      </c>
      <c r="BU242" s="735" t="s">
        <v>1628</v>
      </c>
      <c r="BV242" s="873">
        <v>45382</v>
      </c>
      <c r="BW242">
        <f t="shared" si="210"/>
        <v>916</v>
      </c>
    </row>
    <row r="243" spans="2:75" customFormat="1" ht="90" hidden="1" x14ac:dyDescent="0.2">
      <c r="B243" s="101" t="str">
        <f t="shared" si="205"/>
        <v>Active</v>
      </c>
      <c r="C243" s="785" t="s">
        <v>1629</v>
      </c>
      <c r="D243" s="101" t="s">
        <v>151</v>
      </c>
      <c r="E243" s="171" t="s">
        <v>1592</v>
      </c>
      <c r="F243" s="101" t="s">
        <v>124</v>
      </c>
      <c r="G243" s="126" t="s">
        <v>1125</v>
      </c>
      <c r="H243" s="101" t="str">
        <f t="shared" si="207"/>
        <v>RT-6-011-005</v>
      </c>
      <c r="I243" s="106" t="s">
        <v>1125</v>
      </c>
      <c r="J243" s="101" t="s">
        <v>497</v>
      </c>
      <c r="K243" s="101" t="s">
        <v>1630</v>
      </c>
      <c r="L243" s="812" t="s">
        <v>1631</v>
      </c>
      <c r="M243" s="121" t="s">
        <v>129</v>
      </c>
      <c r="N243" s="134">
        <v>4000</v>
      </c>
      <c r="O243" s="106" t="str" cm="1">
        <f t="array" ref="O243">_xlfn.IFS(N243="","",ABS(N243)&lt;='Risk Matrices'!$E$7,'Risk Matrices'!$E$5,ABS(N243)&lt;='Risk Matrices'!$F$7,'Risk Matrices'!$F$5,ABS(N243)&lt;='Risk Matrices'!$G$7,'Risk Matrices'!$G$5,ABS(N243)&lt;='Risk Matrices'!$H$7,'Risk Matrices'!$H$5,ABS(N243)&gt;'Risk Matrices'!$H$7,'Risk Matrices'!$I$5)</f>
        <v>Significant</v>
      </c>
      <c r="P243" s="126">
        <v>12</v>
      </c>
      <c r="Q243" s="101" t="str" cm="1">
        <f t="array" ref="Q243">_xlfn.IFS(P243="","",ABS(P243)&lt;='Risk Matrices'!$E$8,'Risk Matrices'!$E$5,ABS(P243)&lt;='Risk Matrices'!$F$8,'Risk Matrices'!$F$5,ABS(P243)&lt;='Risk Matrices'!$G$8,'Risk Matrices'!$G$5,ABS(P243)&lt;='Risk Matrices'!$H$8,'Risk Matrices'!$H$5,ABS(P243)&gt;'Risk Matrices'!$H$8,'Risk Matrices'!$I$5)</f>
        <v>Significant</v>
      </c>
      <c r="R243" s="121" t="s">
        <v>280</v>
      </c>
      <c r="S243" s="128">
        <f t="shared" si="203"/>
        <v>4</v>
      </c>
      <c r="T243" s="106" cm="1">
        <f t="array" ref="T243">_xlfn.IFS(O243='Risk Matrices'!$D$28,'Risk Matrices'!$D$29,O243='Risk Matrices'!$E$28,'Risk Matrices'!$E$29,O243='Risk Matrices'!$F$28,'Risk Matrices'!$F$29,O243='Risk Matrices'!$G$28,'Risk Matrices'!$G$29,O243='Risk Matrices'!$H$28,'Risk Matrices'!$H$29)</f>
        <v>3</v>
      </c>
      <c r="U243" s="106">
        <f t="shared" si="192"/>
        <v>3</v>
      </c>
      <c r="V243" s="106">
        <f t="shared" si="208"/>
        <v>2</v>
      </c>
      <c r="W243" s="106">
        <f t="shared" si="193"/>
        <v>3</v>
      </c>
      <c r="X243" s="195">
        <f t="shared" si="194"/>
        <v>12</v>
      </c>
      <c r="Y243" s="107" t="str">
        <f t="shared" si="187"/>
        <v>Moderate</v>
      </c>
      <c r="Z243" s="104" t="s">
        <v>1632</v>
      </c>
      <c r="AA243" s="108">
        <f t="shared" si="195"/>
        <v>0.52</v>
      </c>
      <c r="AB243" s="196">
        <f t="shared" si="196"/>
        <v>2080</v>
      </c>
      <c r="AC243" s="137" t="s">
        <v>155</v>
      </c>
      <c r="AD243" s="146" t="s">
        <v>1633</v>
      </c>
      <c r="AE243" s="146"/>
      <c r="AF243" s="101" t="s">
        <v>134</v>
      </c>
      <c r="AG243" s="101"/>
      <c r="AH243" s="750" t="s">
        <v>1626</v>
      </c>
      <c r="AI243" s="198">
        <v>0.5</v>
      </c>
      <c r="AJ243" s="199">
        <v>4000</v>
      </c>
      <c r="AK243" s="199">
        <v>4000</v>
      </c>
      <c r="AL243" s="199">
        <v>4000</v>
      </c>
      <c r="AM243" s="200">
        <v>2</v>
      </c>
      <c r="AN243" s="200">
        <f t="shared" si="211"/>
        <v>12</v>
      </c>
      <c r="AO243" s="200">
        <f>+AN243</f>
        <v>12</v>
      </c>
      <c r="AP243" s="112" t="str">
        <f>IF(OR(ISBLANK(AI243),AI243=0),"INSERT LIKELIHOOD",IF(ABS(AI243)&lt;='Risk Matrices'!$D$22,'Risk Matrices'!$C$21,IF(ABS(AI243)&lt;='Risk Matrices'!$D$19,'Risk Matrices'!$C$18,IF(ABS(AI243)&lt;='Risk Matrices'!$D$16,'Risk Matrices'!$C$15,IF(ABS(AI243)&lt;='Risk Matrices'!$D$13,'Risk Matrices'!$C$12,'Risk Matrices'!$C$10)))))</f>
        <v>High</v>
      </c>
      <c r="AQ243" s="112" t="str">
        <f>IF(OR(ISBLANK(AK243),AK243=0),"None",IF(ABS(AK243)&lt;='Risk Matrices'!$E$7,'Risk Matrices'!$E$5,IF(ABS(AK243)&lt;='Risk Matrices'!$G$7,'Risk Matrices'!$G$5,IF(ABS(AK243)&lt;='Risk Matrices'!$H$7,'Risk Matrices'!$H$5,'Risk Matrices'!$I$5))))</f>
        <v>Significant</v>
      </c>
      <c r="AR243" s="112" t="str">
        <f>IF(AN243="","",IF(ABS(AN243)&lt;='Risk Matrices'!$E$8,"Negligible",IF(ABS(AN243)&lt;='Risk Matrices'!$F$8,"Marginal",IF(ABS(AN243)&lt;='Risk Matrices'!$G$8,"Significant",IF(ABS(AN243)&lt;='Risk Matrices'!$H$8,"Critical","Crisis")))))</f>
        <v>Significant</v>
      </c>
      <c r="AS243" s="102" t="s">
        <v>130</v>
      </c>
      <c r="AT243" s="298">
        <f>IF(OR(ISBLANK(AI243),AI243=0),0,VLOOKUP(AP243,'Risk Matrices'!$B$30:$C$34,2,0))</f>
        <v>4</v>
      </c>
      <c r="AU243" s="298">
        <f>IF(OR(ISBLANK(AK243),AK243=0),0,HLOOKUP(AQ243,'Risk Matrices'!$D$28:$H$29,2,0))</f>
        <v>3</v>
      </c>
      <c r="AV243" s="298">
        <f>IF(OR(ISBLANK(AR243),AR243=0),0,HLOOKUP(AR243,'Risk Matrices'!$D$28:$H$29,2,0))</f>
        <v>3</v>
      </c>
      <c r="AW243" s="298">
        <f>IF(AS243="None",0,HLOOKUP(AS243,'Risk Matrices'!$D$28:$H$29,2,0))</f>
        <v>0</v>
      </c>
      <c r="AX243" s="106">
        <f t="shared" si="197"/>
        <v>3</v>
      </c>
      <c r="AY243" s="106">
        <f t="shared" si="198"/>
        <v>12</v>
      </c>
      <c r="AZ243" s="107" t="str">
        <f>IF(B243="Retired","Retired",IF(OR(ISBLANK(AY243),AY243=0),"TBD",IF(AY243&lt;='Risk Matrices'!$D$40,'Risk Matrices'!$B$40,IF(AY243&lt;='Risk Matrices'!$D$39,'Risk Matrices'!$B$39,'Risk Matrices'!$B$38))))</f>
        <v>Moderate</v>
      </c>
      <c r="BA243" s="104"/>
      <c r="BB243" s="101" t="s">
        <v>366</v>
      </c>
      <c r="BC243" s="109">
        <f t="shared" si="199"/>
        <v>2000</v>
      </c>
      <c r="BD243" s="116">
        <v>45300</v>
      </c>
      <c r="BE243" s="104"/>
      <c r="BF243" s="104"/>
      <c r="BG243" s="104"/>
      <c r="BH243" s="104"/>
      <c r="BI243" s="104"/>
      <c r="BJ243" s="874">
        <f t="shared" si="204"/>
        <v>2000</v>
      </c>
      <c r="BK243" s="101"/>
      <c r="BL243" s="101"/>
      <c r="BM243" s="116">
        <v>44377</v>
      </c>
      <c r="BN243" s="330">
        <v>44466</v>
      </c>
      <c r="BO243" s="332"/>
      <c r="BP243" s="94">
        <f t="shared" si="209"/>
        <v>2000</v>
      </c>
      <c r="BQ243" s="97" t="str">
        <f t="shared" si="200"/>
        <v>4000 - 4000 - 4000</v>
      </c>
      <c r="BR243" s="97" t="str">
        <f t="shared" si="201"/>
        <v>2 - 12 - 12</v>
      </c>
      <c r="BS243" s="715">
        <f t="shared" si="206"/>
        <v>2000</v>
      </c>
      <c r="BT243" s="736">
        <f t="shared" si="202"/>
        <v>4.333333333333333</v>
      </c>
      <c r="BU243" s="735" t="s">
        <v>1634</v>
      </c>
      <c r="BV243" s="873">
        <v>45382</v>
      </c>
      <c r="BW243">
        <f t="shared" si="210"/>
        <v>916</v>
      </c>
    </row>
    <row r="244" spans="2:75" customFormat="1" ht="195" hidden="1" x14ac:dyDescent="0.2">
      <c r="B244" s="101" t="str">
        <f t="shared" si="205"/>
        <v>Active</v>
      </c>
      <c r="C244" s="785" t="s">
        <v>1635</v>
      </c>
      <c r="D244" s="101" t="s">
        <v>151</v>
      </c>
      <c r="E244" s="171" t="s">
        <v>1592</v>
      </c>
      <c r="F244" s="101" t="s">
        <v>124</v>
      </c>
      <c r="G244" s="126" t="s">
        <v>1125</v>
      </c>
      <c r="H244" s="101" t="str">
        <f t="shared" si="207"/>
        <v>RT-6-011-006</v>
      </c>
      <c r="I244" s="106" t="s">
        <v>1125</v>
      </c>
      <c r="J244" s="101" t="s">
        <v>497</v>
      </c>
      <c r="K244" s="101" t="s">
        <v>1636</v>
      </c>
      <c r="L244" s="812" t="s">
        <v>1637</v>
      </c>
      <c r="M244" s="121" t="s">
        <v>129</v>
      </c>
      <c r="N244" s="134">
        <v>1000</v>
      </c>
      <c r="O244" s="106" t="str" cm="1">
        <f t="array" ref="O244">_xlfn.IFS(N244="","",ABS(N244)&lt;='Risk Matrices'!$E$7,'Risk Matrices'!$E$5,ABS(N244)&lt;='Risk Matrices'!$F$7,'Risk Matrices'!$F$5,ABS(N244)&lt;='Risk Matrices'!$G$7,'Risk Matrices'!$G$5,ABS(N244)&lt;='Risk Matrices'!$H$7,'Risk Matrices'!$H$5,ABS(N244)&gt;'Risk Matrices'!$H$7,'Risk Matrices'!$I$5)</f>
        <v>Marginal</v>
      </c>
      <c r="P244" s="126">
        <v>6</v>
      </c>
      <c r="Q244" s="101" t="str" cm="1">
        <f t="array" ref="Q244">_xlfn.IFS(P244="","",ABS(P244)&lt;='Risk Matrices'!$E$8,'Risk Matrices'!$E$5,ABS(P244)&lt;='Risk Matrices'!$F$8,'Risk Matrices'!$F$5,ABS(P244)&lt;='Risk Matrices'!$G$8,'Risk Matrices'!$G$5,ABS(P244)&lt;='Risk Matrices'!$H$8,'Risk Matrices'!$H$5,ABS(P244)&gt;'Risk Matrices'!$H$8,'Risk Matrices'!$I$5)</f>
        <v>Marginal</v>
      </c>
      <c r="R244" s="121" t="s">
        <v>280</v>
      </c>
      <c r="S244" s="128">
        <f t="shared" si="203"/>
        <v>4</v>
      </c>
      <c r="T244" s="106" cm="1">
        <f t="array" ref="T244">_xlfn.IFS(O244='Risk Matrices'!$D$28,'Risk Matrices'!$D$29,O244='Risk Matrices'!$E$28,'Risk Matrices'!$E$29,O244='Risk Matrices'!$F$28,'Risk Matrices'!$F$29,O244='Risk Matrices'!$G$28,'Risk Matrices'!$G$29,O244='Risk Matrices'!$H$28,'Risk Matrices'!$H$29)</f>
        <v>2</v>
      </c>
      <c r="U244" s="106">
        <f t="shared" si="192"/>
        <v>2</v>
      </c>
      <c r="V244" s="106">
        <f t="shared" si="208"/>
        <v>2</v>
      </c>
      <c r="W244" s="106">
        <f t="shared" si="193"/>
        <v>2</v>
      </c>
      <c r="X244" s="195">
        <f t="shared" si="194"/>
        <v>8</v>
      </c>
      <c r="Y244" s="107" t="str">
        <f t="shared" si="187"/>
        <v>Moderate</v>
      </c>
      <c r="Z244" s="104" t="s">
        <v>1638</v>
      </c>
      <c r="AA244" s="108">
        <f t="shared" si="195"/>
        <v>0.52</v>
      </c>
      <c r="AB244" s="196">
        <f t="shared" si="196"/>
        <v>520</v>
      </c>
      <c r="AC244" s="137" t="s">
        <v>155</v>
      </c>
      <c r="AD244" s="146" t="s">
        <v>1639</v>
      </c>
      <c r="AE244" s="146"/>
      <c r="AF244" s="101" t="s">
        <v>145</v>
      </c>
      <c r="AG244" s="101"/>
      <c r="AH244" s="891" t="s">
        <v>1640</v>
      </c>
      <c r="AI244" s="198">
        <v>0.25</v>
      </c>
      <c r="AJ244" s="199">
        <v>1000</v>
      </c>
      <c r="AK244" s="199">
        <v>1000</v>
      </c>
      <c r="AL244" s="199">
        <v>1000</v>
      </c>
      <c r="AM244" s="200">
        <v>2</v>
      </c>
      <c r="AN244" s="200">
        <f t="shared" si="211"/>
        <v>6</v>
      </c>
      <c r="AO244" s="200">
        <f>+AN244</f>
        <v>6</v>
      </c>
      <c r="AP244" s="112" t="str">
        <f>IF(OR(ISBLANK(AI244),AI244=0),"INSERT LIKELIHOOD",IF(ABS(AI244)&lt;='Risk Matrices'!$D$22,'Risk Matrices'!$C$21,IF(ABS(AI244)&lt;='Risk Matrices'!$D$19,'Risk Matrices'!$C$18,IF(ABS(AI244)&lt;='Risk Matrices'!$D$16,'Risk Matrices'!$C$15,IF(ABS(AI244)&lt;='Risk Matrices'!$D$13,'Risk Matrices'!$C$12,'Risk Matrices'!$C$10)))))</f>
        <v>Low</v>
      </c>
      <c r="AQ244" s="112" t="str">
        <f>IF(OR(ISBLANK(AK244),AK244=0),"None",IF(ABS(AK244)&lt;='Risk Matrices'!$E$7,'Risk Matrices'!$E$5,IF(ABS(AK244)&lt;='Risk Matrices'!$G$7,'Risk Matrices'!$G$5,IF(ABS(AK244)&lt;='Risk Matrices'!$H$7,'Risk Matrices'!$H$5,'Risk Matrices'!$I$5))))</f>
        <v>Significant</v>
      </c>
      <c r="AR244" s="112" t="str">
        <f>IF(AN244="","",IF(ABS(AN244)&lt;='Risk Matrices'!$E$8,"Negligible",IF(ABS(AN244)&lt;='Risk Matrices'!$F$8,"Marginal",IF(ABS(AN244)&lt;='Risk Matrices'!$G$8,"Significant",IF(ABS(AN244)&lt;='Risk Matrices'!$H$8,"Critical","Crisis")))))</f>
        <v>Marginal</v>
      </c>
      <c r="AS244" s="102" t="s">
        <v>130</v>
      </c>
      <c r="AT244" s="298">
        <f>IF(OR(ISBLANK(AI244),AI244=0),0,VLOOKUP(AP244,'Risk Matrices'!$B$30:$C$34,2,0))</f>
        <v>2</v>
      </c>
      <c r="AU244" s="298">
        <f>IF(OR(ISBLANK(AK244),AK244=0),0,HLOOKUP(AQ244,'Risk Matrices'!$D$28:$H$29,2,0))</f>
        <v>3</v>
      </c>
      <c r="AV244" s="298">
        <f>IF(OR(ISBLANK(AR244),AR244=0),0,HLOOKUP(AR244,'Risk Matrices'!$D$28:$H$29,2,0))</f>
        <v>2</v>
      </c>
      <c r="AW244" s="298">
        <f>IF(AS244="None",0,HLOOKUP(AS244,'Risk Matrices'!$D$28:$H$29,2,0))</f>
        <v>0</v>
      </c>
      <c r="AX244" s="106">
        <f t="shared" si="197"/>
        <v>3</v>
      </c>
      <c r="AY244" s="106">
        <f t="shared" si="198"/>
        <v>6</v>
      </c>
      <c r="AZ244" s="107" t="str">
        <f>IF(B244="Retired","Retired",IF(OR(ISBLANK(AY244),AY244=0),"TBD",IF(AY244&lt;='Risk Matrices'!$D$40,'Risk Matrices'!$B$40,IF(AY244&lt;='Risk Matrices'!$D$39,'Risk Matrices'!$B$39,'Risk Matrices'!$B$38))))</f>
        <v>Low</v>
      </c>
      <c r="BA244" s="104"/>
      <c r="BB244" s="101" t="s">
        <v>366</v>
      </c>
      <c r="BC244" s="109">
        <f t="shared" si="199"/>
        <v>250</v>
      </c>
      <c r="BD244" s="116">
        <v>45300</v>
      </c>
      <c r="BE244" s="104"/>
      <c r="BF244" s="104"/>
      <c r="BG244" s="104"/>
      <c r="BH244" s="104"/>
      <c r="BI244" s="104"/>
      <c r="BJ244" s="874">
        <f t="shared" si="204"/>
        <v>250</v>
      </c>
      <c r="BK244" s="101"/>
      <c r="BL244" s="101"/>
      <c r="BM244" s="116">
        <v>44377</v>
      </c>
      <c r="BN244" s="330">
        <v>44466</v>
      </c>
      <c r="BO244" s="332"/>
      <c r="BP244" s="94">
        <f t="shared" si="209"/>
        <v>250</v>
      </c>
      <c r="BQ244" s="97" t="str">
        <f t="shared" si="200"/>
        <v>1000 - 1000 - 1000</v>
      </c>
      <c r="BR244" s="97" t="str">
        <f t="shared" si="201"/>
        <v>2 - 6 - 6</v>
      </c>
      <c r="BS244" s="715">
        <f t="shared" si="206"/>
        <v>250</v>
      </c>
      <c r="BT244" s="736">
        <f t="shared" si="202"/>
        <v>1.1666666666666667</v>
      </c>
      <c r="BU244" s="735" t="s">
        <v>1641</v>
      </c>
      <c r="BV244" s="873">
        <v>45382</v>
      </c>
      <c r="BW244">
        <f t="shared" si="210"/>
        <v>916</v>
      </c>
    </row>
    <row r="245" spans="2:75" customFormat="1" ht="56" hidden="1" x14ac:dyDescent="0.2">
      <c r="B245" s="101" t="str">
        <f t="shared" si="205"/>
        <v>Retired</v>
      </c>
      <c r="C245" s="785" t="s">
        <v>1642</v>
      </c>
      <c r="D245" s="101" t="s">
        <v>151</v>
      </c>
      <c r="E245" s="171" t="s">
        <v>1592</v>
      </c>
      <c r="F245" s="101" t="s">
        <v>124</v>
      </c>
      <c r="G245" s="106" t="s">
        <v>1125</v>
      </c>
      <c r="H245" s="101" t="str">
        <f t="shared" si="207"/>
        <v>RT-6-011-007</v>
      </c>
      <c r="I245" s="106" t="s">
        <v>1125</v>
      </c>
      <c r="J245" s="101" t="s">
        <v>497</v>
      </c>
      <c r="K245" s="101" t="s">
        <v>1643</v>
      </c>
      <c r="L245" s="812" t="s">
        <v>1127</v>
      </c>
      <c r="M245" s="104" t="s">
        <v>129</v>
      </c>
      <c r="N245" s="105">
        <v>5000</v>
      </c>
      <c r="O245" s="106" t="str" cm="1">
        <f t="array" ref="O245">_xlfn.IFS(N245="","",ABS(N245)&lt;='Risk Matrices'!$E$7,'Risk Matrices'!$E$5,ABS(N245)&lt;='Risk Matrices'!$F$7,'Risk Matrices'!$F$5,ABS(N245)&lt;='Risk Matrices'!$G$7,'Risk Matrices'!$G$5,ABS(N245)&lt;='Risk Matrices'!$H$7,'Risk Matrices'!$H$5,ABS(N245)&gt;'Risk Matrices'!$H$7,'Risk Matrices'!$I$5)</f>
        <v>Significant</v>
      </c>
      <c r="P245" s="101">
        <v>0</v>
      </c>
      <c r="Q245" s="101" t="str" cm="1">
        <f t="array" ref="Q245">_xlfn.IFS(P245="","",ABS(P245)&lt;='Risk Matrices'!$E$8,'Risk Matrices'!$E$5,ABS(P245)&lt;='Risk Matrices'!$F$8,'Risk Matrices'!$F$5,ABS(P245)&lt;='Risk Matrices'!$G$8,'Risk Matrices'!$G$5,ABS(P245)&lt;='Risk Matrices'!$H$8,'Risk Matrices'!$H$5,ABS(P245)&gt;'Risk Matrices'!$H$8,'Risk Matrices'!$I$5)</f>
        <v>Negligible</v>
      </c>
      <c r="R245" s="101" t="s">
        <v>207</v>
      </c>
      <c r="S245" s="106">
        <f t="shared" si="203"/>
        <v>4</v>
      </c>
      <c r="T245" s="106" cm="1">
        <f t="array" ref="T245">_xlfn.IFS(O245='Risk Matrices'!$D$28,'Risk Matrices'!$D$29,O245='Risk Matrices'!$E$28,'Risk Matrices'!$E$29,O245='Risk Matrices'!$F$28,'Risk Matrices'!$F$29,O245='Risk Matrices'!$G$28,'Risk Matrices'!$G$29,O245='Risk Matrices'!$H$28,'Risk Matrices'!$H$29)</f>
        <v>3</v>
      </c>
      <c r="U245" s="106">
        <f t="shared" si="192"/>
        <v>1</v>
      </c>
      <c r="V245" s="106">
        <f t="shared" si="208"/>
        <v>1</v>
      </c>
      <c r="W245" s="106">
        <f t="shared" si="193"/>
        <v>3</v>
      </c>
      <c r="X245" s="106">
        <f t="shared" si="194"/>
        <v>12</v>
      </c>
      <c r="Y245" s="107" t="str">
        <f t="shared" ref="Y245:Y267" si="212">IF(X245&lt;=6,"Low",IF(X245&lt;=14,"Moderate",IF(X245&lt;=25,"High")))</f>
        <v>Moderate</v>
      </c>
      <c r="Z245" s="104"/>
      <c r="AA245" s="108">
        <f t="shared" si="195"/>
        <v>0.52</v>
      </c>
      <c r="AB245" s="109">
        <f t="shared" si="196"/>
        <v>2600</v>
      </c>
      <c r="AC245" s="109" t="s">
        <v>155</v>
      </c>
      <c r="AD245" s="146" t="s">
        <v>1128</v>
      </c>
      <c r="AE245" s="146"/>
      <c r="AF245" s="101" t="s">
        <v>145</v>
      </c>
      <c r="AG245" s="101"/>
      <c r="AH245" s="750" t="s">
        <v>1626</v>
      </c>
      <c r="AI245" s="198">
        <v>0.25</v>
      </c>
      <c r="AJ245" s="105">
        <v>5000</v>
      </c>
      <c r="AK245" s="105">
        <v>5000</v>
      </c>
      <c r="AL245" s="105">
        <v>7000</v>
      </c>
      <c r="AM245" s="105">
        <v>0</v>
      </c>
      <c r="AN245" s="105">
        <v>0</v>
      </c>
      <c r="AO245" s="105">
        <v>6</v>
      </c>
      <c r="AP245" s="112" t="str">
        <f>IF(OR(ISBLANK(AI245),AI245=0),"INSERT LIKELIHOOD",IF(ABS(AI245)&lt;='Risk Matrices'!$D$22,'Risk Matrices'!$C$21,IF(ABS(AI245)&lt;='Risk Matrices'!$D$19,'Risk Matrices'!$C$18,IF(ABS(AI245)&lt;='Risk Matrices'!$D$16,'Risk Matrices'!$C$15,IF(ABS(AI245)&lt;='Risk Matrices'!$D$13,'Risk Matrices'!$C$12,'Risk Matrices'!$C$10)))))</f>
        <v>Low</v>
      </c>
      <c r="AQ245" s="112" t="str">
        <f>IF(OR(ISBLANK(AK245),AK245=0),"None",IF(ABS(AK245)&lt;='Risk Matrices'!$E$7,'Risk Matrices'!$E$5,IF(ABS(AK245)&lt;='Risk Matrices'!$G$7,'Risk Matrices'!$G$5,IF(ABS(AK245)&lt;='Risk Matrices'!$H$7,'Risk Matrices'!$H$5,'Risk Matrices'!$I$5))))</f>
        <v>Significant</v>
      </c>
      <c r="AR245" s="112" t="str">
        <f>IF(AN245="","",IF(ABS(AN245)&lt;='Risk Matrices'!$E$8,"Negligible",IF(ABS(AN245)&lt;='Risk Matrices'!$F$8,"Marginal",IF(ABS(AN245)&lt;='Risk Matrices'!$G$8,"Significant",IF(ABS(AN245)&lt;='Risk Matrices'!$H$8,"Critical","Crisis")))))</f>
        <v>Negligible</v>
      </c>
      <c r="AS245" s="102" t="s">
        <v>130</v>
      </c>
      <c r="AT245" s="298">
        <f>IF(OR(ISBLANK(AI245),AI245=0),0,VLOOKUP(AP245,'Risk Matrices'!$B$30:$C$34,2,0))</f>
        <v>2</v>
      </c>
      <c r="AU245" s="298">
        <f>IF(OR(ISBLANK(AK245),AK245=0),0,HLOOKUP(AQ245,'Risk Matrices'!$D$28:$H$29,2,0))</f>
        <v>3</v>
      </c>
      <c r="AV245" s="298">
        <f>IF(OR(ISBLANK(AR245),AR245=0),0,HLOOKUP(AR245,'Risk Matrices'!$D$28:$H$29,2,0))</f>
        <v>1</v>
      </c>
      <c r="AW245" s="298">
        <f>IF(AS245="None",0,HLOOKUP(AS245,'Risk Matrices'!$D$28:$H$29,2,0))</f>
        <v>0</v>
      </c>
      <c r="AX245" s="106">
        <f t="shared" si="197"/>
        <v>3</v>
      </c>
      <c r="AY245" s="106">
        <f t="shared" si="198"/>
        <v>6</v>
      </c>
      <c r="AZ245" s="107" t="str">
        <f>IF(B245="Retired","Retired",IF(OR(ISBLANK(AY245),AY245=0),"TBD",IF(AY245&lt;='Risk Matrices'!$D$40,'Risk Matrices'!$B$40,IF(AY245&lt;='Risk Matrices'!$D$39,'Risk Matrices'!$B$39,'Risk Matrices'!$B$38))))</f>
        <v>Retired</v>
      </c>
      <c r="BA245" s="104"/>
      <c r="BB245" s="101" t="s">
        <v>366</v>
      </c>
      <c r="BC245" s="109" t="str">
        <f t="shared" si="199"/>
        <v>Retired</v>
      </c>
      <c r="BD245" s="116">
        <v>45300</v>
      </c>
      <c r="BE245" s="104"/>
      <c r="BF245" s="104"/>
      <c r="BG245" s="104" t="s">
        <v>1644</v>
      </c>
      <c r="BH245" s="104"/>
      <c r="BI245" s="104"/>
      <c r="BJ245" s="874">
        <f t="shared" si="204"/>
        <v>1416.6666666666667</v>
      </c>
      <c r="BK245" s="101" t="s">
        <v>294</v>
      </c>
      <c r="BL245" s="116">
        <v>45518</v>
      </c>
      <c r="BM245" s="116">
        <v>44012</v>
      </c>
      <c r="BN245" s="330">
        <v>44134</v>
      </c>
      <c r="BO245" s="332"/>
      <c r="BP245" s="94">
        <f t="shared" si="209"/>
        <v>1333.3333333333333</v>
      </c>
      <c r="BQ245" s="97" t="str">
        <f t="shared" si="200"/>
        <v>5000 - 5000 - 7000</v>
      </c>
      <c r="BR245" s="97" t="str">
        <f t="shared" si="201"/>
        <v>0 - 0 - 6</v>
      </c>
      <c r="BS245" s="715">
        <f t="shared" si="206"/>
        <v>1416.6666666666667</v>
      </c>
      <c r="BT245" s="736">
        <f t="shared" si="202"/>
        <v>0.5</v>
      </c>
      <c r="BU245" s="735" t="s">
        <v>1130</v>
      </c>
      <c r="BV245" s="873">
        <v>45382</v>
      </c>
      <c r="BW245">
        <f t="shared" si="210"/>
        <v>1248</v>
      </c>
    </row>
    <row r="246" spans="2:75" customFormat="1" ht="50" hidden="1" customHeight="1" x14ac:dyDescent="0.2">
      <c r="B246" s="101" t="str">
        <f t="shared" si="205"/>
        <v>Active</v>
      </c>
      <c r="C246" s="960" t="s">
        <v>1645</v>
      </c>
      <c r="D246" s="101" t="s">
        <v>151</v>
      </c>
      <c r="E246" s="171" t="s">
        <v>1592</v>
      </c>
      <c r="F246" s="101" t="s">
        <v>124</v>
      </c>
      <c r="G246" s="106" t="s">
        <v>1125</v>
      </c>
      <c r="H246" s="101" t="str">
        <f t="shared" si="207"/>
        <v>RT-6-011-008</v>
      </c>
      <c r="I246" s="106" t="s">
        <v>1125</v>
      </c>
      <c r="J246" s="101" t="s">
        <v>497</v>
      </c>
      <c r="K246" s="101" t="s">
        <v>1646</v>
      </c>
      <c r="L246" s="104" t="s">
        <v>1647</v>
      </c>
      <c r="M246" s="103" t="s">
        <v>129</v>
      </c>
      <c r="N246" s="105">
        <v>30000</v>
      </c>
      <c r="O246" s="106" t="str" cm="1">
        <f t="array" ref="O246">_xlfn.IFS(N246="","",ABS(N246)&lt;='Risk Matrices'!$E$7,'Risk Matrices'!$E$5,ABS(N246)&lt;='Risk Matrices'!$F$7,'Risk Matrices'!$F$5,ABS(N246)&lt;='Risk Matrices'!$G$7,'Risk Matrices'!$G$5,ABS(N246)&lt;='Risk Matrices'!$H$7,'Risk Matrices'!$H$5,ABS(N246)&gt;'Risk Matrices'!$H$7,'Risk Matrices'!$I$5)</f>
        <v>Critical</v>
      </c>
      <c r="P246" s="106">
        <v>3</v>
      </c>
      <c r="Q246" s="101" t="str" cm="1">
        <f t="array" ref="Q246">_xlfn.IFS(P246="","",ABS(P246)&lt;='Risk Matrices'!$E$8,'Risk Matrices'!$E$5,ABS(P246)&lt;='Risk Matrices'!$F$8,'Risk Matrices'!$F$5,ABS(P246)&lt;='Risk Matrices'!$G$8,'Risk Matrices'!$G$5,ABS(P246)&lt;='Risk Matrices'!$H$8,'Risk Matrices'!$H$5,ABS(P246)&gt;'Risk Matrices'!$H$8,'Risk Matrices'!$I$5)</f>
        <v>Negligible</v>
      </c>
      <c r="R246" s="102" t="s">
        <v>207</v>
      </c>
      <c r="S246" s="106">
        <f t="shared" si="203"/>
        <v>4</v>
      </c>
      <c r="T246" s="106" cm="1">
        <f t="array" ref="T246">_xlfn.IFS(O246='Risk Matrices'!$D$28,'Risk Matrices'!$D$29,O246='Risk Matrices'!$E$28,'Risk Matrices'!$E$29,O246='Risk Matrices'!$F$28,'Risk Matrices'!$F$29,O246='Risk Matrices'!$G$28,'Risk Matrices'!$G$29,O246='Risk Matrices'!$H$28,'Risk Matrices'!$H$29)</f>
        <v>4</v>
      </c>
      <c r="U246" s="106">
        <f t="shared" si="192"/>
        <v>1</v>
      </c>
      <c r="V246" s="106">
        <f t="shared" si="208"/>
        <v>1</v>
      </c>
      <c r="W246" s="106">
        <f t="shared" si="193"/>
        <v>4</v>
      </c>
      <c r="X246" s="106">
        <f t="shared" si="194"/>
        <v>16</v>
      </c>
      <c r="Y246" s="107" t="str">
        <f t="shared" si="212"/>
        <v>High</v>
      </c>
      <c r="Z246" s="104"/>
      <c r="AA246" s="108">
        <f t="shared" si="195"/>
        <v>0.52</v>
      </c>
      <c r="AB246" s="109">
        <f t="shared" si="196"/>
        <v>15600</v>
      </c>
      <c r="AC246" s="109" t="s">
        <v>155</v>
      </c>
      <c r="AD246" s="963" t="s">
        <v>1648</v>
      </c>
      <c r="AE246" s="892"/>
      <c r="AF246" s="103" t="s">
        <v>167</v>
      </c>
      <c r="AG246" s="103"/>
      <c r="AH246" s="893" t="s">
        <v>1649</v>
      </c>
      <c r="AI246" s="160">
        <v>0.5</v>
      </c>
      <c r="AJ246" s="105">
        <v>25206</v>
      </c>
      <c r="AK246" s="105">
        <v>25206</v>
      </c>
      <c r="AL246" s="105">
        <v>25206</v>
      </c>
      <c r="AM246" s="105">
        <v>0</v>
      </c>
      <c r="AN246" s="105">
        <v>3</v>
      </c>
      <c r="AO246" s="105">
        <v>9</v>
      </c>
      <c r="AP246" s="112" t="str">
        <f>IF(OR(ISBLANK(AI246),AI246=0),"INSERT LIKELIHOOD",IF(ABS(AI246)&lt;='Risk Matrices'!$D$22,'Risk Matrices'!$C$21,IF(ABS(AI246)&lt;='Risk Matrices'!$D$19,'Risk Matrices'!$C$18,IF(ABS(AI246)&lt;='Risk Matrices'!$D$16,'Risk Matrices'!$C$15,IF(ABS(AI246)&lt;='Risk Matrices'!$D$13,'Risk Matrices'!$C$12,'Risk Matrices'!$C$10)))))</f>
        <v>High</v>
      </c>
      <c r="AQ246" s="112" t="str">
        <f>IF(OR(ISBLANK(AK246),AK246=0),"None",IF(ABS(AK246)&lt;='Risk Matrices'!$E$7,'Risk Matrices'!$E$5,IF(ABS(AK246)&lt;='Risk Matrices'!$G$7,'Risk Matrices'!$G$5,IF(ABS(AK246)&lt;='Risk Matrices'!$H$7,'Risk Matrices'!$H$5,'Risk Matrices'!$I$5))))</f>
        <v>Critical</v>
      </c>
      <c r="AR246" s="112" t="str">
        <f>IF(AN246="","",IF(ABS(AN246)&lt;='Risk Matrices'!$E$8,"Negligible",IF(ABS(AN246)&lt;='Risk Matrices'!$F$8,"Marginal",IF(ABS(AN246)&lt;='Risk Matrices'!$G$8,"Significant",IF(ABS(AN246)&lt;='Risk Matrices'!$H$8,"Critical","Crisis")))))</f>
        <v>Negligible</v>
      </c>
      <c r="AS246" s="102" t="s">
        <v>130</v>
      </c>
      <c r="AT246" s="298">
        <f>IF(OR(ISBLANK(AI246),AI246=0),0,VLOOKUP(AP246,'Risk Matrices'!$B$30:$C$34,2,0))</f>
        <v>4</v>
      </c>
      <c r="AU246" s="298">
        <f>IF(OR(ISBLANK(AK246),AK246=0),0,HLOOKUP(AQ246,'Risk Matrices'!$D$28:$H$29,2,0))</f>
        <v>4</v>
      </c>
      <c r="AV246" s="298">
        <f>IF(OR(ISBLANK(AR246),AR246=0),0,HLOOKUP(AR246,'Risk Matrices'!$D$28:$H$29,2,0))</f>
        <v>1</v>
      </c>
      <c r="AW246" s="298">
        <f>IF(AS246="None",0,HLOOKUP(AS246,'Risk Matrices'!$D$28:$H$29,2,0))</f>
        <v>0</v>
      </c>
      <c r="AX246" s="106">
        <f t="shared" si="197"/>
        <v>4</v>
      </c>
      <c r="AY246" s="106">
        <f t="shared" si="198"/>
        <v>16</v>
      </c>
      <c r="AZ246" s="107" t="str">
        <f>IF(B246="Retired","Retired",IF(OR(ISBLANK(AY246),AY246=0),"TBD",IF(AY246&lt;='Risk Matrices'!$D$40,'Risk Matrices'!$B$40,IF(AY246&lt;='Risk Matrices'!$D$39,'Risk Matrices'!$B$39,'Risk Matrices'!$B$38))))</f>
        <v>High</v>
      </c>
      <c r="BA246" s="112"/>
      <c r="BB246" s="104" t="s">
        <v>1650</v>
      </c>
      <c r="BC246" s="109">
        <f t="shared" si="199"/>
        <v>12603</v>
      </c>
      <c r="BD246" s="116">
        <v>45300</v>
      </c>
      <c r="BE246" s="114"/>
      <c r="BF246" s="104"/>
      <c r="BG246" s="115"/>
      <c r="BH246" s="115"/>
      <c r="BI246" s="115"/>
      <c r="BJ246" s="874">
        <f t="shared" si="204"/>
        <v>12603</v>
      </c>
      <c r="BK246" s="101"/>
      <c r="BL246" s="101"/>
      <c r="BM246" s="116">
        <v>44012</v>
      </c>
      <c r="BN246" s="330">
        <v>44134</v>
      </c>
      <c r="BO246" s="333" t="s">
        <v>1651</v>
      </c>
      <c r="BP246" s="94">
        <f t="shared" si="209"/>
        <v>12603</v>
      </c>
      <c r="BQ246" s="97" t="str">
        <f t="shared" si="200"/>
        <v>25206 - 25206 - 25206</v>
      </c>
      <c r="BR246" s="97" t="str">
        <f t="shared" si="201"/>
        <v>0 - 3 - 9</v>
      </c>
      <c r="BS246" s="715">
        <f t="shared" si="206"/>
        <v>12603</v>
      </c>
      <c r="BT246" s="736">
        <f t="shared" si="202"/>
        <v>2</v>
      </c>
      <c r="BU246" s="735" t="s">
        <v>1652</v>
      </c>
      <c r="BV246" s="873">
        <v>45382</v>
      </c>
      <c r="BW246">
        <f t="shared" si="210"/>
        <v>1248</v>
      </c>
    </row>
    <row r="247" spans="2:75" customFormat="1" ht="50" hidden="1" customHeight="1" x14ac:dyDescent="0.2">
      <c r="B247" s="101" t="str">
        <f t="shared" si="205"/>
        <v>Active</v>
      </c>
      <c r="C247" s="960" t="s">
        <v>1653</v>
      </c>
      <c r="D247" s="101" t="s">
        <v>151</v>
      </c>
      <c r="E247" s="171" t="s">
        <v>1592</v>
      </c>
      <c r="F247" s="101" t="s">
        <v>124</v>
      </c>
      <c r="G247" s="106" t="s">
        <v>1125</v>
      </c>
      <c r="H247" s="101" t="str">
        <f t="shared" si="207"/>
        <v>RT-6-011-008a</v>
      </c>
      <c r="I247" s="106" t="s">
        <v>1125</v>
      </c>
      <c r="J247" s="101" t="s">
        <v>497</v>
      </c>
      <c r="K247" s="101" t="s">
        <v>1654</v>
      </c>
      <c r="L247" s="104" t="s">
        <v>1647</v>
      </c>
      <c r="M247" s="103" t="s">
        <v>129</v>
      </c>
      <c r="N247" s="105">
        <v>25000</v>
      </c>
      <c r="O247" s="106" t="str" cm="1">
        <f t="array" ref="O247">_xlfn.IFS(N247="","",ABS(N247)&lt;='Risk Matrices'!$E$7,'Risk Matrices'!$E$5,ABS(N247)&lt;='Risk Matrices'!$F$7,'Risk Matrices'!$F$5,ABS(N247)&lt;='Risk Matrices'!$G$7,'Risk Matrices'!$G$5,ABS(N247)&lt;='Risk Matrices'!$H$7,'Risk Matrices'!$H$5,ABS(N247)&gt;'Risk Matrices'!$H$7,'Risk Matrices'!$I$5)</f>
        <v>Critical</v>
      </c>
      <c r="P247" s="106">
        <v>3</v>
      </c>
      <c r="Q247" s="101" t="str" cm="1">
        <f t="array" ref="Q247">_xlfn.IFS(P247="","",ABS(P247)&lt;='Risk Matrices'!$E$8,'Risk Matrices'!$E$5,ABS(P247)&lt;='Risk Matrices'!$F$8,'Risk Matrices'!$F$5,ABS(P247)&lt;='Risk Matrices'!$G$8,'Risk Matrices'!$G$5,ABS(P247)&lt;='Risk Matrices'!$H$8,'Risk Matrices'!$H$5,ABS(P247)&gt;'Risk Matrices'!$H$8,'Risk Matrices'!$I$5)</f>
        <v>Negligible</v>
      </c>
      <c r="R247" s="102" t="s">
        <v>207</v>
      </c>
      <c r="S247" s="106">
        <f t="shared" si="203"/>
        <v>4</v>
      </c>
      <c r="T247" s="106" cm="1">
        <f t="array" ref="T247">_xlfn.IFS(O247='Risk Matrices'!$D$28,'Risk Matrices'!$D$29,O247='Risk Matrices'!$E$28,'Risk Matrices'!$E$29,O247='Risk Matrices'!$F$28,'Risk Matrices'!$F$29,O247='Risk Matrices'!$G$28,'Risk Matrices'!$G$29,O247='Risk Matrices'!$H$28,'Risk Matrices'!$H$29)</f>
        <v>4</v>
      </c>
      <c r="U247" s="106">
        <f t="shared" si="192"/>
        <v>1</v>
      </c>
      <c r="V247" s="106">
        <f t="shared" si="208"/>
        <v>1</v>
      </c>
      <c r="W247" s="106">
        <f t="shared" si="193"/>
        <v>4</v>
      </c>
      <c r="X247" s="106">
        <f t="shared" si="194"/>
        <v>16</v>
      </c>
      <c r="Y247" s="107" t="str">
        <f t="shared" si="212"/>
        <v>High</v>
      </c>
      <c r="Z247" s="104"/>
      <c r="AA247" s="108">
        <f t="shared" si="195"/>
        <v>0.52</v>
      </c>
      <c r="AB247" s="109">
        <f t="shared" si="196"/>
        <v>13000</v>
      </c>
      <c r="AC247" s="109" t="s">
        <v>155</v>
      </c>
      <c r="AD247" s="104" t="s">
        <v>1648</v>
      </c>
      <c r="AE247" s="812"/>
      <c r="AF247" s="103" t="s">
        <v>619</v>
      </c>
      <c r="AG247" s="103"/>
      <c r="AH247" s="365" t="s">
        <v>1655</v>
      </c>
      <c r="AI247" s="160">
        <v>0.5</v>
      </c>
      <c r="AJ247" s="105">
        <v>24216</v>
      </c>
      <c r="AK247" s="105">
        <v>24216</v>
      </c>
      <c r="AL247" s="105">
        <v>24216</v>
      </c>
      <c r="AM247" s="105">
        <v>0</v>
      </c>
      <c r="AN247" s="105">
        <v>3</v>
      </c>
      <c r="AO247" s="105">
        <v>9</v>
      </c>
      <c r="AP247" s="112" t="str">
        <f>IF(OR(ISBLANK(AI247),AI247=0),"INSERT LIKELIHOOD",IF(ABS(AI247)&lt;='Risk Matrices'!$D$22,'Risk Matrices'!$C$21,IF(ABS(AI247)&lt;='Risk Matrices'!$D$19,'Risk Matrices'!$C$18,IF(ABS(AI247)&lt;='Risk Matrices'!$D$16,'Risk Matrices'!$C$15,IF(ABS(AI247)&lt;='Risk Matrices'!$D$13,'Risk Matrices'!$C$12,'Risk Matrices'!$C$10)))))</f>
        <v>High</v>
      </c>
      <c r="AQ247" s="112" t="str">
        <f>IF(OR(ISBLANK(AK247),AK247=0),"None",IF(ABS(AK247)&lt;='Risk Matrices'!$E$7,'Risk Matrices'!$E$5,IF(ABS(AK247)&lt;='Risk Matrices'!$G$7,'Risk Matrices'!$G$5,IF(ABS(AK247)&lt;='Risk Matrices'!$H$7,'Risk Matrices'!$H$5,'Risk Matrices'!$I$5))))</f>
        <v>Critical</v>
      </c>
      <c r="AR247" s="112" t="str">
        <f>IF(AN247="","",IF(ABS(AN247)&lt;='Risk Matrices'!$E$8,"Negligible",IF(ABS(AN247)&lt;='Risk Matrices'!$F$8,"Marginal",IF(ABS(AN247)&lt;='Risk Matrices'!$G$8,"Significant",IF(ABS(AN247)&lt;='Risk Matrices'!$H$8,"Critical","Crisis")))))</f>
        <v>Negligible</v>
      </c>
      <c r="AS247" s="102" t="s">
        <v>130</v>
      </c>
      <c r="AT247" s="298">
        <f>IF(OR(ISBLANK(AI247),AI247=0),0,VLOOKUP(AP247,'Risk Matrices'!$B$30:$C$34,2,0))</f>
        <v>4</v>
      </c>
      <c r="AU247" s="298">
        <f>IF(OR(ISBLANK(AK247),AK247=0),0,HLOOKUP(AQ247,'Risk Matrices'!$D$28:$H$29,2,0))</f>
        <v>4</v>
      </c>
      <c r="AV247" s="298">
        <f>IF(OR(ISBLANK(AR247),AR247=0),0,HLOOKUP(AR247,'Risk Matrices'!$D$28:$H$29,2,0))</f>
        <v>1</v>
      </c>
      <c r="AW247" s="298">
        <f>IF(AS247="None",0,HLOOKUP(AS247,'Risk Matrices'!$D$28:$H$29,2,0))</f>
        <v>0</v>
      </c>
      <c r="AX247" s="106">
        <f t="shared" si="197"/>
        <v>4</v>
      </c>
      <c r="AY247" s="106">
        <f t="shared" si="198"/>
        <v>16</v>
      </c>
      <c r="AZ247" s="107" t="str">
        <f>IF(B247="Retired","Retired",IF(OR(ISBLANK(AY247),AY247=0),"TBD",IF(AY247&lt;='Risk Matrices'!$D$40,'Risk Matrices'!$B$40,IF(AY247&lt;='Risk Matrices'!$D$39,'Risk Matrices'!$B$39,'Risk Matrices'!$B$38))))</f>
        <v>High</v>
      </c>
      <c r="BA247" s="112"/>
      <c r="BB247" s="104" t="s">
        <v>1650</v>
      </c>
      <c r="BC247" s="109">
        <f t="shared" si="199"/>
        <v>12108</v>
      </c>
      <c r="BD247" s="116">
        <v>45300</v>
      </c>
      <c r="BE247" s="114"/>
      <c r="BF247" s="104"/>
      <c r="BG247" s="115"/>
      <c r="BH247" s="115"/>
      <c r="BI247" s="115"/>
      <c r="BJ247" s="874">
        <f t="shared" si="204"/>
        <v>12108</v>
      </c>
      <c r="BK247" s="101"/>
      <c r="BL247" s="101"/>
      <c r="BM247" s="116">
        <v>44012</v>
      </c>
      <c r="BN247" s="330">
        <v>44134</v>
      </c>
      <c r="BO247" s="333" t="s">
        <v>1651</v>
      </c>
      <c r="BP247" s="94">
        <f t="shared" si="209"/>
        <v>12108</v>
      </c>
      <c r="BQ247" s="97" t="str">
        <f t="shared" si="200"/>
        <v>24216 - 24216 - 24216</v>
      </c>
      <c r="BR247" s="97" t="str">
        <f t="shared" si="201"/>
        <v>0 - 3 - 9</v>
      </c>
      <c r="BS247" s="715">
        <f t="shared" si="206"/>
        <v>12108</v>
      </c>
      <c r="BT247" s="736">
        <f t="shared" si="202"/>
        <v>2</v>
      </c>
      <c r="BU247" s="735" t="s">
        <v>1656</v>
      </c>
      <c r="BV247" s="873">
        <v>45382</v>
      </c>
      <c r="BW247">
        <f t="shared" si="210"/>
        <v>1248</v>
      </c>
    </row>
    <row r="248" spans="2:75" customFormat="1" ht="50" hidden="1" customHeight="1" x14ac:dyDescent="0.2">
      <c r="B248" s="101" t="str">
        <f t="shared" si="205"/>
        <v>Active</v>
      </c>
      <c r="C248" s="960" t="s">
        <v>1657</v>
      </c>
      <c r="D248" s="101" t="s">
        <v>151</v>
      </c>
      <c r="E248" s="171" t="s">
        <v>1592</v>
      </c>
      <c r="F248" s="101" t="s">
        <v>124</v>
      </c>
      <c r="G248" s="106" t="s">
        <v>1125</v>
      </c>
      <c r="H248" s="101" t="str">
        <f t="shared" si="207"/>
        <v>RT-6-011-008b</v>
      </c>
      <c r="I248" s="106" t="s">
        <v>1125</v>
      </c>
      <c r="J248" s="101" t="s">
        <v>497</v>
      </c>
      <c r="K248" s="101" t="s">
        <v>1658</v>
      </c>
      <c r="L248" s="104" t="s">
        <v>1647</v>
      </c>
      <c r="M248" s="103" t="s">
        <v>129</v>
      </c>
      <c r="N248" s="105">
        <v>10000</v>
      </c>
      <c r="O248" s="106" t="str" cm="1">
        <f t="array" ref="O248">_xlfn.IFS(N248="","",ABS(N248)&lt;='Risk Matrices'!$E$7,'Risk Matrices'!$E$5,ABS(N248)&lt;='Risk Matrices'!$F$7,'Risk Matrices'!$F$5,ABS(N248)&lt;='Risk Matrices'!$G$7,'Risk Matrices'!$G$5,ABS(N248)&lt;='Risk Matrices'!$H$7,'Risk Matrices'!$H$5,ABS(N248)&gt;'Risk Matrices'!$H$7,'Risk Matrices'!$I$5)</f>
        <v>Critical</v>
      </c>
      <c r="P248" s="106">
        <v>3</v>
      </c>
      <c r="Q248" s="101" t="str" cm="1">
        <f t="array" ref="Q248">_xlfn.IFS(P248="","",ABS(P248)&lt;='Risk Matrices'!$E$8,'Risk Matrices'!$E$5,ABS(P248)&lt;='Risk Matrices'!$F$8,'Risk Matrices'!$F$5,ABS(P248)&lt;='Risk Matrices'!$G$8,'Risk Matrices'!$G$5,ABS(P248)&lt;='Risk Matrices'!$H$8,'Risk Matrices'!$H$5,ABS(P248)&gt;'Risk Matrices'!$H$8,'Risk Matrices'!$I$5)</f>
        <v>Negligible</v>
      </c>
      <c r="R248" s="102" t="s">
        <v>207</v>
      </c>
      <c r="S248" s="106">
        <f t="shared" si="203"/>
        <v>4</v>
      </c>
      <c r="T248" s="106" cm="1">
        <f t="array" ref="T248">_xlfn.IFS(O248='Risk Matrices'!$D$28,'Risk Matrices'!$D$29,O248='Risk Matrices'!$E$28,'Risk Matrices'!$E$29,O248='Risk Matrices'!$F$28,'Risk Matrices'!$F$29,O248='Risk Matrices'!$G$28,'Risk Matrices'!$G$29,O248='Risk Matrices'!$H$28,'Risk Matrices'!$H$29)</f>
        <v>4</v>
      </c>
      <c r="U248" s="106">
        <f t="shared" si="192"/>
        <v>1</v>
      </c>
      <c r="V248" s="106">
        <f t="shared" si="208"/>
        <v>1</v>
      </c>
      <c r="W248" s="106">
        <f t="shared" si="193"/>
        <v>4</v>
      </c>
      <c r="X248" s="106">
        <f t="shared" si="194"/>
        <v>16</v>
      </c>
      <c r="Y248" s="107" t="str">
        <f t="shared" si="212"/>
        <v>High</v>
      </c>
      <c r="Z248" s="104"/>
      <c r="AA248" s="108">
        <f t="shared" si="195"/>
        <v>0.52</v>
      </c>
      <c r="AB248" s="109">
        <f t="shared" si="196"/>
        <v>5200</v>
      </c>
      <c r="AC248" s="109" t="s">
        <v>155</v>
      </c>
      <c r="AD248" s="104" t="s">
        <v>1648</v>
      </c>
      <c r="AE248" s="812"/>
      <c r="AF248" s="103" t="s">
        <v>619</v>
      </c>
      <c r="AG248" s="103"/>
      <c r="AH248" s="894" t="s">
        <v>1659</v>
      </c>
      <c r="AI248" s="160">
        <v>0.5</v>
      </c>
      <c r="AJ248" s="105">
        <v>9432</v>
      </c>
      <c r="AK248" s="105">
        <v>9432</v>
      </c>
      <c r="AL248" s="105">
        <v>9432</v>
      </c>
      <c r="AM248" s="105">
        <v>0</v>
      </c>
      <c r="AN248" s="105">
        <v>3</v>
      </c>
      <c r="AO248" s="105">
        <v>9</v>
      </c>
      <c r="AP248" s="112" t="str">
        <f>IF(OR(ISBLANK(AI248),AI248=0),"INSERT LIKELIHOOD",IF(ABS(AI248)&lt;='Risk Matrices'!$D$22,'Risk Matrices'!$C$21,IF(ABS(AI248)&lt;='Risk Matrices'!$D$19,'Risk Matrices'!$C$18,IF(ABS(AI248)&lt;='Risk Matrices'!$D$16,'Risk Matrices'!$C$15,IF(ABS(AI248)&lt;='Risk Matrices'!$D$13,'Risk Matrices'!$C$12,'Risk Matrices'!$C$10)))))</f>
        <v>High</v>
      </c>
      <c r="AQ248" s="112" t="str">
        <f>IF(OR(ISBLANK(AK248),AK248=0),"None",IF(ABS(AK248)&lt;='Risk Matrices'!$E$7,'Risk Matrices'!$E$5,IF(ABS(AK248)&lt;='Risk Matrices'!$G$7,'Risk Matrices'!$G$5,IF(ABS(AK248)&lt;='Risk Matrices'!$H$7,'Risk Matrices'!$H$5,'Risk Matrices'!$I$5))))</f>
        <v>Critical</v>
      </c>
      <c r="AR248" s="112" t="str">
        <f>IF(AN248="","",IF(ABS(AN248)&lt;='Risk Matrices'!$E$8,"Negligible",IF(ABS(AN248)&lt;='Risk Matrices'!$F$8,"Marginal",IF(ABS(AN248)&lt;='Risk Matrices'!$G$8,"Significant",IF(ABS(AN248)&lt;='Risk Matrices'!$H$8,"Critical","Crisis")))))</f>
        <v>Negligible</v>
      </c>
      <c r="AS248" s="102" t="s">
        <v>130</v>
      </c>
      <c r="AT248" s="298">
        <f>IF(OR(ISBLANK(AI248),AI248=0),0,VLOOKUP(AP248,'Risk Matrices'!$B$30:$C$34,2,0))</f>
        <v>4</v>
      </c>
      <c r="AU248" s="298">
        <f>IF(OR(ISBLANK(AK248),AK248=0),0,HLOOKUP(AQ248,'Risk Matrices'!$D$28:$H$29,2,0))</f>
        <v>4</v>
      </c>
      <c r="AV248" s="298">
        <f>IF(OR(ISBLANK(AR248),AR248=0),0,HLOOKUP(AR248,'Risk Matrices'!$D$28:$H$29,2,0))</f>
        <v>1</v>
      </c>
      <c r="AW248" s="298">
        <f>IF(AS248="None",0,HLOOKUP(AS248,'Risk Matrices'!$D$28:$H$29,2,0))</f>
        <v>0</v>
      </c>
      <c r="AX248" s="106">
        <f t="shared" si="197"/>
        <v>4</v>
      </c>
      <c r="AY248" s="106">
        <f t="shared" si="198"/>
        <v>16</v>
      </c>
      <c r="AZ248" s="107" t="str">
        <f>IF(B248="Retired","Retired",IF(OR(ISBLANK(AY248),AY248=0),"TBD",IF(AY248&lt;='Risk Matrices'!$D$40,'Risk Matrices'!$B$40,IF(AY248&lt;='Risk Matrices'!$D$39,'Risk Matrices'!$B$39,'Risk Matrices'!$B$38))))</f>
        <v>High</v>
      </c>
      <c r="BA248" s="112"/>
      <c r="BB248" s="104" t="s">
        <v>1650</v>
      </c>
      <c r="BC248" s="109">
        <f t="shared" si="199"/>
        <v>4716</v>
      </c>
      <c r="BD248" s="116">
        <v>45300</v>
      </c>
      <c r="BE248" s="114"/>
      <c r="BF248" s="104"/>
      <c r="BG248" s="115"/>
      <c r="BH248" s="115"/>
      <c r="BI248" s="115"/>
      <c r="BJ248" s="874">
        <f t="shared" si="204"/>
        <v>4716</v>
      </c>
      <c r="BK248" s="101"/>
      <c r="BL248" s="101"/>
      <c r="BM248" s="116">
        <v>44012</v>
      </c>
      <c r="BN248" s="330">
        <v>44134</v>
      </c>
      <c r="BO248" s="333" t="s">
        <v>1651</v>
      </c>
      <c r="BP248" s="94">
        <f t="shared" si="209"/>
        <v>4716</v>
      </c>
      <c r="BQ248" s="97" t="str">
        <f t="shared" si="200"/>
        <v>9432 - 9432 - 9432</v>
      </c>
      <c r="BR248" s="97" t="str">
        <f t="shared" si="201"/>
        <v>0 - 3 - 9</v>
      </c>
      <c r="BS248" s="715">
        <f t="shared" si="206"/>
        <v>4716</v>
      </c>
      <c r="BT248" s="736">
        <f t="shared" si="202"/>
        <v>2</v>
      </c>
      <c r="BU248" s="735" t="s">
        <v>1660</v>
      </c>
      <c r="BV248" s="873">
        <v>45382</v>
      </c>
      <c r="BW248">
        <f t="shared" si="210"/>
        <v>1248</v>
      </c>
    </row>
    <row r="249" spans="2:75" customFormat="1" ht="138.5" hidden="1" customHeight="1" x14ac:dyDescent="0.2">
      <c r="B249" s="101" t="str">
        <f t="shared" si="205"/>
        <v>Active</v>
      </c>
      <c r="C249" s="785" t="s">
        <v>1661</v>
      </c>
      <c r="D249" s="101" t="s">
        <v>151</v>
      </c>
      <c r="E249" s="171" t="s">
        <v>1592</v>
      </c>
      <c r="F249" s="101" t="s">
        <v>124</v>
      </c>
      <c r="G249" s="106" t="s">
        <v>1125</v>
      </c>
      <c r="H249" s="101" t="str">
        <f t="shared" si="207"/>
        <v>RT-6-011-009</v>
      </c>
      <c r="I249" s="106" t="s">
        <v>1125</v>
      </c>
      <c r="J249" s="101" t="s">
        <v>497</v>
      </c>
      <c r="K249" s="101" t="s">
        <v>1662</v>
      </c>
      <c r="L249" s="146" t="s">
        <v>1663</v>
      </c>
      <c r="M249" s="103" t="s">
        <v>141</v>
      </c>
      <c r="N249" s="105">
        <v>10000</v>
      </c>
      <c r="O249" s="106" t="str" cm="1">
        <f t="array" ref="O249">_xlfn.IFS(N249="","",ABS(N249)&lt;='Risk Matrices'!$E$7,'Risk Matrices'!$E$5,ABS(N249)&lt;='Risk Matrices'!$F$7,'Risk Matrices'!$F$5,ABS(N249)&lt;='Risk Matrices'!$G$7,'Risk Matrices'!$G$5,ABS(N249)&lt;='Risk Matrices'!$H$7,'Risk Matrices'!$H$5,ABS(N249)&gt;'Risk Matrices'!$H$7,'Risk Matrices'!$I$5)</f>
        <v>Critical</v>
      </c>
      <c r="P249" s="106">
        <v>6</v>
      </c>
      <c r="Q249" s="101" t="str" cm="1">
        <f t="array" ref="Q249">_xlfn.IFS(P249="","",ABS(P249)&lt;='Risk Matrices'!$E$8,'Risk Matrices'!$E$5,ABS(P249)&lt;='Risk Matrices'!$F$8,'Risk Matrices'!$F$5,ABS(P249)&lt;='Risk Matrices'!$G$8,'Risk Matrices'!$G$5,ABS(P249)&lt;='Risk Matrices'!$H$8,'Risk Matrices'!$H$5,ABS(P249)&gt;'Risk Matrices'!$H$8,'Risk Matrices'!$I$5)</f>
        <v>Marginal</v>
      </c>
      <c r="R249" s="102" t="s">
        <v>207</v>
      </c>
      <c r="S249" s="106">
        <f t="shared" si="203"/>
        <v>3</v>
      </c>
      <c r="T249" s="106" cm="1">
        <f t="array" ref="T249">_xlfn.IFS(O249='Risk Matrices'!$D$28,'Risk Matrices'!$D$29,O249='Risk Matrices'!$E$28,'Risk Matrices'!$E$29,O249='Risk Matrices'!$F$28,'Risk Matrices'!$F$29,O249='Risk Matrices'!$G$28,'Risk Matrices'!$G$29,O249='Risk Matrices'!$H$28,'Risk Matrices'!$H$29)</f>
        <v>4</v>
      </c>
      <c r="U249" s="106">
        <f t="shared" si="192"/>
        <v>2</v>
      </c>
      <c r="V249" s="106">
        <f t="shared" si="208"/>
        <v>1</v>
      </c>
      <c r="W249" s="106">
        <f t="shared" si="193"/>
        <v>4</v>
      </c>
      <c r="X249" s="106">
        <f t="shared" si="194"/>
        <v>12</v>
      </c>
      <c r="Y249" s="107" t="str">
        <f t="shared" si="212"/>
        <v>Moderate</v>
      </c>
      <c r="Z249" s="104"/>
      <c r="AA249" s="108">
        <f t="shared" si="195"/>
        <v>0.32</v>
      </c>
      <c r="AB249" s="109">
        <f t="shared" si="196"/>
        <v>3200</v>
      </c>
      <c r="AC249" s="109" t="s">
        <v>155</v>
      </c>
      <c r="AD249" s="146" t="s">
        <v>1664</v>
      </c>
      <c r="AE249" s="146"/>
      <c r="AF249" s="101" t="s">
        <v>145</v>
      </c>
      <c r="AG249" s="103"/>
      <c r="AH249" s="890" t="s">
        <v>1665</v>
      </c>
      <c r="AI249" s="160">
        <v>0.3</v>
      </c>
      <c r="AJ249" s="105">
        <v>500</v>
      </c>
      <c r="AK249" s="105">
        <v>10000</v>
      </c>
      <c r="AL249" s="105">
        <v>15000</v>
      </c>
      <c r="AM249" s="105">
        <v>0</v>
      </c>
      <c r="AN249" s="105">
        <v>6</v>
      </c>
      <c r="AO249" s="105">
        <v>12</v>
      </c>
      <c r="AP249" s="112" t="str">
        <f>IF(OR(ISBLANK(AI249),AI249=0),"INSERT LIKELIHOOD",IF(ABS(AI249)&lt;='Risk Matrices'!$D$22,'Risk Matrices'!$C$21,IF(ABS(AI249)&lt;='Risk Matrices'!$D$19,'Risk Matrices'!$C$18,IF(ABS(AI249)&lt;='Risk Matrices'!$D$16,'Risk Matrices'!$C$15,IF(ABS(AI249)&lt;='Risk Matrices'!$D$13,'Risk Matrices'!$C$12,'Risk Matrices'!$C$10)))))</f>
        <v>Moderate</v>
      </c>
      <c r="AQ249" s="112" t="str">
        <f>IF(OR(ISBLANK(AK249),AK249=0),"None",IF(ABS(AK249)&lt;='Risk Matrices'!$E$7,'Risk Matrices'!$E$5,IF(ABS(AK249)&lt;='Risk Matrices'!$G$7,'Risk Matrices'!$G$5,IF(ABS(AK249)&lt;='Risk Matrices'!$H$7,'Risk Matrices'!$H$5,'Risk Matrices'!$I$5))))</f>
        <v>Critical</v>
      </c>
      <c r="AR249" s="112" t="str">
        <f>IF(AN249="","",IF(ABS(AN249)&lt;='Risk Matrices'!$E$8,"Negligible",IF(ABS(AN249)&lt;='Risk Matrices'!$F$8,"Marginal",IF(ABS(AN249)&lt;='Risk Matrices'!$G$8,"Significant",IF(ABS(AN249)&lt;='Risk Matrices'!$H$8,"Critical","Crisis")))))</f>
        <v>Marginal</v>
      </c>
      <c r="AS249" s="102" t="s">
        <v>130</v>
      </c>
      <c r="AT249" s="298">
        <f>IF(OR(ISBLANK(AI249),AI249=0),0,VLOOKUP(AP249,'Risk Matrices'!$B$30:$C$34,2,0))</f>
        <v>3</v>
      </c>
      <c r="AU249" s="298">
        <f>IF(OR(ISBLANK(AK249),AK249=0),0,HLOOKUP(AQ249,'Risk Matrices'!$D$28:$H$29,2,0))</f>
        <v>4</v>
      </c>
      <c r="AV249" s="298">
        <f>IF(OR(ISBLANK(AR249),AR249=0),0,HLOOKUP(AR249,'Risk Matrices'!$D$28:$H$29,2,0))</f>
        <v>2</v>
      </c>
      <c r="AW249" s="298">
        <f>IF(AS249="None",0,HLOOKUP(AS249,'Risk Matrices'!$D$28:$H$29,2,0))</f>
        <v>0</v>
      </c>
      <c r="AX249" s="106">
        <f t="shared" si="197"/>
        <v>4</v>
      </c>
      <c r="AY249" s="106">
        <f t="shared" si="198"/>
        <v>12</v>
      </c>
      <c r="AZ249" s="107" t="str">
        <f>IF(B249="Retired","Retired",IF(OR(ISBLANK(AY249),AY249=0),"TBD",IF(AY249&lt;='Risk Matrices'!$D$40,'Risk Matrices'!$B$40,IF(AY249&lt;='Risk Matrices'!$D$39,'Risk Matrices'!$B$39,'Risk Matrices'!$B$38))))</f>
        <v>Moderate</v>
      </c>
      <c r="BA249" s="112"/>
      <c r="BB249" s="101" t="s">
        <v>366</v>
      </c>
      <c r="BC249" s="109">
        <f t="shared" si="199"/>
        <v>3000</v>
      </c>
      <c r="BD249" s="116">
        <v>45300</v>
      </c>
      <c r="BE249" s="114"/>
      <c r="BF249" s="115"/>
      <c r="BG249" s="115"/>
      <c r="BH249" s="115"/>
      <c r="BI249" s="115"/>
      <c r="BJ249" s="874">
        <f t="shared" si="204"/>
        <v>2550</v>
      </c>
      <c r="BK249" s="101"/>
      <c r="BL249" s="101"/>
      <c r="BM249" s="116">
        <v>44012</v>
      </c>
      <c r="BN249" s="330">
        <v>44134</v>
      </c>
      <c r="BO249" s="332"/>
      <c r="BP249" s="94">
        <f t="shared" si="209"/>
        <v>2775</v>
      </c>
      <c r="BQ249" s="97" t="str">
        <f t="shared" si="200"/>
        <v>500 - 10000 - 15000</v>
      </c>
      <c r="BR249" s="97" t="str">
        <f t="shared" si="201"/>
        <v>0 - 6 - 12</v>
      </c>
      <c r="BS249" s="715">
        <f t="shared" si="206"/>
        <v>2550</v>
      </c>
      <c r="BT249" s="736">
        <f t="shared" si="202"/>
        <v>1.7999999999999998</v>
      </c>
      <c r="BU249" s="735" t="s">
        <v>1666</v>
      </c>
      <c r="BV249" s="873">
        <v>45382</v>
      </c>
      <c r="BW249">
        <f t="shared" si="210"/>
        <v>1248</v>
      </c>
    </row>
    <row r="250" spans="2:75" customFormat="1" ht="105" hidden="1" x14ac:dyDescent="0.2">
      <c r="B250" s="101" t="str">
        <f t="shared" si="205"/>
        <v>Active</v>
      </c>
      <c r="C250" s="785" t="s">
        <v>1667</v>
      </c>
      <c r="D250" s="101" t="s">
        <v>151</v>
      </c>
      <c r="E250" s="171" t="s">
        <v>1592</v>
      </c>
      <c r="F250" s="101" t="s">
        <v>124</v>
      </c>
      <c r="G250" s="106" t="s">
        <v>1125</v>
      </c>
      <c r="H250" s="101" t="str">
        <f t="shared" si="207"/>
        <v>RT-6-011-010</v>
      </c>
      <c r="I250" s="106" t="s">
        <v>1125</v>
      </c>
      <c r="J250" s="101" t="s">
        <v>497</v>
      </c>
      <c r="K250" s="101" t="s">
        <v>1668</v>
      </c>
      <c r="L250" s="146" t="s">
        <v>1669</v>
      </c>
      <c r="M250" s="103" t="s">
        <v>141</v>
      </c>
      <c r="N250" s="105">
        <v>10000</v>
      </c>
      <c r="O250" s="106" t="str" cm="1">
        <f t="array" ref="O250">_xlfn.IFS(N250="","",ABS(N250)&lt;='Risk Matrices'!$E$7,'Risk Matrices'!$E$5,ABS(N250)&lt;='Risk Matrices'!$F$7,'Risk Matrices'!$F$5,ABS(N250)&lt;='Risk Matrices'!$G$7,'Risk Matrices'!$G$5,ABS(N250)&lt;='Risk Matrices'!$H$7,'Risk Matrices'!$H$5,ABS(N250)&gt;'Risk Matrices'!$H$7,'Risk Matrices'!$I$5)</f>
        <v>Critical</v>
      </c>
      <c r="P250" s="106">
        <v>6</v>
      </c>
      <c r="Q250" s="101" t="str" cm="1">
        <f t="array" ref="Q250">_xlfn.IFS(P250="","",ABS(P250)&lt;='Risk Matrices'!$E$8,'Risk Matrices'!$E$5,ABS(P250)&lt;='Risk Matrices'!$F$8,'Risk Matrices'!$F$5,ABS(P250)&lt;='Risk Matrices'!$G$8,'Risk Matrices'!$G$5,ABS(P250)&lt;='Risk Matrices'!$H$8,'Risk Matrices'!$H$5,ABS(P250)&gt;'Risk Matrices'!$H$8,'Risk Matrices'!$I$5)</f>
        <v>Marginal</v>
      </c>
      <c r="R250" s="102" t="s">
        <v>207</v>
      </c>
      <c r="S250" s="106">
        <f t="shared" si="203"/>
        <v>3</v>
      </c>
      <c r="T250" s="106" cm="1">
        <f t="array" ref="T250">_xlfn.IFS(O250='Risk Matrices'!$D$28,'Risk Matrices'!$D$29,O250='Risk Matrices'!$E$28,'Risk Matrices'!$E$29,O250='Risk Matrices'!$F$28,'Risk Matrices'!$F$29,O250='Risk Matrices'!$G$28,'Risk Matrices'!$G$29,O250='Risk Matrices'!$H$28,'Risk Matrices'!$H$29)</f>
        <v>4</v>
      </c>
      <c r="U250" s="106">
        <f t="shared" si="192"/>
        <v>2</v>
      </c>
      <c r="V250" s="106">
        <f t="shared" si="208"/>
        <v>1</v>
      </c>
      <c r="W250" s="106">
        <f t="shared" si="193"/>
        <v>4</v>
      </c>
      <c r="X250" s="106">
        <f t="shared" si="194"/>
        <v>12</v>
      </c>
      <c r="Y250" s="107" t="str">
        <f t="shared" si="212"/>
        <v>Moderate</v>
      </c>
      <c r="Z250" s="104"/>
      <c r="AA250" s="108">
        <f t="shared" si="195"/>
        <v>0.32</v>
      </c>
      <c r="AB250" s="109">
        <f t="shared" si="196"/>
        <v>3200</v>
      </c>
      <c r="AC250" s="109" t="s">
        <v>155</v>
      </c>
      <c r="AD250" s="146" t="s">
        <v>1664</v>
      </c>
      <c r="AE250" s="146"/>
      <c r="AF250" s="101" t="s">
        <v>145</v>
      </c>
      <c r="AG250" s="103"/>
      <c r="AH250" s="890" t="s">
        <v>1665</v>
      </c>
      <c r="AI250" s="160">
        <v>0.2</v>
      </c>
      <c r="AJ250" s="105">
        <v>500</v>
      </c>
      <c r="AK250" s="105">
        <v>10000</v>
      </c>
      <c r="AL250" s="105">
        <v>15000</v>
      </c>
      <c r="AM250" s="105">
        <v>0</v>
      </c>
      <c r="AN250" s="105">
        <v>6</v>
      </c>
      <c r="AO250" s="105">
        <v>12</v>
      </c>
      <c r="AP250" s="112" t="str">
        <f>IF(OR(ISBLANK(AI250),AI250=0),"INSERT LIKELIHOOD",IF(ABS(AI250)&lt;='Risk Matrices'!$D$22,'Risk Matrices'!$C$21,IF(ABS(AI250)&lt;='Risk Matrices'!$D$19,'Risk Matrices'!$C$18,IF(ABS(AI250)&lt;='Risk Matrices'!$D$16,'Risk Matrices'!$C$15,IF(ABS(AI250)&lt;='Risk Matrices'!$D$13,'Risk Matrices'!$C$12,'Risk Matrices'!$C$10)))))</f>
        <v>Low</v>
      </c>
      <c r="AQ250" s="112" t="str">
        <f>IF(OR(ISBLANK(AK250),AK250=0),"None",IF(ABS(AK250)&lt;='Risk Matrices'!$E$7,'Risk Matrices'!$E$5,IF(ABS(AK250)&lt;='Risk Matrices'!$G$7,'Risk Matrices'!$G$5,IF(ABS(AK250)&lt;='Risk Matrices'!$H$7,'Risk Matrices'!$H$5,'Risk Matrices'!$I$5))))</f>
        <v>Critical</v>
      </c>
      <c r="AR250" s="112" t="str">
        <f>IF(AN250="","",IF(ABS(AN250)&lt;='Risk Matrices'!$E$8,"Negligible",IF(ABS(AN250)&lt;='Risk Matrices'!$F$8,"Marginal",IF(ABS(AN250)&lt;='Risk Matrices'!$G$8,"Significant",IF(ABS(AN250)&lt;='Risk Matrices'!$H$8,"Critical","Crisis")))))</f>
        <v>Marginal</v>
      </c>
      <c r="AS250" s="102" t="s">
        <v>130</v>
      </c>
      <c r="AT250" s="298">
        <f>IF(OR(ISBLANK(AI250),AI250=0),0,VLOOKUP(AP250,'Risk Matrices'!$B$30:$C$34,2,0))</f>
        <v>2</v>
      </c>
      <c r="AU250" s="298">
        <f>IF(OR(ISBLANK(AK250),AK250=0),0,HLOOKUP(AQ250,'Risk Matrices'!$D$28:$H$29,2,0))</f>
        <v>4</v>
      </c>
      <c r="AV250" s="298">
        <f>IF(OR(ISBLANK(AR250),AR250=0),0,HLOOKUP(AR250,'Risk Matrices'!$D$28:$H$29,2,0))</f>
        <v>2</v>
      </c>
      <c r="AW250" s="298">
        <f>IF(AS250="None",0,HLOOKUP(AS250,'Risk Matrices'!$D$28:$H$29,2,0))</f>
        <v>0</v>
      </c>
      <c r="AX250" s="106">
        <f t="shared" si="197"/>
        <v>4</v>
      </c>
      <c r="AY250" s="106">
        <f t="shared" si="198"/>
        <v>8</v>
      </c>
      <c r="AZ250" s="107" t="str">
        <f>IF(B250="Retired","Retired",IF(OR(ISBLANK(AY250),AY250=0),"TBD",IF(AY250&lt;='Risk Matrices'!$D$40,'Risk Matrices'!$B$40,IF(AY250&lt;='Risk Matrices'!$D$39,'Risk Matrices'!$B$39,'Risk Matrices'!$B$38))))</f>
        <v>Moderate</v>
      </c>
      <c r="BA250" s="112"/>
      <c r="BB250" s="101" t="s">
        <v>366</v>
      </c>
      <c r="BC250" s="109">
        <f t="shared" si="199"/>
        <v>2000</v>
      </c>
      <c r="BD250" s="116">
        <v>45300</v>
      </c>
      <c r="BE250" s="114"/>
      <c r="BF250" s="115"/>
      <c r="BG250" s="115"/>
      <c r="BH250" s="115"/>
      <c r="BI250" s="115"/>
      <c r="BJ250" s="874">
        <f t="shared" si="204"/>
        <v>1700</v>
      </c>
      <c r="BK250" s="101"/>
      <c r="BL250" s="101"/>
      <c r="BM250" s="116">
        <v>44012</v>
      </c>
      <c r="BN250" s="330">
        <v>44134</v>
      </c>
      <c r="BO250" s="332"/>
      <c r="BP250" s="94">
        <f t="shared" si="209"/>
        <v>1850</v>
      </c>
      <c r="BQ250" s="97" t="str">
        <f t="shared" si="200"/>
        <v>500 - 10000 - 15000</v>
      </c>
      <c r="BR250" s="97" t="str">
        <f t="shared" si="201"/>
        <v>0 - 6 - 12</v>
      </c>
      <c r="BS250" s="715">
        <f t="shared" si="206"/>
        <v>1700</v>
      </c>
      <c r="BT250" s="736">
        <f t="shared" si="202"/>
        <v>1.2</v>
      </c>
      <c r="BU250" s="735" t="s">
        <v>1670</v>
      </c>
      <c r="BV250" s="873">
        <v>45382</v>
      </c>
      <c r="BW250">
        <f t="shared" si="210"/>
        <v>1248</v>
      </c>
    </row>
    <row r="251" spans="2:75" customFormat="1" ht="45" hidden="1" x14ac:dyDescent="0.2">
      <c r="B251" s="101" t="str">
        <f t="shared" si="205"/>
        <v>Active</v>
      </c>
      <c r="C251" s="785" t="s">
        <v>1671</v>
      </c>
      <c r="D251" s="101" t="s">
        <v>151</v>
      </c>
      <c r="E251" s="171" t="s">
        <v>1592</v>
      </c>
      <c r="F251" s="101" t="s">
        <v>124</v>
      </c>
      <c r="G251" s="106" t="s">
        <v>1125</v>
      </c>
      <c r="H251" s="101" t="str">
        <f t="shared" si="207"/>
        <v>RT-6-011-011</v>
      </c>
      <c r="I251" s="106" t="s">
        <v>1125</v>
      </c>
      <c r="J251" s="101" t="s">
        <v>497</v>
      </c>
      <c r="K251" s="101" t="s">
        <v>1672</v>
      </c>
      <c r="L251" s="297" t="s">
        <v>1673</v>
      </c>
      <c r="M251" s="103" t="s">
        <v>141</v>
      </c>
      <c r="N251" s="105">
        <v>0</v>
      </c>
      <c r="O251" s="106" t="str" cm="1">
        <f t="array" ref="O251">_xlfn.IFS(N251="","",ABS(N251)&lt;='Risk Matrices'!$E$7,'Risk Matrices'!$E$5,ABS(N251)&lt;='Risk Matrices'!$F$7,'Risk Matrices'!$F$5,ABS(N251)&lt;='Risk Matrices'!$G$7,'Risk Matrices'!$G$5,ABS(N251)&lt;='Risk Matrices'!$H$7,'Risk Matrices'!$H$5,ABS(N251)&gt;'Risk Matrices'!$H$7,'Risk Matrices'!$I$5)</f>
        <v>Negligible</v>
      </c>
      <c r="P251" s="106">
        <v>3</v>
      </c>
      <c r="Q251" s="101" t="str" cm="1">
        <f t="array" ref="Q251">_xlfn.IFS(P251="","",ABS(P251)&lt;='Risk Matrices'!$E$8,'Risk Matrices'!$E$5,ABS(P251)&lt;='Risk Matrices'!$F$8,'Risk Matrices'!$F$5,ABS(P251)&lt;='Risk Matrices'!$G$8,'Risk Matrices'!$G$5,ABS(P251)&lt;='Risk Matrices'!$H$8,'Risk Matrices'!$H$5,ABS(P251)&gt;'Risk Matrices'!$H$8,'Risk Matrices'!$I$5)</f>
        <v>Negligible</v>
      </c>
      <c r="R251" s="101" t="s">
        <v>130</v>
      </c>
      <c r="S251" s="106">
        <f t="shared" si="203"/>
        <v>3</v>
      </c>
      <c r="T251" s="106" cm="1">
        <f t="array" ref="T251">_xlfn.IFS(O251='Risk Matrices'!$D$28,'Risk Matrices'!$D$29,O251='Risk Matrices'!$E$28,'Risk Matrices'!$E$29,O251='Risk Matrices'!$F$28,'Risk Matrices'!$F$29,O251='Risk Matrices'!$G$28,'Risk Matrices'!$G$29,O251='Risk Matrices'!$H$28,'Risk Matrices'!$H$29)</f>
        <v>1</v>
      </c>
      <c r="U251" s="106"/>
      <c r="V251" s="106">
        <f t="shared" si="208"/>
        <v>0</v>
      </c>
      <c r="W251" s="106"/>
      <c r="X251" s="106"/>
      <c r="Y251" s="107" t="str">
        <f t="shared" si="212"/>
        <v>Low</v>
      </c>
      <c r="Z251" s="104"/>
      <c r="AA251" s="108"/>
      <c r="AB251" s="109"/>
      <c r="AC251" s="109" t="s">
        <v>155</v>
      </c>
      <c r="AD251" s="146" t="s">
        <v>1674</v>
      </c>
      <c r="AE251" s="146"/>
      <c r="AF251" s="101" t="s">
        <v>134</v>
      </c>
      <c r="AG251" s="941" t="s">
        <v>1675</v>
      </c>
      <c r="AH251" s="941" t="s">
        <v>1675</v>
      </c>
      <c r="AI251" s="160">
        <v>0.2</v>
      </c>
      <c r="AJ251" s="105">
        <v>0</v>
      </c>
      <c r="AK251" s="105">
        <v>0</v>
      </c>
      <c r="AL251" s="105">
        <v>0</v>
      </c>
      <c r="AM251" s="105">
        <v>1</v>
      </c>
      <c r="AN251" s="105">
        <v>3</v>
      </c>
      <c r="AO251" s="105">
        <v>6</v>
      </c>
      <c r="AP251" s="112" t="str">
        <f>IF(OR(ISBLANK(AI251),AI251=0),"INSERT LIKELIHOOD",IF(ABS(AI251)&lt;='Risk Matrices'!$D$22,'Risk Matrices'!$C$21,IF(ABS(AI251)&lt;='Risk Matrices'!$D$19,'Risk Matrices'!$C$18,IF(ABS(AI251)&lt;='Risk Matrices'!$D$16,'Risk Matrices'!$C$15,IF(ABS(AI251)&lt;='Risk Matrices'!$D$13,'Risk Matrices'!$C$12,'Risk Matrices'!$C$10)))))</f>
        <v>Low</v>
      </c>
      <c r="AQ251" s="112" t="str">
        <f>IF(OR(ISBLANK(AK251),AK251=0),"None",IF(ABS(AK251)&lt;='Risk Matrices'!$E$7,'Risk Matrices'!$E$5,IF(ABS(AK251)&lt;='Risk Matrices'!$G$7,'Risk Matrices'!$G$5,IF(ABS(AK251)&lt;='Risk Matrices'!$H$7,'Risk Matrices'!$H$5,'Risk Matrices'!$I$5))))</f>
        <v>None</v>
      </c>
      <c r="AR251" s="112" t="str">
        <f>IF(AN251="","",IF(ABS(AN251)&lt;='Risk Matrices'!$E$8,"Negligible",IF(ABS(AN251)&lt;='Risk Matrices'!$F$8,"Marginal",IF(ABS(AN251)&lt;='Risk Matrices'!$G$8,"Significant",IF(ABS(AN251)&lt;='Risk Matrices'!$H$8,"Critical","Crisis")))))</f>
        <v>Negligible</v>
      </c>
      <c r="AS251" s="103" t="s">
        <v>130</v>
      </c>
      <c r="AT251" s="298">
        <f>IF(OR(ISBLANK(AI251),AI251=0),0,VLOOKUP(AP251,'Risk Matrices'!$B$30:$C$34,2,0))</f>
        <v>2</v>
      </c>
      <c r="AU251" s="298">
        <f>IF(OR(ISBLANK(AK251),AK251=0),0,HLOOKUP(AQ251,'Risk Matrices'!$D$28:$H$29,2,0))</f>
        <v>0</v>
      </c>
      <c r="AV251" s="298">
        <f>IF(OR(ISBLANK(AR251),AR251=0),0,HLOOKUP(AR251,'Risk Matrices'!$D$28:$H$29,2,0))</f>
        <v>1</v>
      </c>
      <c r="AW251" s="298">
        <f>IF(AS251="None",0,HLOOKUP(AS251,'Risk Matrices'!$D$28:$H$29,2,0))</f>
        <v>0</v>
      </c>
      <c r="AX251" s="106">
        <f t="shared" si="197"/>
        <v>1</v>
      </c>
      <c r="AY251" s="106">
        <f t="shared" si="198"/>
        <v>2</v>
      </c>
      <c r="AZ251" s="107" t="str">
        <f>IF(B251="Retired","Retired",IF(OR(ISBLANK(AY251),AY251=0),"TBD",IF(AY251&lt;='Risk Matrices'!$D$40,'Risk Matrices'!$B$40,IF(AY251&lt;='Risk Matrices'!$D$39,'Risk Matrices'!$B$39,'Risk Matrices'!$B$38))))</f>
        <v>Low</v>
      </c>
      <c r="BA251" s="112"/>
      <c r="BB251" s="101" t="s">
        <v>366</v>
      </c>
      <c r="BC251" s="109">
        <f t="shared" si="199"/>
        <v>0</v>
      </c>
      <c r="BD251" s="116">
        <v>45300</v>
      </c>
      <c r="BE251" s="114"/>
      <c r="BF251" s="115"/>
      <c r="BG251" s="115"/>
      <c r="BH251" s="115"/>
      <c r="BI251" s="115"/>
      <c r="BJ251" s="874">
        <f t="shared" si="204"/>
        <v>0</v>
      </c>
      <c r="BK251" s="101"/>
      <c r="BL251" s="101"/>
      <c r="BM251" s="116">
        <v>44529</v>
      </c>
      <c r="BN251" s="330">
        <v>44529</v>
      </c>
      <c r="BO251" s="332"/>
      <c r="BP251" s="94">
        <f t="shared" si="209"/>
        <v>0</v>
      </c>
      <c r="BQ251" s="97" t="str">
        <f t="shared" si="200"/>
        <v>0 - 0 - 0</v>
      </c>
      <c r="BR251" s="97" t="str">
        <f t="shared" si="201"/>
        <v>1 - 3 - 6</v>
      </c>
      <c r="BS251" s="715">
        <f t="shared" si="206"/>
        <v>0</v>
      </c>
      <c r="BT251" s="736">
        <f t="shared" si="202"/>
        <v>0.66666666666666663</v>
      </c>
      <c r="BU251" s="735" t="s">
        <v>1676</v>
      </c>
      <c r="BV251" s="873">
        <v>45382</v>
      </c>
      <c r="BW251">
        <f t="shared" si="210"/>
        <v>853</v>
      </c>
    </row>
    <row r="252" spans="2:75" customFormat="1" ht="122.5" hidden="1" customHeight="1" x14ac:dyDescent="0.2">
      <c r="B252" s="101" t="str">
        <f t="shared" si="205"/>
        <v>Active</v>
      </c>
      <c r="C252" s="785" t="s">
        <v>1677</v>
      </c>
      <c r="D252" s="101" t="s">
        <v>151</v>
      </c>
      <c r="E252" s="171" t="s">
        <v>1592</v>
      </c>
      <c r="F252" s="101" t="s">
        <v>124</v>
      </c>
      <c r="G252" s="106" t="s">
        <v>1125</v>
      </c>
      <c r="H252" s="101" t="str">
        <f t="shared" si="207"/>
        <v>RT-6-011-012</v>
      </c>
      <c r="I252" s="106" t="s">
        <v>1125</v>
      </c>
      <c r="J252" s="101" t="s">
        <v>497</v>
      </c>
      <c r="K252" s="101" t="s">
        <v>1678</v>
      </c>
      <c r="L252" s="811" t="s">
        <v>1679</v>
      </c>
      <c r="M252" s="754" t="s">
        <v>141</v>
      </c>
      <c r="N252" s="105">
        <v>5000</v>
      </c>
      <c r="O252" s="106" t="str" cm="1">
        <f t="array" ref="O252">_xlfn.IFS(N252="","",ABS(N252)&lt;='Risk Matrices'!$E$7,'Risk Matrices'!$E$5,ABS(N252)&lt;='Risk Matrices'!$F$7,'Risk Matrices'!$F$5,ABS(N252)&lt;='Risk Matrices'!$G$7,'Risk Matrices'!$G$5,ABS(N252)&lt;='Risk Matrices'!$H$7,'Risk Matrices'!$H$5,ABS(N252)&gt;'Risk Matrices'!$H$7,'Risk Matrices'!$I$5)</f>
        <v>Significant</v>
      </c>
      <c r="P252" s="101">
        <v>6</v>
      </c>
      <c r="Q252" s="101" t="str" cm="1">
        <f t="array" ref="Q252">_xlfn.IFS(P252="","",ABS(P252)&lt;='Risk Matrices'!$E$8,'Risk Matrices'!$E$5,ABS(P252)&lt;='Risk Matrices'!$F$8,'Risk Matrices'!$F$5,ABS(P252)&lt;='Risk Matrices'!$G$8,'Risk Matrices'!$G$5,ABS(P252)&lt;='Risk Matrices'!$H$8,'Risk Matrices'!$H$5,ABS(P252)&gt;'Risk Matrices'!$H$8,'Risk Matrices'!$I$5)</f>
        <v>Marginal</v>
      </c>
      <c r="R252" s="101" t="s">
        <v>207</v>
      </c>
      <c r="S252" s="106">
        <f t="shared" si="203"/>
        <v>3</v>
      </c>
      <c r="T252" s="106" cm="1">
        <f t="array" ref="T252">_xlfn.IFS(O252='Risk Matrices'!$D$28,'Risk Matrices'!$D$29,O252='Risk Matrices'!$E$28,'Risk Matrices'!$E$29,O252='Risk Matrices'!$F$28,'Risk Matrices'!$F$29,O252='Risk Matrices'!$G$28,'Risk Matrices'!$G$29,O252='Risk Matrices'!$H$28,'Risk Matrices'!$H$29)</f>
        <v>3</v>
      </c>
      <c r="U252" s="106">
        <f t="shared" ref="U252:U267" si="213">IF(Q252="",0,IF(Q252="Negligible",1,IF(Q252="Marginal",2,IF(Q252="Significant",3,IF(Q252="Critical",4,IF(Q252="Crisis",5))))))</f>
        <v>2</v>
      </c>
      <c r="V252" s="106">
        <f t="shared" si="208"/>
        <v>1</v>
      </c>
      <c r="W252" s="106">
        <f t="shared" ref="W252:W267" si="214">MAX(T252,U252,V252)</f>
        <v>3</v>
      </c>
      <c r="X252" s="106">
        <f t="shared" ref="X252:X267" si="215">S252*W252</f>
        <v>9</v>
      </c>
      <c r="Y252" s="107" t="str">
        <f t="shared" si="212"/>
        <v>Moderate</v>
      </c>
      <c r="Z252" s="104"/>
      <c r="AA252" s="108">
        <f t="shared" ref="AA252:AA267" si="216">IF(M252="",0,IF(M252="Very Low (There is a &lt;10% chance that this event will occur)",0.05,IF(M252="Low (Risk is likely to occur with a probability of &gt; 10% to &lt; 25%)",0.17,IF(M252="Moderate (Risk is likely to occur with a probability of &gt; 25% to &lt; 40%)",0.32,IF(M252="High (Risk is likely to occur with a probability of &gt;40 to &lt;65%)",0.52,IF(M252="Very High (Risk is likely to occur with a probability of &gt;65%)",0.82))))))</f>
        <v>0.32</v>
      </c>
      <c r="AB252" s="109">
        <f t="shared" ref="AB252:AB267" si="217">+AA252*N252</f>
        <v>1600</v>
      </c>
      <c r="AC252" s="109" t="s">
        <v>155</v>
      </c>
      <c r="AD252" s="206" t="s">
        <v>1680</v>
      </c>
      <c r="AE252" s="939"/>
      <c r="AF252" s="103" t="s">
        <v>134</v>
      </c>
      <c r="AG252" s="937"/>
      <c r="AH252" s="982" t="s">
        <v>1681</v>
      </c>
      <c r="AI252" s="160">
        <v>0.3</v>
      </c>
      <c r="AJ252" s="105">
        <v>500</v>
      </c>
      <c r="AK252" s="105">
        <v>5000</v>
      </c>
      <c r="AL252" s="105">
        <v>8000</v>
      </c>
      <c r="AM252" s="105">
        <v>3</v>
      </c>
      <c r="AN252" s="105">
        <v>6</v>
      </c>
      <c r="AO252" s="105">
        <v>9</v>
      </c>
      <c r="AP252" s="112" t="str">
        <f>IF(OR(ISBLANK(AI252),AI252=0),"INSERT LIKELIHOOD",IF(ABS(AI252)&lt;='Risk Matrices'!$D$22,'Risk Matrices'!$C$21,IF(ABS(AI252)&lt;='Risk Matrices'!$D$19,'Risk Matrices'!$C$18,IF(ABS(AI252)&lt;='Risk Matrices'!$D$16,'Risk Matrices'!$C$15,IF(ABS(AI252)&lt;='Risk Matrices'!$D$13,'Risk Matrices'!$C$12,'Risk Matrices'!$C$10)))))</f>
        <v>Moderate</v>
      </c>
      <c r="AQ252" s="112" t="str">
        <f>IF(OR(ISBLANK(AK252),AK252=0),"None",IF(ABS(AK252)&lt;='Risk Matrices'!$E$7,'Risk Matrices'!$E$5,IF(ABS(AK252)&lt;='Risk Matrices'!$G$7,'Risk Matrices'!$G$5,IF(ABS(AK252)&lt;='Risk Matrices'!$H$7,'Risk Matrices'!$H$5,'Risk Matrices'!$I$5))))</f>
        <v>Significant</v>
      </c>
      <c r="AR252" s="112" t="str">
        <f>IF(AN252="","",IF(ABS(AN252)&lt;='Risk Matrices'!$E$8,"Negligible",IF(ABS(AN252)&lt;='Risk Matrices'!$F$8,"Marginal",IF(ABS(AN252)&lt;='Risk Matrices'!$G$8,"Significant",IF(ABS(AN252)&lt;='Risk Matrices'!$H$8,"Critical","Crisis")))))</f>
        <v>Marginal</v>
      </c>
      <c r="AS252" s="102" t="s">
        <v>130</v>
      </c>
      <c r="AT252" s="298">
        <f>IF(OR(ISBLANK(AI252),AI252=0),0,VLOOKUP(AP252,'Risk Matrices'!$B$30:$C$34,2,0))</f>
        <v>3</v>
      </c>
      <c r="AU252" s="298">
        <f>IF(OR(ISBLANK(AK252),AK252=0),0,HLOOKUP(AQ252,'Risk Matrices'!$D$28:$H$29,2,0))</f>
        <v>3</v>
      </c>
      <c r="AV252" s="298">
        <f>IF(OR(ISBLANK(AR252),AR252=0),0,HLOOKUP(AR252,'Risk Matrices'!$D$28:$H$29,2,0))</f>
        <v>2</v>
      </c>
      <c r="AW252" s="298">
        <f>IF(AS252="None",0,HLOOKUP(AS252,'Risk Matrices'!$D$28:$H$29,2,0))</f>
        <v>0</v>
      </c>
      <c r="AX252" s="106">
        <f t="shared" si="197"/>
        <v>3</v>
      </c>
      <c r="AY252" s="106">
        <f t="shared" si="198"/>
        <v>9</v>
      </c>
      <c r="AZ252" s="107" t="str">
        <f>IF(B252="Retired","Retired",IF(OR(ISBLANK(AY252),AY252=0),"TBD",IF(AY252&lt;='Risk Matrices'!$D$40,'Risk Matrices'!$B$40,IF(AY252&lt;='Risk Matrices'!$D$39,'Risk Matrices'!$B$39,'Risk Matrices'!$B$38))))</f>
        <v>Moderate</v>
      </c>
      <c r="BA252" s="104"/>
      <c r="BB252" s="101" t="s">
        <v>366</v>
      </c>
      <c r="BC252" s="109">
        <f t="shared" si="199"/>
        <v>1500</v>
      </c>
      <c r="BD252" s="116">
        <v>45300</v>
      </c>
      <c r="BE252" s="104"/>
      <c r="BF252" s="104"/>
      <c r="BG252" s="104"/>
      <c r="BH252" s="104"/>
      <c r="BI252" s="104"/>
      <c r="BJ252" s="874">
        <f t="shared" si="204"/>
        <v>1350</v>
      </c>
      <c r="BK252" s="101"/>
      <c r="BL252" s="101"/>
      <c r="BM252" s="116">
        <v>44012</v>
      </c>
      <c r="BN252" s="330">
        <v>44134</v>
      </c>
      <c r="BO252" s="332"/>
      <c r="BP252" s="94">
        <f t="shared" si="209"/>
        <v>1425</v>
      </c>
      <c r="BQ252" s="97" t="str">
        <f t="shared" si="200"/>
        <v>500 - 5000 - 8000</v>
      </c>
      <c r="BR252" s="97" t="str">
        <f t="shared" si="201"/>
        <v>3 - 6 - 9</v>
      </c>
      <c r="BS252" s="715">
        <f t="shared" si="206"/>
        <v>1350</v>
      </c>
      <c r="BT252" s="736">
        <f t="shared" si="202"/>
        <v>1.7999999999999998</v>
      </c>
      <c r="BU252" s="735" t="s">
        <v>1682</v>
      </c>
      <c r="BV252" s="873">
        <v>45382</v>
      </c>
      <c r="BW252">
        <f t="shared" si="210"/>
        <v>1248</v>
      </c>
    </row>
    <row r="253" spans="2:75" customFormat="1" ht="409.6" hidden="1" x14ac:dyDescent="0.2">
      <c r="B253" s="101" t="str">
        <f t="shared" si="205"/>
        <v>Active</v>
      </c>
      <c r="C253" s="785" t="s">
        <v>1683</v>
      </c>
      <c r="D253" s="101" t="s">
        <v>151</v>
      </c>
      <c r="E253" s="171" t="s">
        <v>1592</v>
      </c>
      <c r="F253" s="101" t="s">
        <v>124</v>
      </c>
      <c r="G253" s="106" t="s">
        <v>1125</v>
      </c>
      <c r="H253" s="101" t="str">
        <f t="shared" si="207"/>
        <v>RT-6-011-013</v>
      </c>
      <c r="I253" s="106" t="s">
        <v>1125</v>
      </c>
      <c r="J253" s="101" t="s">
        <v>497</v>
      </c>
      <c r="K253" s="101" t="s">
        <v>1684</v>
      </c>
      <c r="L253" s="812" t="s">
        <v>1685</v>
      </c>
      <c r="M253" s="101" t="s">
        <v>141</v>
      </c>
      <c r="N253" s="105">
        <v>10000</v>
      </c>
      <c r="O253" s="106" t="str" cm="1">
        <f t="array" ref="O253">_xlfn.IFS(N253="","",ABS(N253)&lt;='Risk Matrices'!$E$7,'Risk Matrices'!$E$5,ABS(N253)&lt;='Risk Matrices'!$F$7,'Risk Matrices'!$F$5,ABS(N253)&lt;='Risk Matrices'!$G$7,'Risk Matrices'!$G$5,ABS(N253)&lt;='Risk Matrices'!$H$7,'Risk Matrices'!$H$5,ABS(N253)&gt;'Risk Matrices'!$H$7,'Risk Matrices'!$I$5)</f>
        <v>Critical</v>
      </c>
      <c r="P253" s="101">
        <v>6</v>
      </c>
      <c r="Q253" s="101" t="str" cm="1">
        <f t="array" ref="Q253">_xlfn.IFS(P253="","",ABS(P253)&lt;='Risk Matrices'!$E$8,'Risk Matrices'!$E$5,ABS(P253)&lt;='Risk Matrices'!$F$8,'Risk Matrices'!$F$5,ABS(P253)&lt;='Risk Matrices'!$G$8,'Risk Matrices'!$G$5,ABS(P253)&lt;='Risk Matrices'!$H$8,'Risk Matrices'!$H$5,ABS(P253)&gt;'Risk Matrices'!$H$8,'Risk Matrices'!$I$5)</f>
        <v>Marginal</v>
      </c>
      <c r="R253" s="101" t="s">
        <v>207</v>
      </c>
      <c r="S253" s="106">
        <f t="shared" si="203"/>
        <v>3</v>
      </c>
      <c r="T253" s="106" cm="1">
        <f t="array" ref="T253">_xlfn.IFS(O253='Risk Matrices'!$D$28,'Risk Matrices'!$D$29,O253='Risk Matrices'!$E$28,'Risk Matrices'!$E$29,O253='Risk Matrices'!$F$28,'Risk Matrices'!$F$29,O253='Risk Matrices'!$G$28,'Risk Matrices'!$G$29,O253='Risk Matrices'!$H$28,'Risk Matrices'!$H$29)</f>
        <v>4</v>
      </c>
      <c r="U253" s="106">
        <f t="shared" si="213"/>
        <v>2</v>
      </c>
      <c r="V253" s="106">
        <f t="shared" si="208"/>
        <v>1</v>
      </c>
      <c r="W253" s="106">
        <f t="shared" si="214"/>
        <v>4</v>
      </c>
      <c r="X253" s="106">
        <f t="shared" si="215"/>
        <v>12</v>
      </c>
      <c r="Y253" s="107" t="str">
        <f t="shared" si="212"/>
        <v>Moderate</v>
      </c>
      <c r="Z253" s="104" t="s">
        <v>1686</v>
      </c>
      <c r="AA253" s="108">
        <f t="shared" si="216"/>
        <v>0.32</v>
      </c>
      <c r="AB253" s="109">
        <f t="shared" si="217"/>
        <v>3200</v>
      </c>
      <c r="AC253" s="109" t="s">
        <v>155</v>
      </c>
      <c r="AD253" s="146" t="s">
        <v>1687</v>
      </c>
      <c r="AE253" s="146"/>
      <c r="AF253" s="103" t="s">
        <v>167</v>
      </c>
      <c r="AG253" s="103"/>
      <c r="AH253" s="750" t="s">
        <v>1626</v>
      </c>
      <c r="AI253" s="160">
        <v>0.3</v>
      </c>
      <c r="AJ253" s="105">
        <v>1000</v>
      </c>
      <c r="AK253" s="105">
        <v>10000</v>
      </c>
      <c r="AL253" s="105">
        <v>15000</v>
      </c>
      <c r="AM253" s="105">
        <v>3</v>
      </c>
      <c r="AN253" s="105">
        <v>6</v>
      </c>
      <c r="AO253" s="105">
        <v>9</v>
      </c>
      <c r="AP253" s="112" t="str">
        <f>IF(OR(ISBLANK(AI253),AI253=0),"INSERT LIKELIHOOD",IF(ABS(AI253)&lt;='Risk Matrices'!$D$22,'Risk Matrices'!$C$21,IF(ABS(AI253)&lt;='Risk Matrices'!$D$19,'Risk Matrices'!$C$18,IF(ABS(AI253)&lt;='Risk Matrices'!$D$16,'Risk Matrices'!$C$15,IF(ABS(AI253)&lt;='Risk Matrices'!$D$13,'Risk Matrices'!$C$12,'Risk Matrices'!$C$10)))))</f>
        <v>Moderate</v>
      </c>
      <c r="AQ253" s="112" t="str">
        <f>IF(OR(ISBLANK(AK253),AK253=0),"None",IF(ABS(AK253)&lt;='Risk Matrices'!$E$7,'Risk Matrices'!$E$5,IF(ABS(AK253)&lt;='Risk Matrices'!$G$7,'Risk Matrices'!$G$5,IF(ABS(AK253)&lt;='Risk Matrices'!$H$7,'Risk Matrices'!$H$5,'Risk Matrices'!$I$5))))</f>
        <v>Critical</v>
      </c>
      <c r="AR253" s="112" t="str">
        <f>IF(AN253="","",IF(ABS(AN253)&lt;='Risk Matrices'!$E$8,"Negligible",IF(ABS(AN253)&lt;='Risk Matrices'!$F$8,"Marginal",IF(ABS(AN253)&lt;='Risk Matrices'!$G$8,"Significant",IF(ABS(AN253)&lt;='Risk Matrices'!$H$8,"Critical","Crisis")))))</f>
        <v>Marginal</v>
      </c>
      <c r="AS253" s="102" t="s">
        <v>130</v>
      </c>
      <c r="AT253" s="298">
        <f>IF(OR(ISBLANK(AI253),AI253=0),0,VLOOKUP(AP253,'Risk Matrices'!$B$30:$C$34,2,0))</f>
        <v>3</v>
      </c>
      <c r="AU253" s="298">
        <f>IF(OR(ISBLANK(AK253),AK253=0),0,HLOOKUP(AQ253,'Risk Matrices'!$D$28:$H$29,2,0))</f>
        <v>4</v>
      </c>
      <c r="AV253" s="298">
        <f>IF(OR(ISBLANK(AR253),AR253=0),0,HLOOKUP(AR253,'Risk Matrices'!$D$28:$H$29,2,0))</f>
        <v>2</v>
      </c>
      <c r="AW253" s="298">
        <f>IF(AS253="None",0,HLOOKUP(AS253,'Risk Matrices'!$D$28:$H$29,2,0))</f>
        <v>0</v>
      </c>
      <c r="AX253" s="106">
        <f t="shared" si="197"/>
        <v>4</v>
      </c>
      <c r="AY253" s="106">
        <f t="shared" si="198"/>
        <v>12</v>
      </c>
      <c r="AZ253" s="107" t="str">
        <f>IF(B253="Retired","Retired",IF(OR(ISBLANK(AY253),AY253=0),"TBD",IF(AY253&lt;='Risk Matrices'!$D$40,'Risk Matrices'!$B$40,IF(AY253&lt;='Risk Matrices'!$D$39,'Risk Matrices'!$B$39,'Risk Matrices'!$B$38))))</f>
        <v>Moderate</v>
      </c>
      <c r="BA253" s="104"/>
      <c r="BB253" s="101" t="s">
        <v>366</v>
      </c>
      <c r="BC253" s="109">
        <f t="shared" si="199"/>
        <v>3000</v>
      </c>
      <c r="BD253" s="116">
        <v>45300</v>
      </c>
      <c r="BE253" s="104"/>
      <c r="BF253" s="104"/>
      <c r="BG253" s="104"/>
      <c r="BH253" s="104"/>
      <c r="BI253" s="104"/>
      <c r="BJ253" s="874">
        <f t="shared" si="204"/>
        <v>2599.9999999999995</v>
      </c>
      <c r="BK253" s="101"/>
      <c r="BL253" s="101"/>
      <c r="BM253" s="116">
        <v>44012</v>
      </c>
      <c r="BN253" s="330">
        <v>44134</v>
      </c>
      <c r="BO253" s="332"/>
      <c r="BP253" s="94">
        <f t="shared" si="209"/>
        <v>2800</v>
      </c>
      <c r="BQ253" s="97" t="str">
        <f t="shared" si="200"/>
        <v>1000 - 10000 - 15000</v>
      </c>
      <c r="BR253" s="97" t="str">
        <f t="shared" si="201"/>
        <v>3 - 6 - 9</v>
      </c>
      <c r="BS253" s="715">
        <f t="shared" si="206"/>
        <v>2599.9999999999995</v>
      </c>
      <c r="BT253" s="736">
        <f t="shared" si="202"/>
        <v>1.7999999999999998</v>
      </c>
      <c r="BU253" s="735" t="s">
        <v>1688</v>
      </c>
      <c r="BV253" s="873">
        <v>45382</v>
      </c>
      <c r="BW253">
        <f t="shared" si="210"/>
        <v>1248</v>
      </c>
    </row>
    <row r="254" spans="2:75" customFormat="1" ht="75" hidden="1" x14ac:dyDescent="0.2">
      <c r="B254" s="101" t="str">
        <f t="shared" si="205"/>
        <v>Active</v>
      </c>
      <c r="C254" s="785" t="s">
        <v>1689</v>
      </c>
      <c r="D254" s="101" t="s">
        <v>151</v>
      </c>
      <c r="E254" s="171" t="s">
        <v>1592</v>
      </c>
      <c r="F254" s="101" t="s">
        <v>124</v>
      </c>
      <c r="G254" s="106" t="s">
        <v>1125</v>
      </c>
      <c r="H254" s="101" t="str">
        <f t="shared" si="207"/>
        <v>RT-6-011-014</v>
      </c>
      <c r="I254" s="106" t="s">
        <v>1125</v>
      </c>
      <c r="J254" s="101" t="s">
        <v>497</v>
      </c>
      <c r="K254" s="101" t="s">
        <v>1690</v>
      </c>
      <c r="L254" s="812" t="s">
        <v>1691</v>
      </c>
      <c r="M254" s="101" t="s">
        <v>141</v>
      </c>
      <c r="N254" s="105">
        <v>10000</v>
      </c>
      <c r="O254" s="106" t="str" cm="1">
        <f t="array" ref="O254">_xlfn.IFS(N254="","",ABS(N254)&lt;='Risk Matrices'!$E$7,'Risk Matrices'!$E$5,ABS(N254)&lt;='Risk Matrices'!$F$7,'Risk Matrices'!$F$5,ABS(N254)&lt;='Risk Matrices'!$G$7,'Risk Matrices'!$G$5,ABS(N254)&lt;='Risk Matrices'!$H$7,'Risk Matrices'!$H$5,ABS(N254)&gt;'Risk Matrices'!$H$7,'Risk Matrices'!$I$5)</f>
        <v>Critical</v>
      </c>
      <c r="P254" s="101">
        <v>6</v>
      </c>
      <c r="Q254" s="101" t="str" cm="1">
        <f t="array" ref="Q254">_xlfn.IFS(P254="","",ABS(P254)&lt;='Risk Matrices'!$E$8,'Risk Matrices'!$E$5,ABS(P254)&lt;='Risk Matrices'!$F$8,'Risk Matrices'!$F$5,ABS(P254)&lt;='Risk Matrices'!$G$8,'Risk Matrices'!$G$5,ABS(P254)&lt;='Risk Matrices'!$H$8,'Risk Matrices'!$H$5,ABS(P254)&gt;'Risk Matrices'!$H$8,'Risk Matrices'!$I$5)</f>
        <v>Marginal</v>
      </c>
      <c r="R254" s="101" t="s">
        <v>207</v>
      </c>
      <c r="S254" s="106">
        <f t="shared" si="203"/>
        <v>3</v>
      </c>
      <c r="T254" s="106" cm="1">
        <f t="array" ref="T254">_xlfn.IFS(O254='Risk Matrices'!$D$28,'Risk Matrices'!$D$29,O254='Risk Matrices'!$E$28,'Risk Matrices'!$E$29,O254='Risk Matrices'!$F$28,'Risk Matrices'!$F$29,O254='Risk Matrices'!$G$28,'Risk Matrices'!$G$29,O254='Risk Matrices'!$H$28,'Risk Matrices'!$H$29)</f>
        <v>4</v>
      </c>
      <c r="U254" s="106">
        <f t="shared" si="213"/>
        <v>2</v>
      </c>
      <c r="V254" s="106">
        <f t="shared" si="208"/>
        <v>1</v>
      </c>
      <c r="W254" s="106">
        <f t="shared" si="214"/>
        <v>4</v>
      </c>
      <c r="X254" s="106">
        <f t="shared" si="215"/>
        <v>12</v>
      </c>
      <c r="Y254" s="107" t="str">
        <f t="shared" si="212"/>
        <v>Moderate</v>
      </c>
      <c r="Z254" s="104"/>
      <c r="AA254" s="108">
        <f t="shared" si="216"/>
        <v>0.32</v>
      </c>
      <c r="AB254" s="109">
        <f t="shared" si="217"/>
        <v>3200</v>
      </c>
      <c r="AC254" s="109" t="s">
        <v>155</v>
      </c>
      <c r="AD254" s="146" t="s">
        <v>1692</v>
      </c>
      <c r="AE254" s="146"/>
      <c r="AF254" s="103" t="s">
        <v>167</v>
      </c>
      <c r="AG254" s="900"/>
      <c r="AH254" s="750" t="s">
        <v>1626</v>
      </c>
      <c r="AI254" s="160">
        <v>0.3</v>
      </c>
      <c r="AJ254" s="105">
        <v>500</v>
      </c>
      <c r="AK254" s="105">
        <v>10000</v>
      </c>
      <c r="AL254" s="105">
        <v>12000</v>
      </c>
      <c r="AM254" s="105">
        <v>3</v>
      </c>
      <c r="AN254" s="105">
        <v>6</v>
      </c>
      <c r="AO254" s="105">
        <v>12</v>
      </c>
      <c r="AP254" s="112" t="str">
        <f>IF(OR(ISBLANK(AI254),AI254=0),"INSERT LIKELIHOOD",IF(ABS(AI254)&lt;='Risk Matrices'!$D$22,'Risk Matrices'!$C$21,IF(ABS(AI254)&lt;='Risk Matrices'!$D$19,'Risk Matrices'!$C$18,IF(ABS(AI254)&lt;='Risk Matrices'!$D$16,'Risk Matrices'!$C$15,IF(ABS(AI254)&lt;='Risk Matrices'!$D$13,'Risk Matrices'!$C$12,'Risk Matrices'!$C$10)))))</f>
        <v>Moderate</v>
      </c>
      <c r="AQ254" s="112" t="str">
        <f>IF(OR(ISBLANK(AK254),AK254=0),"None",IF(ABS(AK254)&lt;='Risk Matrices'!$E$7,'Risk Matrices'!$E$5,IF(ABS(AK254)&lt;='Risk Matrices'!$G$7,'Risk Matrices'!$G$5,IF(ABS(AK254)&lt;='Risk Matrices'!$H$7,'Risk Matrices'!$H$5,'Risk Matrices'!$I$5))))</f>
        <v>Critical</v>
      </c>
      <c r="AR254" s="112" t="str">
        <f>IF(AN254="","",IF(ABS(AN254)&lt;='Risk Matrices'!$E$8,"Negligible",IF(ABS(AN254)&lt;='Risk Matrices'!$F$8,"Marginal",IF(ABS(AN254)&lt;='Risk Matrices'!$G$8,"Significant",IF(ABS(AN254)&lt;='Risk Matrices'!$H$8,"Critical","Crisis")))))</f>
        <v>Marginal</v>
      </c>
      <c r="AS254" s="102" t="s">
        <v>130</v>
      </c>
      <c r="AT254" s="298">
        <f>IF(OR(ISBLANK(AI254),AI254=0),0,VLOOKUP(AP254,'Risk Matrices'!$B$30:$C$34,2,0))</f>
        <v>3</v>
      </c>
      <c r="AU254" s="298">
        <f>IF(OR(ISBLANK(AK254),AK254=0),0,HLOOKUP(AQ254,'Risk Matrices'!$D$28:$H$29,2,0))</f>
        <v>4</v>
      </c>
      <c r="AV254" s="298">
        <f>IF(OR(ISBLANK(AR254),AR254=0),0,HLOOKUP(AR254,'Risk Matrices'!$D$28:$H$29,2,0))</f>
        <v>2</v>
      </c>
      <c r="AW254" s="298">
        <f>IF(AS254="None",0,HLOOKUP(AS254,'Risk Matrices'!$D$28:$H$29,2,0))</f>
        <v>0</v>
      </c>
      <c r="AX254" s="106">
        <f t="shared" ref="AX254:AX271" si="218">MAX(AU254,AV254,AW254)</f>
        <v>4</v>
      </c>
      <c r="AY254" s="106">
        <f t="shared" ref="AY254:AY271" si="219">AT254*AX254</f>
        <v>12</v>
      </c>
      <c r="AZ254" s="107" t="str">
        <f>IF(B254="Retired","Retired",IF(OR(ISBLANK(AY254),AY254=0),"TBD",IF(AY254&lt;='Risk Matrices'!$D$40,'Risk Matrices'!$B$40,IF(AY254&lt;='Risk Matrices'!$D$39,'Risk Matrices'!$B$39,'Risk Matrices'!$B$38))))</f>
        <v>Moderate</v>
      </c>
      <c r="BA254" s="104"/>
      <c r="BB254" s="101" t="s">
        <v>366</v>
      </c>
      <c r="BC254" s="109">
        <f t="shared" ref="BC254:BC271" si="220">IF(B254="Active",AI254*AK254,B254)</f>
        <v>3000</v>
      </c>
      <c r="BD254" s="116">
        <v>45300</v>
      </c>
      <c r="BE254" s="104"/>
      <c r="BF254" s="104"/>
      <c r="BG254" s="104"/>
      <c r="BH254" s="104"/>
      <c r="BI254" s="104"/>
      <c r="BJ254" s="874">
        <f t="shared" si="204"/>
        <v>2250</v>
      </c>
      <c r="BK254" s="101"/>
      <c r="BL254" s="101"/>
      <c r="BM254" s="116">
        <v>44012</v>
      </c>
      <c r="BN254" s="330">
        <v>44134</v>
      </c>
      <c r="BO254" s="332"/>
      <c r="BP254" s="94">
        <f t="shared" si="209"/>
        <v>2625</v>
      </c>
      <c r="BQ254" s="97" t="str">
        <f t="shared" ref="BQ254:BQ270" si="221">CONCATENATE(AJ254," - ",AK254," - ",AL254)</f>
        <v>500 - 10000 - 12000</v>
      </c>
      <c r="BR254" s="97" t="str">
        <f t="shared" ref="BR254:BR269" si="222">CONCATENATE(AM254," - ",AN254," - ",AO254)</f>
        <v>3 - 6 - 12</v>
      </c>
      <c r="BS254" s="715">
        <f t="shared" si="206"/>
        <v>2250</v>
      </c>
      <c r="BT254" s="736">
        <f t="shared" ref="BT254:BT269" si="223">AI254*(AM254+AN254+AO254)/3</f>
        <v>2.1</v>
      </c>
      <c r="BU254" s="735" t="s">
        <v>1693</v>
      </c>
      <c r="BV254" s="873">
        <v>45382</v>
      </c>
      <c r="BW254">
        <f t="shared" si="210"/>
        <v>1248</v>
      </c>
    </row>
    <row r="255" spans="2:75" customFormat="1" ht="105" hidden="1" x14ac:dyDescent="0.2">
      <c r="B255" s="101" t="str">
        <f t="shared" si="205"/>
        <v>Active</v>
      </c>
      <c r="C255" s="785" t="s">
        <v>1694</v>
      </c>
      <c r="D255" s="101" t="s">
        <v>151</v>
      </c>
      <c r="E255" s="171" t="s">
        <v>1592</v>
      </c>
      <c r="F255" s="101" t="s">
        <v>124</v>
      </c>
      <c r="G255" s="106" t="s">
        <v>1125</v>
      </c>
      <c r="H255" s="101" t="str">
        <f t="shared" si="207"/>
        <v>RT-6-011-015</v>
      </c>
      <c r="I255" s="106" t="s">
        <v>1125</v>
      </c>
      <c r="J255" s="101" t="s">
        <v>497</v>
      </c>
      <c r="K255" s="101" t="s">
        <v>1695</v>
      </c>
      <c r="L255" s="812" t="s">
        <v>1696</v>
      </c>
      <c r="M255" s="101" t="s">
        <v>141</v>
      </c>
      <c r="N255" s="105">
        <v>10000</v>
      </c>
      <c r="O255" s="106" t="str" cm="1">
        <f t="array" ref="O255">_xlfn.IFS(N255="","",ABS(N255)&lt;='Risk Matrices'!$E$7,'Risk Matrices'!$E$5,ABS(N255)&lt;='Risk Matrices'!$F$7,'Risk Matrices'!$F$5,ABS(N255)&lt;='Risk Matrices'!$G$7,'Risk Matrices'!$G$5,ABS(N255)&lt;='Risk Matrices'!$H$7,'Risk Matrices'!$H$5,ABS(N255)&gt;'Risk Matrices'!$H$7,'Risk Matrices'!$I$5)</f>
        <v>Critical</v>
      </c>
      <c r="P255" s="101">
        <v>6</v>
      </c>
      <c r="Q255" s="101" t="str" cm="1">
        <f t="array" ref="Q255">_xlfn.IFS(P255="","",ABS(P255)&lt;='Risk Matrices'!$E$8,'Risk Matrices'!$E$5,ABS(P255)&lt;='Risk Matrices'!$F$8,'Risk Matrices'!$F$5,ABS(P255)&lt;='Risk Matrices'!$G$8,'Risk Matrices'!$G$5,ABS(P255)&lt;='Risk Matrices'!$H$8,'Risk Matrices'!$H$5,ABS(P255)&gt;'Risk Matrices'!$H$8,'Risk Matrices'!$I$5)</f>
        <v>Marginal</v>
      </c>
      <c r="R255" s="101" t="s">
        <v>207</v>
      </c>
      <c r="S255" s="106">
        <f t="shared" ref="S255:S271" si="224">IF(M255="",0,IF(M255="Very Low (There is a &lt;10% chance that this event will occur)",1,IF(M255="Low (Risk is likely to occur with a probability of &gt; 10% to &lt; 25%)",2,IF(M255="Moderate (Risk is likely to occur with a probability of &gt; 25% to &lt; 40%)",3,IF(M255="High (Risk is likely to occur with a probability of &gt;40 to &lt;65%)",4,IF(M255="Very High (Risk is likely to occur with a probability of &gt;65%)",5))))))</f>
        <v>3</v>
      </c>
      <c r="T255" s="106" cm="1">
        <f t="array" ref="T255">_xlfn.IFS(O255='Risk Matrices'!$D$28,'Risk Matrices'!$D$29,O255='Risk Matrices'!$E$28,'Risk Matrices'!$E$29,O255='Risk Matrices'!$F$28,'Risk Matrices'!$F$29,O255='Risk Matrices'!$G$28,'Risk Matrices'!$G$29,O255='Risk Matrices'!$H$28,'Risk Matrices'!$H$29)</f>
        <v>4</v>
      </c>
      <c r="U255" s="106">
        <f t="shared" si="213"/>
        <v>2</v>
      </c>
      <c r="V255" s="106">
        <f t="shared" si="208"/>
        <v>1</v>
      </c>
      <c r="W255" s="106">
        <f t="shared" si="214"/>
        <v>4</v>
      </c>
      <c r="X255" s="106">
        <f t="shared" si="215"/>
        <v>12</v>
      </c>
      <c r="Y255" s="107" t="str">
        <f t="shared" si="212"/>
        <v>Moderate</v>
      </c>
      <c r="Z255" s="104"/>
      <c r="AA255" s="108">
        <f t="shared" si="216"/>
        <v>0.32</v>
      </c>
      <c r="AB255" s="109">
        <f t="shared" si="217"/>
        <v>3200</v>
      </c>
      <c r="AC255" s="109" t="s">
        <v>155</v>
      </c>
      <c r="AD255" s="146" t="s">
        <v>1697</v>
      </c>
      <c r="AE255" s="146"/>
      <c r="AF255" s="103" t="s">
        <v>167</v>
      </c>
      <c r="AG255" s="103"/>
      <c r="AH255" s="750" t="s">
        <v>1626</v>
      </c>
      <c r="AI255" s="160">
        <v>0.3</v>
      </c>
      <c r="AJ255" s="105">
        <v>1000</v>
      </c>
      <c r="AK255" s="105">
        <v>10000</v>
      </c>
      <c r="AL255" s="105">
        <v>15000</v>
      </c>
      <c r="AM255" s="105">
        <v>3</v>
      </c>
      <c r="AN255" s="105">
        <v>6</v>
      </c>
      <c r="AO255" s="105">
        <v>12</v>
      </c>
      <c r="AP255" s="112" t="str">
        <f>IF(OR(ISBLANK(AI255),AI255=0),"INSERT LIKELIHOOD",IF(ABS(AI255)&lt;='Risk Matrices'!$D$22,'Risk Matrices'!$C$21,IF(ABS(AI255)&lt;='Risk Matrices'!$D$19,'Risk Matrices'!$C$18,IF(ABS(AI255)&lt;='Risk Matrices'!$D$16,'Risk Matrices'!$C$15,IF(ABS(AI255)&lt;='Risk Matrices'!$D$13,'Risk Matrices'!$C$12,'Risk Matrices'!$C$10)))))</f>
        <v>Moderate</v>
      </c>
      <c r="AQ255" s="112" t="str">
        <f>IF(OR(ISBLANK(AK255),AK255=0),"None",IF(ABS(AK255)&lt;='Risk Matrices'!$E$7,'Risk Matrices'!$E$5,IF(ABS(AK255)&lt;='Risk Matrices'!$G$7,'Risk Matrices'!$G$5,IF(ABS(AK255)&lt;='Risk Matrices'!$H$7,'Risk Matrices'!$H$5,'Risk Matrices'!$I$5))))</f>
        <v>Critical</v>
      </c>
      <c r="AR255" s="112" t="str">
        <f>IF(AN255="","",IF(ABS(AN255)&lt;='Risk Matrices'!$E$8,"Negligible",IF(ABS(AN255)&lt;='Risk Matrices'!$F$8,"Marginal",IF(ABS(AN255)&lt;='Risk Matrices'!$G$8,"Significant",IF(ABS(AN255)&lt;='Risk Matrices'!$H$8,"Critical","Crisis")))))</f>
        <v>Marginal</v>
      </c>
      <c r="AS255" s="102" t="s">
        <v>130</v>
      </c>
      <c r="AT255" s="298">
        <f>IF(OR(ISBLANK(AI255),AI255=0),0,VLOOKUP(AP255,'Risk Matrices'!$B$30:$C$34,2,0))</f>
        <v>3</v>
      </c>
      <c r="AU255" s="298">
        <f>IF(OR(ISBLANK(AK255),AK255=0),0,HLOOKUP(AQ255,'Risk Matrices'!$D$28:$H$29,2,0))</f>
        <v>4</v>
      </c>
      <c r="AV255" s="298">
        <f>IF(OR(ISBLANK(AR255),AR255=0),0,HLOOKUP(AR255,'Risk Matrices'!$D$28:$H$29,2,0))</f>
        <v>2</v>
      </c>
      <c r="AW255" s="298">
        <f>IF(AS255="None",0,HLOOKUP(AS255,'Risk Matrices'!$D$28:$H$29,2,0))</f>
        <v>0</v>
      </c>
      <c r="AX255" s="106">
        <f t="shared" si="218"/>
        <v>4</v>
      </c>
      <c r="AY255" s="106">
        <f t="shared" si="219"/>
        <v>12</v>
      </c>
      <c r="AZ255" s="107" t="str">
        <f>IF(B255="Retired","Retired",IF(OR(ISBLANK(AY255),AY255=0),"TBD",IF(AY255&lt;='Risk Matrices'!$D$40,'Risk Matrices'!$B$40,IF(AY255&lt;='Risk Matrices'!$D$39,'Risk Matrices'!$B$39,'Risk Matrices'!$B$38))))</f>
        <v>Moderate</v>
      </c>
      <c r="BA255" s="104"/>
      <c r="BB255" s="101" t="s">
        <v>366</v>
      </c>
      <c r="BC255" s="109">
        <f t="shared" si="220"/>
        <v>3000</v>
      </c>
      <c r="BD255" s="116">
        <v>45300</v>
      </c>
      <c r="BE255" s="104"/>
      <c r="BF255" s="104"/>
      <c r="BG255" s="104"/>
      <c r="BH255" s="104"/>
      <c r="BI255" s="104"/>
      <c r="BJ255" s="874">
        <f t="shared" ref="BJ255:BJ270" si="225">AI255*(SUM(AJ255:AL255)/3)</f>
        <v>2599.9999999999995</v>
      </c>
      <c r="BK255" s="101"/>
      <c r="BL255" s="750"/>
      <c r="BM255" s="116">
        <v>44012</v>
      </c>
      <c r="BN255" s="330">
        <v>44134</v>
      </c>
      <c r="BO255" s="332"/>
      <c r="BP255" s="94">
        <f t="shared" si="209"/>
        <v>2800</v>
      </c>
      <c r="BQ255" s="97" t="str">
        <f t="shared" si="221"/>
        <v>1000 - 10000 - 15000</v>
      </c>
      <c r="BR255" s="97" t="str">
        <f t="shared" si="222"/>
        <v>3 - 6 - 12</v>
      </c>
      <c r="BS255" s="715">
        <f t="shared" si="206"/>
        <v>2599.9999999999995</v>
      </c>
      <c r="BT255" s="736">
        <f t="shared" si="223"/>
        <v>2.1</v>
      </c>
      <c r="BU255" s="735" t="s">
        <v>1698</v>
      </c>
      <c r="BV255" s="873">
        <v>45382</v>
      </c>
      <c r="BW255">
        <f t="shared" si="210"/>
        <v>1248</v>
      </c>
    </row>
    <row r="256" spans="2:75" customFormat="1" ht="80" hidden="1" customHeight="1" x14ac:dyDescent="0.2">
      <c r="B256" s="101" t="str">
        <f t="shared" si="205"/>
        <v>Active</v>
      </c>
      <c r="C256" s="785" t="s">
        <v>1699</v>
      </c>
      <c r="D256" s="101" t="s">
        <v>151</v>
      </c>
      <c r="E256" s="171" t="s">
        <v>1592</v>
      </c>
      <c r="F256" s="101" t="s">
        <v>124</v>
      </c>
      <c r="G256" s="106" t="s">
        <v>1125</v>
      </c>
      <c r="H256" s="106" t="str">
        <f t="shared" si="207"/>
        <v>RT-6-011-016</v>
      </c>
      <c r="I256" s="140" t="s">
        <v>1700</v>
      </c>
      <c r="J256" s="101" t="s">
        <v>497</v>
      </c>
      <c r="K256" s="157" t="s">
        <v>1701</v>
      </c>
      <c r="L256" s="896" t="s">
        <v>1702</v>
      </c>
      <c r="M256" s="103" t="s">
        <v>164</v>
      </c>
      <c r="N256" s="106">
        <v>1000</v>
      </c>
      <c r="O256" s="106" t="str" cm="1">
        <f t="array" ref="O256">_xlfn.IFS(N256="","",ABS(N256)&lt;='Risk Matrices'!$E$7,'Risk Matrices'!$E$5,ABS(N256)&lt;='Risk Matrices'!$F$7,'Risk Matrices'!$F$5,ABS(N256)&lt;='Risk Matrices'!$G$7,'Risk Matrices'!$G$5,ABS(N256)&lt;='Risk Matrices'!$H$7,'Risk Matrices'!$H$5,ABS(N256)&gt;'Risk Matrices'!$H$7,'Risk Matrices'!$I$5)</f>
        <v>Marginal</v>
      </c>
      <c r="P256" s="101">
        <v>6</v>
      </c>
      <c r="Q256" s="101" t="str" cm="1">
        <f t="array" ref="Q256">_xlfn.IFS(P256="","",ABS(P256)&lt;='Risk Matrices'!$E$8,'Risk Matrices'!$E$5,ABS(P256)&lt;='Risk Matrices'!$F$8,'Risk Matrices'!$F$5,ABS(P256)&lt;='Risk Matrices'!$G$8,'Risk Matrices'!$G$5,ABS(P256)&lt;='Risk Matrices'!$H$8,'Risk Matrices'!$H$5,ABS(P256)&gt;'Risk Matrices'!$H$8,'Risk Matrices'!$I$5)</f>
        <v>Marginal</v>
      </c>
      <c r="R256" s="101" t="s">
        <v>207</v>
      </c>
      <c r="S256" s="106">
        <f t="shared" si="224"/>
        <v>2</v>
      </c>
      <c r="T256" s="106" cm="1">
        <f t="array" ref="T256">_xlfn.IFS(O256='Risk Matrices'!$D$28,'Risk Matrices'!$D$29,O256='Risk Matrices'!$E$28,'Risk Matrices'!$E$29,O256='Risk Matrices'!$F$28,'Risk Matrices'!$F$29,O256='Risk Matrices'!$G$28,'Risk Matrices'!$G$29,O256='Risk Matrices'!$H$28,'Risk Matrices'!$H$29)</f>
        <v>2</v>
      </c>
      <c r="U256" s="106">
        <f t="shared" si="213"/>
        <v>2</v>
      </c>
      <c r="V256" s="106">
        <f t="shared" si="208"/>
        <v>1</v>
      </c>
      <c r="W256" s="106">
        <f t="shared" si="214"/>
        <v>2</v>
      </c>
      <c r="X256" s="106">
        <f t="shared" si="215"/>
        <v>4</v>
      </c>
      <c r="Y256" s="107" t="str">
        <f t="shared" si="212"/>
        <v>Low</v>
      </c>
      <c r="Z256" s="91" t="s">
        <v>1703</v>
      </c>
      <c r="AA256" s="108">
        <f t="shared" si="216"/>
        <v>0.17</v>
      </c>
      <c r="AB256" s="109">
        <f t="shared" si="217"/>
        <v>170</v>
      </c>
      <c r="AC256" s="109" t="s">
        <v>155</v>
      </c>
      <c r="AD256" s="122" t="s">
        <v>1704</v>
      </c>
      <c r="AE256" s="122"/>
      <c r="AF256" s="103" t="s">
        <v>167</v>
      </c>
      <c r="AG256" s="103"/>
      <c r="AH256" s="103" t="s">
        <v>1705</v>
      </c>
      <c r="AI256" s="877">
        <v>0.1</v>
      </c>
      <c r="AJ256" s="105">
        <v>250</v>
      </c>
      <c r="AK256" s="105">
        <v>1000</v>
      </c>
      <c r="AL256" s="105">
        <v>2000</v>
      </c>
      <c r="AM256" s="200">
        <v>0</v>
      </c>
      <c r="AN256" s="200">
        <v>3</v>
      </c>
      <c r="AO256" s="200">
        <v>6</v>
      </c>
      <c r="AP256" s="112" t="str">
        <f>IF(OR(ISBLANK(AI256),AI256=0),"INSERT LIKELIHOOD",IF(ABS(AI256)&lt;='Risk Matrices'!$D$22,'Risk Matrices'!$C$21,IF(ABS(AI256)&lt;='Risk Matrices'!$D$19,'Risk Matrices'!$C$18,IF(ABS(AI256)&lt;='Risk Matrices'!$D$16,'Risk Matrices'!$C$15,IF(ABS(AI256)&lt;='Risk Matrices'!$D$13,'Risk Matrices'!$C$12,'Risk Matrices'!$C$10)))))</f>
        <v>Very Low</v>
      </c>
      <c r="AQ256" s="112" t="str">
        <f>IF(OR(ISBLANK(AK256),AK256=0),"None",IF(ABS(AK256)&lt;='Risk Matrices'!$E$7,'Risk Matrices'!$E$5,IF(ABS(AK256)&lt;='Risk Matrices'!$G$7,'Risk Matrices'!$G$5,IF(ABS(AK256)&lt;='Risk Matrices'!$H$7,'Risk Matrices'!$H$5,'Risk Matrices'!$I$5))))</f>
        <v>Significant</v>
      </c>
      <c r="AR256" s="112" t="str">
        <f>IF(AN256="","",IF(ABS(AN256)&lt;='Risk Matrices'!$E$8,"Negligible",IF(ABS(AN256)&lt;='Risk Matrices'!$F$8,"Marginal",IF(ABS(AN256)&lt;='Risk Matrices'!$G$8,"Significant",IF(ABS(AN256)&lt;='Risk Matrices'!$H$8,"Critical","Crisis")))))</f>
        <v>Negligible</v>
      </c>
      <c r="AS256" s="102" t="s">
        <v>207</v>
      </c>
      <c r="AT256" s="298">
        <f>IF(OR(ISBLANK(AI256),AI256=0),0,VLOOKUP(AP256,'Risk Matrices'!$B$30:$C$34,2,0))</f>
        <v>1</v>
      </c>
      <c r="AU256" s="298">
        <f>IF(OR(ISBLANK(AK256),AK256=0),0,HLOOKUP(AQ256,'Risk Matrices'!$D$28:$H$29,2,0))</f>
        <v>3</v>
      </c>
      <c r="AV256" s="298">
        <f>IF(OR(ISBLANK(AR256),AR256=0),0,HLOOKUP(AR256,'Risk Matrices'!$D$28:$H$29,2,0))</f>
        <v>1</v>
      </c>
      <c r="AW256" s="298">
        <f>IF(OR(ISBLANK(AS256),AS256=0),0,HLOOKUP(AS256,'Risk Matrices'!$D$28:$H$29,2,0))</f>
        <v>1</v>
      </c>
      <c r="AX256" s="106">
        <f t="shared" si="218"/>
        <v>3</v>
      </c>
      <c r="AY256" s="106">
        <f t="shared" si="219"/>
        <v>3</v>
      </c>
      <c r="AZ256" s="107" t="str">
        <f>IF(B256="Retired","Retired",IF(OR(ISBLANK(AY256),AY256=0),"TBD",IF(AY256&lt;='Risk Matrices'!$D$40,'Risk Matrices'!$B$40,IF(AY256&lt;='Risk Matrices'!$D$39,'Risk Matrices'!$B$39,'Risk Matrices'!$B$38))))</f>
        <v>Low</v>
      </c>
      <c r="BA256" s="104"/>
      <c r="BB256" s="101" t="s">
        <v>366</v>
      </c>
      <c r="BC256" s="109">
        <f t="shared" si="220"/>
        <v>100</v>
      </c>
      <c r="BD256" s="116">
        <v>45300</v>
      </c>
      <c r="BE256" s="104"/>
      <c r="BF256" s="104"/>
      <c r="BG256" s="104"/>
      <c r="BH256" s="104"/>
      <c r="BI256" s="104"/>
      <c r="BJ256" s="874">
        <f t="shared" si="225"/>
        <v>108.33333333333333</v>
      </c>
      <c r="BK256" s="101"/>
      <c r="BL256" s="101"/>
      <c r="BM256" s="116">
        <v>44012</v>
      </c>
      <c r="BN256" s="330">
        <v>44134</v>
      </c>
      <c r="BO256" s="332"/>
      <c r="BP256" s="94">
        <f t="shared" si="209"/>
        <v>104.16666666666669</v>
      </c>
      <c r="BQ256" s="97" t="str">
        <f t="shared" si="221"/>
        <v>250 - 1000 - 2000</v>
      </c>
      <c r="BR256" s="97" t="str">
        <f t="shared" si="222"/>
        <v>0 - 3 - 6</v>
      </c>
      <c r="BS256" s="715">
        <f t="shared" si="206"/>
        <v>108.33333333333333</v>
      </c>
      <c r="BT256" s="736">
        <f t="shared" si="223"/>
        <v>0.3</v>
      </c>
      <c r="BU256" s="735" t="s">
        <v>1706</v>
      </c>
      <c r="BV256" s="873">
        <v>45382</v>
      </c>
      <c r="BW256">
        <f t="shared" si="210"/>
        <v>1248</v>
      </c>
    </row>
    <row r="257" spans="2:75" customFormat="1" ht="76" hidden="1" customHeight="1" x14ac:dyDescent="0.2">
      <c r="B257" s="101" t="str">
        <f t="shared" si="205"/>
        <v>Active</v>
      </c>
      <c r="C257" s="785" t="s">
        <v>1707</v>
      </c>
      <c r="D257" s="101" t="s">
        <v>151</v>
      </c>
      <c r="E257" s="171" t="s">
        <v>1592</v>
      </c>
      <c r="F257" s="101" t="s">
        <v>124</v>
      </c>
      <c r="G257" s="106" t="s">
        <v>1125</v>
      </c>
      <c r="H257" s="106" t="str">
        <f t="shared" si="207"/>
        <v>RT-6-011-017</v>
      </c>
      <c r="I257" s="140" t="s">
        <v>1700</v>
      </c>
      <c r="J257" s="101" t="s">
        <v>497</v>
      </c>
      <c r="K257" s="157" t="s">
        <v>1708</v>
      </c>
      <c r="L257" s="896" t="s">
        <v>1709</v>
      </c>
      <c r="M257" s="101" t="s">
        <v>141</v>
      </c>
      <c r="N257" s="105">
        <v>250</v>
      </c>
      <c r="O257" s="106" t="str" cm="1">
        <f t="array" ref="O257">_xlfn.IFS(N257="","",ABS(N257)&lt;='Risk Matrices'!$E$7,'Risk Matrices'!$E$5,ABS(N257)&lt;='Risk Matrices'!$F$7,'Risk Matrices'!$F$5,ABS(N257)&lt;='Risk Matrices'!$G$7,'Risk Matrices'!$G$5,ABS(N257)&lt;='Risk Matrices'!$H$7,'Risk Matrices'!$H$5,ABS(N257)&gt;'Risk Matrices'!$H$7,'Risk Matrices'!$I$5)</f>
        <v>Negligible</v>
      </c>
      <c r="P257" s="101">
        <v>0</v>
      </c>
      <c r="Q257" s="101" t="str" cm="1">
        <f t="array" ref="Q257">_xlfn.IFS(P257="","",ABS(P257)&lt;='Risk Matrices'!$E$8,'Risk Matrices'!$E$5,ABS(P257)&lt;='Risk Matrices'!$F$8,'Risk Matrices'!$F$5,ABS(P257)&lt;='Risk Matrices'!$G$8,'Risk Matrices'!$G$5,ABS(P257)&lt;='Risk Matrices'!$H$8,'Risk Matrices'!$H$5,ABS(P257)&gt;'Risk Matrices'!$H$8,'Risk Matrices'!$I$5)</f>
        <v>Negligible</v>
      </c>
      <c r="R257" s="101" t="s">
        <v>207</v>
      </c>
      <c r="S257" s="106">
        <f t="shared" si="224"/>
        <v>3</v>
      </c>
      <c r="T257" s="106" cm="1">
        <f t="array" ref="T257">_xlfn.IFS(O257='Risk Matrices'!$D$28,'Risk Matrices'!$D$29,O257='Risk Matrices'!$E$28,'Risk Matrices'!$E$29,O257='Risk Matrices'!$F$28,'Risk Matrices'!$F$29,O257='Risk Matrices'!$G$28,'Risk Matrices'!$G$29,O257='Risk Matrices'!$H$28,'Risk Matrices'!$H$29)</f>
        <v>1</v>
      </c>
      <c r="U257" s="106">
        <f t="shared" si="213"/>
        <v>1</v>
      </c>
      <c r="V257" s="106">
        <f t="shared" si="208"/>
        <v>1</v>
      </c>
      <c r="W257" s="106">
        <f t="shared" si="214"/>
        <v>1</v>
      </c>
      <c r="X257" s="106">
        <f t="shared" si="215"/>
        <v>3</v>
      </c>
      <c r="Y257" s="107" t="str">
        <f t="shared" si="212"/>
        <v>Low</v>
      </c>
      <c r="Z257" s="104" t="s">
        <v>1710</v>
      </c>
      <c r="AA257" s="108">
        <f t="shared" si="216"/>
        <v>0.32</v>
      </c>
      <c r="AB257" s="109">
        <f t="shared" si="217"/>
        <v>80</v>
      </c>
      <c r="AC257" s="109" t="s">
        <v>155</v>
      </c>
      <c r="AD257" s="808" t="s">
        <v>1711</v>
      </c>
      <c r="AE257" s="808"/>
      <c r="AF257" s="103" t="s">
        <v>167</v>
      </c>
      <c r="AG257" s="103"/>
      <c r="AH257" s="750" t="s">
        <v>1626</v>
      </c>
      <c r="AI257" s="877">
        <v>0.05</v>
      </c>
      <c r="AJ257" s="105">
        <v>50</v>
      </c>
      <c r="AK257" s="105">
        <v>100</v>
      </c>
      <c r="AL257" s="105">
        <v>350</v>
      </c>
      <c r="AM257" s="200">
        <v>0</v>
      </c>
      <c r="AN257" s="200">
        <v>0</v>
      </c>
      <c r="AO257" s="200">
        <v>1</v>
      </c>
      <c r="AP257" s="112" t="str">
        <f>IF(OR(ISBLANK(AI257),AI257=0),"INSERT LIKELIHOOD",IF(ABS(AI257)&lt;='Risk Matrices'!$D$22,'Risk Matrices'!$C$21,IF(ABS(AI257)&lt;='Risk Matrices'!$D$19,'Risk Matrices'!$C$18,IF(ABS(AI257)&lt;='Risk Matrices'!$D$16,'Risk Matrices'!$C$15,IF(ABS(AI257)&lt;='Risk Matrices'!$D$13,'Risk Matrices'!$C$12,'Risk Matrices'!$C$10)))))</f>
        <v>Very Low</v>
      </c>
      <c r="AQ257" s="112" t="str">
        <f>IF(OR(ISBLANK(AK257),AK257=0),"None",IF(ABS(AK257)&lt;='Risk Matrices'!$E$7,'Risk Matrices'!$E$5,IF(ABS(AK257)&lt;='Risk Matrices'!$G$7,'Risk Matrices'!$G$5,IF(ABS(AK257)&lt;='Risk Matrices'!$H$7,'Risk Matrices'!$H$5,'Risk Matrices'!$I$5))))</f>
        <v>Negligible</v>
      </c>
      <c r="AR257" s="112" t="str">
        <f>IF(AN257="","",IF(ABS(AN257)&lt;='Risk Matrices'!$E$8,"Negligible",IF(ABS(AN257)&lt;='Risk Matrices'!$F$8,"Marginal",IF(ABS(AN257)&lt;='Risk Matrices'!$G$8,"Significant",IF(ABS(AN257)&lt;='Risk Matrices'!$H$8,"Critical","Crisis")))))</f>
        <v>Negligible</v>
      </c>
      <c r="AS257" s="102" t="s">
        <v>207</v>
      </c>
      <c r="AT257" s="298">
        <f>IF(OR(ISBLANK(AI257),AI257=0),0,VLOOKUP(AP257,'Risk Matrices'!$B$30:$C$34,2,0))</f>
        <v>1</v>
      </c>
      <c r="AU257" s="298">
        <f>IF(OR(ISBLANK(AK257),AK257=0),0,HLOOKUP(AQ257,'Risk Matrices'!$D$28:$H$29,2,0))</f>
        <v>1</v>
      </c>
      <c r="AV257" s="298">
        <f>IF(OR(ISBLANK(AR257),AR257=0),0,HLOOKUP(AR257,'Risk Matrices'!$D$28:$H$29,2,0))</f>
        <v>1</v>
      </c>
      <c r="AW257" s="298">
        <f>IF(OR(ISBLANK(AS257),AS257=0),0,HLOOKUP(AS257,'Risk Matrices'!$D$28:$H$29,2,0))</f>
        <v>1</v>
      </c>
      <c r="AX257" s="106">
        <f t="shared" si="218"/>
        <v>1</v>
      </c>
      <c r="AY257" s="106">
        <f t="shared" si="219"/>
        <v>1</v>
      </c>
      <c r="AZ257" s="107" t="str">
        <f>IF(B257="Retired","Retired",IF(OR(ISBLANK(AY257),AY257=0),"TBD",IF(AY257&lt;='Risk Matrices'!$D$40,'Risk Matrices'!$B$40,IF(AY257&lt;='Risk Matrices'!$D$39,'Risk Matrices'!$B$39,'Risk Matrices'!$B$38))))</f>
        <v>Low</v>
      </c>
      <c r="BA257" s="104"/>
      <c r="BB257" s="101" t="s">
        <v>366</v>
      </c>
      <c r="BC257" s="109">
        <f t="shared" si="220"/>
        <v>5</v>
      </c>
      <c r="BD257" s="116">
        <v>45300</v>
      </c>
      <c r="BE257" s="104"/>
      <c r="BF257" s="104"/>
      <c r="BG257" s="104"/>
      <c r="BH257" s="104"/>
      <c r="BI257" s="104"/>
      <c r="BJ257" s="874">
        <f t="shared" si="225"/>
        <v>8.3333333333333339</v>
      </c>
      <c r="BK257" s="101"/>
      <c r="BL257" s="101"/>
      <c r="BM257" s="116">
        <v>44012</v>
      </c>
      <c r="BN257" s="330">
        <v>44134</v>
      </c>
      <c r="BO257" s="332"/>
      <c r="BP257" s="94">
        <f t="shared" si="209"/>
        <v>6.6666666666666679</v>
      </c>
      <c r="BQ257" s="97" t="str">
        <f t="shared" si="221"/>
        <v>50 - 100 - 350</v>
      </c>
      <c r="BR257" s="97" t="str">
        <f t="shared" si="222"/>
        <v>0 - 0 - 1</v>
      </c>
      <c r="BS257" s="715">
        <f t="shared" si="206"/>
        <v>8.3333333333333339</v>
      </c>
      <c r="BT257" s="736">
        <f t="shared" si="223"/>
        <v>1.6666666666666666E-2</v>
      </c>
      <c r="BU257" s="735" t="s">
        <v>1712</v>
      </c>
      <c r="BV257" s="873">
        <v>45382</v>
      </c>
      <c r="BW257">
        <f t="shared" si="210"/>
        <v>1248</v>
      </c>
    </row>
    <row r="258" spans="2:75" customFormat="1" ht="122" hidden="1" customHeight="1" x14ac:dyDescent="0.2">
      <c r="B258" s="101" t="str">
        <f t="shared" si="205"/>
        <v>Retired</v>
      </c>
      <c r="C258" s="785" t="s">
        <v>1713</v>
      </c>
      <c r="D258" s="101" t="s">
        <v>151</v>
      </c>
      <c r="E258" s="171" t="s">
        <v>1592</v>
      </c>
      <c r="F258" s="101" t="s">
        <v>124</v>
      </c>
      <c r="G258" s="101" t="s">
        <v>1125</v>
      </c>
      <c r="H258" s="101" t="str">
        <f t="shared" si="207"/>
        <v>RT-6-011-018</v>
      </c>
      <c r="I258" s="106" t="s">
        <v>1125</v>
      </c>
      <c r="J258" s="101" t="s">
        <v>497</v>
      </c>
      <c r="K258" s="101" t="s">
        <v>1714</v>
      </c>
      <c r="L258" s="812" t="s">
        <v>1715</v>
      </c>
      <c r="M258" s="103" t="s">
        <v>197</v>
      </c>
      <c r="N258" s="105">
        <v>2500</v>
      </c>
      <c r="O258" s="106" t="str" cm="1">
        <f t="array" ref="O258">_xlfn.IFS(N258="","",ABS(N258)&lt;='Risk Matrices'!$E$7,'Risk Matrices'!$E$5,ABS(N258)&lt;='Risk Matrices'!$F$7,'Risk Matrices'!$F$5,ABS(N258)&lt;='Risk Matrices'!$G$7,'Risk Matrices'!$G$5,ABS(N258)&lt;='Risk Matrices'!$H$7,'Risk Matrices'!$H$5,ABS(N258)&gt;'Risk Matrices'!$H$7,'Risk Matrices'!$I$5)</f>
        <v>Significant</v>
      </c>
      <c r="P258" s="101">
        <v>0</v>
      </c>
      <c r="Q258" s="101" t="str" cm="1">
        <f t="array" ref="Q258">_xlfn.IFS(P258="","",ABS(P258)&lt;='Risk Matrices'!$E$8,'Risk Matrices'!$E$5,ABS(P258)&lt;='Risk Matrices'!$F$8,'Risk Matrices'!$F$5,ABS(P258)&lt;='Risk Matrices'!$G$8,'Risk Matrices'!$G$5,ABS(P258)&lt;='Risk Matrices'!$H$8,'Risk Matrices'!$H$5,ABS(P258)&gt;'Risk Matrices'!$H$8,'Risk Matrices'!$I$5)</f>
        <v>Negligible</v>
      </c>
      <c r="R258" s="104" t="s">
        <v>280</v>
      </c>
      <c r="S258" s="106">
        <f t="shared" si="224"/>
        <v>5</v>
      </c>
      <c r="T258" s="106" cm="1">
        <f t="array" ref="T258">_xlfn.IFS(O258='Risk Matrices'!$D$28,'Risk Matrices'!$D$29,O258='Risk Matrices'!$E$28,'Risk Matrices'!$E$29,O258='Risk Matrices'!$F$28,'Risk Matrices'!$F$29,O258='Risk Matrices'!$G$28,'Risk Matrices'!$G$29,O258='Risk Matrices'!$H$28,'Risk Matrices'!$H$29)</f>
        <v>3</v>
      </c>
      <c r="U258" s="106">
        <f t="shared" si="213"/>
        <v>1</v>
      </c>
      <c r="V258" s="106">
        <f t="shared" si="208"/>
        <v>2</v>
      </c>
      <c r="W258" s="106">
        <f t="shared" si="214"/>
        <v>3</v>
      </c>
      <c r="X258" s="201">
        <f t="shared" si="215"/>
        <v>15</v>
      </c>
      <c r="Y258" s="107" t="str">
        <f t="shared" si="212"/>
        <v>High</v>
      </c>
      <c r="Z258" s="104" t="s">
        <v>1716</v>
      </c>
      <c r="AA258" s="877">
        <f t="shared" si="216"/>
        <v>0.82</v>
      </c>
      <c r="AB258" s="202">
        <f t="shared" si="217"/>
        <v>2050</v>
      </c>
      <c r="AC258" s="109" t="s">
        <v>155</v>
      </c>
      <c r="AD258" s="902" t="s">
        <v>1717</v>
      </c>
      <c r="AE258" s="902"/>
      <c r="AF258" s="101" t="s">
        <v>145</v>
      </c>
      <c r="AG258" s="103"/>
      <c r="AH258" s="903" t="s">
        <v>1718</v>
      </c>
      <c r="AI258" s="877">
        <v>0.1</v>
      </c>
      <c r="AJ258" s="105">
        <v>0</v>
      </c>
      <c r="AK258" s="105">
        <v>0</v>
      </c>
      <c r="AL258" s="105">
        <v>0</v>
      </c>
      <c r="AM258" s="105">
        <v>0</v>
      </c>
      <c r="AN258" s="105">
        <v>0</v>
      </c>
      <c r="AO258" s="105">
        <v>0</v>
      </c>
      <c r="AP258" s="904" t="str">
        <f>IF(OR(ISBLANK(AI258),AI258=0),"INSERT LIKELIHOOD",IF(ABS(AI258)&lt;='Risk Matrices'!$D$22,'Risk Matrices'!$C$21,IF(ABS(AI258)&lt;='Risk Matrices'!$D$19,'Risk Matrices'!$C$18,IF(ABS(AI258)&lt;='Risk Matrices'!$D$16,'Risk Matrices'!$C$15,IF(ABS(AI258)&lt;='Risk Matrices'!$D$13,'Risk Matrices'!$C$12,'Risk Matrices'!$C$10)))))</f>
        <v>Very Low</v>
      </c>
      <c r="AQ258" s="904" t="str">
        <f>IF(OR(ISBLANK(AK258),AK258=0),"None",IF(ABS(AK258)&lt;='Risk Matrices'!$E$7,'Risk Matrices'!$E$5,IF(ABS(AK258)&lt;='Risk Matrices'!$G$7,'Risk Matrices'!$G$5,IF(ABS(AK258)&lt;='Risk Matrices'!$H$7,'Risk Matrices'!$H$5,'Risk Matrices'!$I$5))))</f>
        <v>None</v>
      </c>
      <c r="AR258" s="904" t="str">
        <f>IF(AN258="","",IF(ABS(AN258)&lt;='Risk Matrices'!$E$8,"Negligible",IF(ABS(AN258)&lt;='Risk Matrices'!$F$8,"Marginal",IF(ABS(AN258)&lt;='Risk Matrices'!$G$8,"Significant",IF(ABS(AN258)&lt;='Risk Matrices'!$H$8,"Critical","Crisis")))))</f>
        <v>Negligible</v>
      </c>
      <c r="AS258" s="102" t="s">
        <v>130</v>
      </c>
      <c r="AT258" s="298">
        <f>IF(OR(ISBLANK(AI258),AI258=0),0,VLOOKUP(AP258,'Risk Matrices'!$B$30:$C$34,2,0))</f>
        <v>1</v>
      </c>
      <c r="AU258" s="298">
        <f>IF(OR(ISBLANK(AK258),AK258=0),0,HLOOKUP(AQ258,'Risk Matrices'!$D$28:$H$29,2,0))</f>
        <v>0</v>
      </c>
      <c r="AV258" s="298">
        <f>IF(OR(ISBLANK(AR258),AR258=0),0,HLOOKUP(AR258,'Risk Matrices'!$D$28:$H$29,2,0))</f>
        <v>1</v>
      </c>
      <c r="AW258" s="298">
        <f>IF(AS258="None",0,HLOOKUP(AS258,'Risk Matrices'!$D$28:$H$29,2,0))</f>
        <v>0</v>
      </c>
      <c r="AX258" s="106">
        <f t="shared" si="218"/>
        <v>1</v>
      </c>
      <c r="AY258" s="106">
        <f t="shared" si="219"/>
        <v>1</v>
      </c>
      <c r="AZ258" s="165" t="str">
        <f>IF(B258="Retired","Retired",IF(OR(ISBLANK(AY258),AY258=0),"TBD",IF(AY258&lt;='Risk Matrices'!$D$40,'Risk Matrices'!$B$40,IF(AY258&lt;='Risk Matrices'!$D$39,'Risk Matrices'!$B$39,'Risk Matrices'!$B$38))))</f>
        <v>Retired</v>
      </c>
      <c r="BA258" s="112"/>
      <c r="BB258" s="113" t="s">
        <v>1719</v>
      </c>
      <c r="BC258" s="109" t="str">
        <f t="shared" si="220"/>
        <v>Retired</v>
      </c>
      <c r="BD258" s="116">
        <v>45300</v>
      </c>
      <c r="BE258" s="114"/>
      <c r="BF258" s="115" t="s">
        <v>1720</v>
      </c>
      <c r="BG258" s="730" t="s">
        <v>1721</v>
      </c>
      <c r="BH258" s="115"/>
      <c r="BI258" s="115"/>
      <c r="BJ258" s="874">
        <f t="shared" si="225"/>
        <v>0</v>
      </c>
      <c r="BK258" s="101" t="s">
        <v>311</v>
      </c>
      <c r="BL258" s="116">
        <v>45518</v>
      </c>
      <c r="BM258" s="116">
        <v>44012</v>
      </c>
      <c r="BN258" s="330">
        <v>44134</v>
      </c>
      <c r="BO258" s="332"/>
      <c r="BP258" s="94">
        <f t="shared" si="209"/>
        <v>0</v>
      </c>
      <c r="BQ258" s="97" t="str">
        <f t="shared" si="221"/>
        <v>0 - 0 - 0</v>
      </c>
      <c r="BR258" s="97" t="str">
        <f t="shared" si="222"/>
        <v>0 - 0 - 0</v>
      </c>
      <c r="BS258" s="715">
        <f t="shared" si="206"/>
        <v>0</v>
      </c>
      <c r="BT258" s="736">
        <f t="shared" si="223"/>
        <v>0</v>
      </c>
      <c r="BU258" s="735" t="s">
        <v>1722</v>
      </c>
      <c r="BV258" s="873">
        <v>45382</v>
      </c>
      <c r="BW258">
        <f t="shared" si="210"/>
        <v>1248</v>
      </c>
    </row>
    <row r="259" spans="2:75" customFormat="1" ht="89" hidden="1" customHeight="1" x14ac:dyDescent="0.2">
      <c r="B259" s="101" t="str">
        <f t="shared" si="205"/>
        <v>Active</v>
      </c>
      <c r="C259" s="785" t="s">
        <v>1723</v>
      </c>
      <c r="D259" s="101" t="s">
        <v>151</v>
      </c>
      <c r="E259" s="171" t="s">
        <v>1592</v>
      </c>
      <c r="F259" s="101" t="s">
        <v>124</v>
      </c>
      <c r="G259" s="101" t="s">
        <v>1125</v>
      </c>
      <c r="H259" s="101" t="str">
        <f t="shared" si="207"/>
        <v>RT-6-011-019</v>
      </c>
      <c r="I259" s="106" t="s">
        <v>1125</v>
      </c>
      <c r="J259" s="101" t="s">
        <v>497</v>
      </c>
      <c r="K259" s="101" t="s">
        <v>1724</v>
      </c>
      <c r="L259" s="339" t="s">
        <v>1725</v>
      </c>
      <c r="M259" s="104" t="s">
        <v>141</v>
      </c>
      <c r="N259" s="105">
        <v>1000</v>
      </c>
      <c r="O259" s="106" t="str" cm="1">
        <f t="array" ref="O259">_xlfn.IFS(N259="","",ABS(N259)&lt;='Risk Matrices'!$E$7,'Risk Matrices'!$E$5,ABS(N259)&lt;='Risk Matrices'!$F$7,'Risk Matrices'!$F$5,ABS(N259)&lt;='Risk Matrices'!$G$7,'Risk Matrices'!$G$5,ABS(N259)&lt;='Risk Matrices'!$H$7,'Risk Matrices'!$H$5,ABS(N259)&gt;'Risk Matrices'!$H$7,'Risk Matrices'!$I$5)</f>
        <v>Marginal</v>
      </c>
      <c r="P259" s="101">
        <v>2</v>
      </c>
      <c r="Q259" s="101" t="str" cm="1">
        <f t="array" ref="Q259">_xlfn.IFS(P259="","",ABS(P259)&lt;='Risk Matrices'!$E$8,'Risk Matrices'!$E$5,ABS(P259)&lt;='Risk Matrices'!$F$8,'Risk Matrices'!$F$5,ABS(P259)&lt;='Risk Matrices'!$G$8,'Risk Matrices'!$G$5,ABS(P259)&lt;='Risk Matrices'!$H$8,'Risk Matrices'!$H$5,ABS(P259)&gt;'Risk Matrices'!$H$8,'Risk Matrices'!$I$5)</f>
        <v>Negligible</v>
      </c>
      <c r="R259" s="104" t="s">
        <v>207</v>
      </c>
      <c r="S259" s="106">
        <f t="shared" si="224"/>
        <v>3</v>
      </c>
      <c r="T259" s="106" cm="1">
        <f t="array" ref="T259">_xlfn.IFS(O259='Risk Matrices'!$D$28,'Risk Matrices'!$D$29,O259='Risk Matrices'!$E$28,'Risk Matrices'!$E$29,O259='Risk Matrices'!$F$28,'Risk Matrices'!$F$29,O259='Risk Matrices'!$G$28,'Risk Matrices'!$G$29,O259='Risk Matrices'!$H$28,'Risk Matrices'!$H$29)</f>
        <v>2</v>
      </c>
      <c r="U259" s="106">
        <f t="shared" si="213"/>
        <v>1</v>
      </c>
      <c r="V259" s="106">
        <f t="shared" si="208"/>
        <v>1</v>
      </c>
      <c r="W259" s="106">
        <f t="shared" si="214"/>
        <v>2</v>
      </c>
      <c r="X259" s="201">
        <f t="shared" si="215"/>
        <v>6</v>
      </c>
      <c r="Y259" s="107" t="str">
        <f t="shared" si="212"/>
        <v>Low</v>
      </c>
      <c r="Z259" s="104" t="s">
        <v>1726</v>
      </c>
      <c r="AA259" s="877">
        <f t="shared" si="216"/>
        <v>0.32</v>
      </c>
      <c r="AB259" s="202">
        <f t="shared" si="217"/>
        <v>320</v>
      </c>
      <c r="AC259" s="109" t="s">
        <v>155</v>
      </c>
      <c r="AD259" s="146" t="s">
        <v>1727</v>
      </c>
      <c r="AE259" s="146"/>
      <c r="AF259" s="103" t="s">
        <v>167</v>
      </c>
      <c r="AG259" s="103"/>
      <c r="AH259" s="750" t="s">
        <v>1626</v>
      </c>
      <c r="AI259" s="198">
        <v>0.15</v>
      </c>
      <c r="AJ259" s="199">
        <v>0</v>
      </c>
      <c r="AK259" s="199">
        <v>250</v>
      </c>
      <c r="AL259" s="199">
        <v>1000</v>
      </c>
      <c r="AM259" s="200">
        <v>0</v>
      </c>
      <c r="AN259" s="200">
        <f>+P259</f>
        <v>2</v>
      </c>
      <c r="AO259" s="200">
        <v>2</v>
      </c>
      <c r="AP259" s="112" t="str">
        <f>IF(OR(ISBLANK(AI259),AI259=0),"INSERT LIKELIHOOD",IF(ABS(AI259)&lt;='Risk Matrices'!$D$22,'Risk Matrices'!$C$21,IF(ABS(AI259)&lt;='Risk Matrices'!$D$19,'Risk Matrices'!$C$18,IF(ABS(AI259)&lt;='Risk Matrices'!$D$16,'Risk Matrices'!$C$15,IF(ABS(AI259)&lt;='Risk Matrices'!$D$13,'Risk Matrices'!$C$12,'Risk Matrices'!$C$10)))))</f>
        <v>Low</v>
      </c>
      <c r="AQ259" s="112" t="str">
        <f>IF(OR(ISBLANK(AK259),AK259=0),"None",IF(ABS(AK259)&lt;='Risk Matrices'!$E$7,'Risk Matrices'!$E$5,IF(ABS(AK259)&lt;='Risk Matrices'!$G$7,'Risk Matrices'!$G$5,IF(ABS(AK259)&lt;='Risk Matrices'!$H$7,'Risk Matrices'!$H$5,'Risk Matrices'!$I$5))))</f>
        <v>Negligible</v>
      </c>
      <c r="AR259" s="112" t="str">
        <f>IF(AN259="","",IF(ABS(AN259)&lt;='Risk Matrices'!$E$8,"Negligible",IF(ABS(AN259)&lt;='Risk Matrices'!$F$8,"Marginal",IF(ABS(AN259)&lt;='Risk Matrices'!$G$8,"Significant",IF(ABS(AN259)&lt;='Risk Matrices'!$H$8,"Critical","Crisis")))))</f>
        <v>Negligible</v>
      </c>
      <c r="AS259" s="102" t="s">
        <v>207</v>
      </c>
      <c r="AT259" s="298">
        <f>IF(OR(ISBLANK(AI259),AI259=0),0,VLOOKUP(AP259,'Risk Matrices'!$B$30:$C$34,2,0))</f>
        <v>2</v>
      </c>
      <c r="AU259" s="298">
        <f>IF(OR(ISBLANK(AK259),AK259=0),0,HLOOKUP(AQ259,'Risk Matrices'!$D$28:$H$29,2,0))</f>
        <v>1</v>
      </c>
      <c r="AV259" s="298">
        <f>IF(OR(ISBLANK(AR259),AR259=0),0,HLOOKUP(AR259,'Risk Matrices'!$D$28:$H$29,2,0))</f>
        <v>1</v>
      </c>
      <c r="AW259" s="298">
        <f>IF(OR(ISBLANK(AS259),AS259=0),0,HLOOKUP(AS259,'Risk Matrices'!$D$28:$H$29,2,0))</f>
        <v>1</v>
      </c>
      <c r="AX259" s="106">
        <f t="shared" si="218"/>
        <v>1</v>
      </c>
      <c r="AY259" s="106">
        <f t="shared" si="219"/>
        <v>2</v>
      </c>
      <c r="AZ259" s="107" t="str">
        <f>IF(B259="Retired","Retired",IF(OR(ISBLANK(AY259),AY259=0),"TBD",IF(AY259&lt;='Risk Matrices'!$D$40,'Risk Matrices'!$B$40,IF(AY259&lt;='Risk Matrices'!$D$39,'Risk Matrices'!$B$39,'Risk Matrices'!$B$38))))</f>
        <v>Low</v>
      </c>
      <c r="BA259" s="104"/>
      <c r="BB259" s="104" t="s">
        <v>1728</v>
      </c>
      <c r="BC259" s="109">
        <f t="shared" si="220"/>
        <v>37.5</v>
      </c>
      <c r="BD259" s="116">
        <v>45300</v>
      </c>
      <c r="BE259" s="104"/>
      <c r="BF259" s="104"/>
      <c r="BG259" s="104"/>
      <c r="BH259" s="104"/>
      <c r="BI259" s="104"/>
      <c r="BJ259" s="874">
        <f t="shared" si="225"/>
        <v>62.5</v>
      </c>
      <c r="BK259" s="101"/>
      <c r="BL259" s="101"/>
      <c r="BM259" s="116">
        <v>44012</v>
      </c>
      <c r="BN259" s="330">
        <v>44134</v>
      </c>
      <c r="BO259" s="332"/>
      <c r="BP259" s="94">
        <f t="shared" si="209"/>
        <v>49.999999999999993</v>
      </c>
      <c r="BQ259" s="97" t="str">
        <f t="shared" si="221"/>
        <v>0 - 250 - 1000</v>
      </c>
      <c r="BR259" s="97" t="str">
        <f t="shared" si="222"/>
        <v>0 - 2 - 2</v>
      </c>
      <c r="BS259" s="715">
        <f t="shared" si="206"/>
        <v>62.5</v>
      </c>
      <c r="BT259" s="736">
        <f t="shared" si="223"/>
        <v>0.19999999999999998</v>
      </c>
      <c r="BU259" s="735" t="s">
        <v>1729</v>
      </c>
      <c r="BV259" s="873">
        <v>45382</v>
      </c>
      <c r="BW259">
        <f t="shared" si="210"/>
        <v>1248</v>
      </c>
    </row>
    <row r="260" spans="2:75" customFormat="1" ht="80" hidden="1" customHeight="1" x14ac:dyDescent="0.2">
      <c r="B260" s="101" t="str">
        <f t="shared" si="205"/>
        <v>Retired</v>
      </c>
      <c r="C260" s="784" t="s">
        <v>1730</v>
      </c>
      <c r="D260" s="101" t="s">
        <v>151</v>
      </c>
      <c r="E260" s="171" t="s">
        <v>1592</v>
      </c>
      <c r="F260" s="101" t="s">
        <v>124</v>
      </c>
      <c r="G260" s="106" t="s">
        <v>1125</v>
      </c>
      <c r="H260" s="101" t="str">
        <f t="shared" si="207"/>
        <v>RT-6-011-020</v>
      </c>
      <c r="I260" s="106" t="s">
        <v>1125</v>
      </c>
      <c r="J260" s="101" t="s">
        <v>497</v>
      </c>
      <c r="K260" s="101" t="s">
        <v>1731</v>
      </c>
      <c r="L260" s="146" t="s">
        <v>1732</v>
      </c>
      <c r="M260" s="103" t="s">
        <v>164</v>
      </c>
      <c r="N260" s="105">
        <v>5000</v>
      </c>
      <c r="O260" s="106" t="str" cm="1">
        <f t="array" ref="O260">_xlfn.IFS(N260="","",ABS(N260)&lt;='Risk Matrices'!$E$7,'Risk Matrices'!$E$5,ABS(N260)&lt;='Risk Matrices'!$F$7,'Risk Matrices'!$F$5,ABS(N260)&lt;='Risk Matrices'!$G$7,'Risk Matrices'!$G$5,ABS(N260)&lt;='Risk Matrices'!$H$7,'Risk Matrices'!$H$5,ABS(N260)&gt;'Risk Matrices'!$H$7,'Risk Matrices'!$I$5)</f>
        <v>Significant</v>
      </c>
      <c r="P260" s="106">
        <v>9</v>
      </c>
      <c r="Q260" s="101" t="str" cm="1">
        <f t="array" ref="Q260">_xlfn.IFS(P260="","",ABS(P260)&lt;='Risk Matrices'!$E$8,'Risk Matrices'!$E$5,ABS(P260)&lt;='Risk Matrices'!$F$8,'Risk Matrices'!$F$5,ABS(P260)&lt;='Risk Matrices'!$G$8,'Risk Matrices'!$G$5,ABS(P260)&lt;='Risk Matrices'!$H$8,'Risk Matrices'!$H$5,ABS(P260)&gt;'Risk Matrices'!$H$8,'Risk Matrices'!$I$5)</f>
        <v>Significant</v>
      </c>
      <c r="R260" s="102" t="s">
        <v>207</v>
      </c>
      <c r="S260" s="106">
        <f t="shared" si="224"/>
        <v>2</v>
      </c>
      <c r="T260" s="106" cm="1">
        <f t="array" ref="T260">_xlfn.IFS(O260='Risk Matrices'!$D$28,'Risk Matrices'!$D$29,O260='Risk Matrices'!$E$28,'Risk Matrices'!$E$29,O260='Risk Matrices'!$F$28,'Risk Matrices'!$F$29,O260='Risk Matrices'!$G$28,'Risk Matrices'!$G$29,O260='Risk Matrices'!$H$28,'Risk Matrices'!$H$29)</f>
        <v>3</v>
      </c>
      <c r="U260" s="106">
        <f t="shared" si="213"/>
        <v>3</v>
      </c>
      <c r="V260" s="106">
        <f t="shared" si="208"/>
        <v>1</v>
      </c>
      <c r="W260" s="106">
        <f t="shared" si="214"/>
        <v>3</v>
      </c>
      <c r="X260" s="106">
        <f t="shared" si="215"/>
        <v>6</v>
      </c>
      <c r="Y260" s="107" t="str">
        <f t="shared" si="212"/>
        <v>Low</v>
      </c>
      <c r="Z260" s="104"/>
      <c r="AA260" s="108">
        <f t="shared" si="216"/>
        <v>0.17</v>
      </c>
      <c r="AB260" s="109">
        <f t="shared" si="217"/>
        <v>850.00000000000011</v>
      </c>
      <c r="AC260" s="109" t="s">
        <v>155</v>
      </c>
      <c r="AD260" s="146" t="s">
        <v>1733</v>
      </c>
      <c r="AE260" s="146"/>
      <c r="AF260" s="103" t="s">
        <v>167</v>
      </c>
      <c r="AG260" s="103"/>
      <c r="AH260" s="895" t="s">
        <v>1734</v>
      </c>
      <c r="AI260" s="875">
        <v>0.2</v>
      </c>
      <c r="AJ260" s="105">
        <v>2000</v>
      </c>
      <c r="AK260" s="105">
        <v>5000</v>
      </c>
      <c r="AL260" s="105">
        <v>8000</v>
      </c>
      <c r="AM260" s="105">
        <v>6</v>
      </c>
      <c r="AN260" s="105">
        <v>9</v>
      </c>
      <c r="AO260" s="105">
        <v>12</v>
      </c>
      <c r="AP260" s="112" t="str">
        <f>IF(OR(ISBLANK(AI260),AI260=0),"INSERT LIKELIHOOD",IF(ABS(AI260)&lt;='Risk Matrices'!$D$22,'Risk Matrices'!$C$21,IF(ABS(AI260)&lt;='Risk Matrices'!$D$19,'Risk Matrices'!$C$18,IF(ABS(AI260)&lt;='Risk Matrices'!$D$16,'Risk Matrices'!$C$15,IF(ABS(AI260)&lt;='Risk Matrices'!$D$13,'Risk Matrices'!$C$12,'Risk Matrices'!$C$10)))))</f>
        <v>Low</v>
      </c>
      <c r="AQ260" s="112" t="str">
        <f>IF(OR(ISBLANK(AK260),AK260=0),"None",IF(ABS(AK260)&lt;='Risk Matrices'!$E$7,'Risk Matrices'!$E$5,IF(ABS(AK260)&lt;='Risk Matrices'!$G$7,'Risk Matrices'!$G$5,IF(ABS(AK260)&lt;='Risk Matrices'!$H$7,'Risk Matrices'!$H$5,'Risk Matrices'!$I$5))))</f>
        <v>Significant</v>
      </c>
      <c r="AR260" s="112" t="str">
        <f>IF(AN260="","",IF(ABS(AN260)&lt;='Risk Matrices'!$E$8,"Negligible",IF(ABS(AN260)&lt;='Risk Matrices'!$F$8,"Marginal",IF(ABS(AN260)&lt;='Risk Matrices'!$G$8,"Significant",IF(ABS(AN260)&lt;='Risk Matrices'!$H$8,"Critical","Crisis")))))</f>
        <v>Significant</v>
      </c>
      <c r="AS260" s="102" t="s">
        <v>130</v>
      </c>
      <c r="AT260" s="298">
        <f>IF(OR(ISBLANK(AI260),AI260=0),0,VLOOKUP(AP260,'Risk Matrices'!$B$30:$C$34,2,0))</f>
        <v>2</v>
      </c>
      <c r="AU260" s="298">
        <f>IF(OR(ISBLANK(AK260),AK260=0),0,HLOOKUP(AQ260,'Risk Matrices'!$D$28:$H$29,2,0))</f>
        <v>3</v>
      </c>
      <c r="AV260" s="298">
        <f>IF(OR(ISBLANK(AR260),AR260=0),0,HLOOKUP(AR260,'Risk Matrices'!$D$28:$H$29,2,0))</f>
        <v>3</v>
      </c>
      <c r="AW260" s="298" t="e">
        <f>IF(OR(ISBLANK(AS260),AS260=0),0,HLOOKUP(AS260,'Risk Matrices'!$D$28:$H$29,2,0))</f>
        <v>#N/A</v>
      </c>
      <c r="AX260" s="106" t="e">
        <f t="shared" si="218"/>
        <v>#N/A</v>
      </c>
      <c r="AY260" s="106" t="e">
        <f t="shared" si="219"/>
        <v>#N/A</v>
      </c>
      <c r="AZ260" s="107" t="str">
        <f>IF(B260="Retired","Retired",IF(OR(ISBLANK(AY260),AY260=0),"TBD",IF(AY260&lt;='Risk Matrices'!$D$40,'Risk Matrices'!$B$40,IF(AY260&lt;='Risk Matrices'!$D$39,'Risk Matrices'!$B$39,'Risk Matrices'!$B$38))))</f>
        <v>Retired</v>
      </c>
      <c r="BA260" s="112"/>
      <c r="BB260" s="101" t="s">
        <v>366</v>
      </c>
      <c r="BC260" s="109" t="str">
        <f t="shared" si="220"/>
        <v>Retired</v>
      </c>
      <c r="BD260" s="116">
        <v>45300</v>
      </c>
      <c r="BE260" s="114"/>
      <c r="BF260" s="115"/>
      <c r="BG260" s="115" t="s">
        <v>1735</v>
      </c>
      <c r="BH260" s="115"/>
      <c r="BI260" s="115"/>
      <c r="BJ260" s="874">
        <f t="shared" si="225"/>
        <v>1000</v>
      </c>
      <c r="BK260" s="101" t="s">
        <v>294</v>
      </c>
      <c r="BL260" s="116">
        <v>45518</v>
      </c>
      <c r="BM260" s="116">
        <v>44012</v>
      </c>
      <c r="BN260" s="330">
        <v>44134</v>
      </c>
      <c r="BO260" s="332"/>
      <c r="BP260" s="94">
        <f t="shared" si="209"/>
        <v>1000</v>
      </c>
      <c r="BQ260" s="97" t="str">
        <f t="shared" si="221"/>
        <v>2000 - 5000 - 8000</v>
      </c>
      <c r="BR260" s="97" t="str">
        <f t="shared" si="222"/>
        <v>6 - 9 - 12</v>
      </c>
      <c r="BS260" s="715">
        <f t="shared" si="206"/>
        <v>1000</v>
      </c>
      <c r="BT260" s="736">
        <f t="shared" si="223"/>
        <v>1.8</v>
      </c>
      <c r="BU260" s="735" t="s">
        <v>358</v>
      </c>
      <c r="BV260" s="873">
        <v>45382</v>
      </c>
      <c r="BW260">
        <f t="shared" si="210"/>
        <v>1248</v>
      </c>
    </row>
    <row r="261" spans="2:75" customFormat="1" ht="146" hidden="1" customHeight="1" x14ac:dyDescent="0.2">
      <c r="B261" s="101" t="str">
        <f t="shared" si="205"/>
        <v>Retired</v>
      </c>
      <c r="C261" s="784" t="s">
        <v>1736</v>
      </c>
      <c r="D261" s="101" t="s">
        <v>151</v>
      </c>
      <c r="E261" s="171" t="s">
        <v>1592</v>
      </c>
      <c r="F261" s="101" t="s">
        <v>124</v>
      </c>
      <c r="G261" s="106" t="s">
        <v>1125</v>
      </c>
      <c r="H261" s="106" t="str">
        <f t="shared" si="207"/>
        <v>RT-6-011-021</v>
      </c>
      <c r="I261" s="140" t="s">
        <v>1700</v>
      </c>
      <c r="J261" s="101" t="s">
        <v>497</v>
      </c>
      <c r="K261" s="157" t="s">
        <v>1737</v>
      </c>
      <c r="L261" s="122" t="s">
        <v>1738</v>
      </c>
      <c r="M261" s="96" t="s">
        <v>164</v>
      </c>
      <c r="N261" s="94">
        <v>1000</v>
      </c>
      <c r="O261" s="106" t="str" cm="1">
        <f t="array" ref="O261">_xlfn.IFS(N261="","",ABS(N261)&lt;='Risk Matrices'!$E$7,'Risk Matrices'!$E$5,ABS(N261)&lt;='Risk Matrices'!$F$7,'Risk Matrices'!$F$5,ABS(N261)&lt;='Risk Matrices'!$G$7,'Risk Matrices'!$G$5,ABS(N261)&lt;='Risk Matrices'!$H$7,'Risk Matrices'!$H$5,ABS(N261)&gt;'Risk Matrices'!$H$7,'Risk Matrices'!$I$5)</f>
        <v>Marginal</v>
      </c>
      <c r="P261" s="94">
        <v>6</v>
      </c>
      <c r="Q261" s="101" t="str" cm="1">
        <f t="array" ref="Q261">_xlfn.IFS(P261="","",ABS(P261)&lt;='Risk Matrices'!$E$8,'Risk Matrices'!$E$5,ABS(P261)&lt;='Risk Matrices'!$F$8,'Risk Matrices'!$F$5,ABS(P261)&lt;='Risk Matrices'!$G$8,'Risk Matrices'!$G$5,ABS(P261)&lt;='Risk Matrices'!$H$8,'Risk Matrices'!$H$5,ABS(P261)&gt;'Risk Matrices'!$H$8,'Risk Matrices'!$I$5)</f>
        <v>Marginal</v>
      </c>
      <c r="R261" s="92" t="s">
        <v>207</v>
      </c>
      <c r="S261" s="106">
        <f t="shared" si="224"/>
        <v>2</v>
      </c>
      <c r="T261" s="106" cm="1">
        <f t="array" ref="T261">_xlfn.IFS(O261='Risk Matrices'!$D$28,'Risk Matrices'!$D$29,O261='Risk Matrices'!$E$28,'Risk Matrices'!$E$29,O261='Risk Matrices'!$F$28,'Risk Matrices'!$F$29,O261='Risk Matrices'!$G$28,'Risk Matrices'!$G$29,O261='Risk Matrices'!$H$28,'Risk Matrices'!$H$29)</f>
        <v>2</v>
      </c>
      <c r="U261" s="106">
        <f t="shared" si="213"/>
        <v>2</v>
      </c>
      <c r="V261" s="106">
        <f t="shared" si="208"/>
        <v>1</v>
      </c>
      <c r="W261" s="106">
        <f t="shared" si="214"/>
        <v>2</v>
      </c>
      <c r="X261" s="106">
        <f t="shared" si="215"/>
        <v>4</v>
      </c>
      <c r="Y261" s="208" t="str">
        <f t="shared" si="212"/>
        <v>Low</v>
      </c>
      <c r="Z261" s="104" t="s">
        <v>1703</v>
      </c>
      <c r="AA261" s="108">
        <f t="shared" si="216"/>
        <v>0.17</v>
      </c>
      <c r="AB261" s="109">
        <f t="shared" si="217"/>
        <v>170</v>
      </c>
      <c r="AC261" s="109" t="s">
        <v>155</v>
      </c>
      <c r="AD261" s="866" t="s">
        <v>1739</v>
      </c>
      <c r="AE261" s="940"/>
      <c r="AF261" s="103" t="s">
        <v>167</v>
      </c>
      <c r="AG261" s="103"/>
      <c r="AH261" s="750" t="s">
        <v>1626</v>
      </c>
      <c r="AI261" s="877">
        <v>0.1</v>
      </c>
      <c r="AJ261" s="105">
        <v>250</v>
      </c>
      <c r="AK261" s="105">
        <v>1000</v>
      </c>
      <c r="AL261" s="105">
        <v>2000</v>
      </c>
      <c r="AM261" s="200">
        <v>0</v>
      </c>
      <c r="AN261" s="200">
        <v>3</v>
      </c>
      <c r="AO261" s="200">
        <v>6</v>
      </c>
      <c r="AP261" s="112" t="str">
        <f>IF(OR(ISBLANK(AI261),AI261=0),"INSERT LIKELIHOOD",IF(ABS(AI261)&lt;='Risk Matrices'!$D$22,'Risk Matrices'!$C$21,IF(ABS(AI261)&lt;='Risk Matrices'!$D$19,'Risk Matrices'!$C$18,IF(ABS(AI261)&lt;='Risk Matrices'!$D$16,'Risk Matrices'!$C$15,IF(ABS(AI261)&lt;='Risk Matrices'!$D$13,'Risk Matrices'!$C$12,'Risk Matrices'!$C$10)))))</f>
        <v>Very Low</v>
      </c>
      <c r="AQ261" s="112" t="str">
        <f>IF(OR(ISBLANK(AK261),AK261=0),"None",IF(ABS(AK261)&lt;='Risk Matrices'!$E$7,'Risk Matrices'!$E$5,IF(ABS(AK261)&lt;='Risk Matrices'!$G$7,'Risk Matrices'!$G$5,IF(ABS(AK261)&lt;='Risk Matrices'!$H$7,'Risk Matrices'!$H$5,'Risk Matrices'!$I$5))))</f>
        <v>Significant</v>
      </c>
      <c r="AR261" s="112" t="str">
        <f>IF(AN261="","",IF(ABS(AN261)&lt;='Risk Matrices'!$E$8,"Negligible",IF(ABS(AN261)&lt;='Risk Matrices'!$F$8,"Marginal",IF(ABS(AN261)&lt;='Risk Matrices'!$G$8,"Significant",IF(ABS(AN261)&lt;='Risk Matrices'!$H$8,"Critical","Crisis")))))</f>
        <v>Negligible</v>
      </c>
      <c r="AS261" s="102" t="s">
        <v>207</v>
      </c>
      <c r="AT261" s="298">
        <f>IF(OR(ISBLANK(AI261),AI261=0),0,VLOOKUP(AP261,'Risk Matrices'!$B$30:$C$34,2,0))</f>
        <v>1</v>
      </c>
      <c r="AU261" s="298">
        <f>IF(OR(ISBLANK(AK261),AK261=0),0,HLOOKUP(AQ261,'Risk Matrices'!$D$28:$H$29,2,0))</f>
        <v>3</v>
      </c>
      <c r="AV261" s="298">
        <f>IF(OR(ISBLANK(AR261),AR261=0),0,HLOOKUP(AR261,'Risk Matrices'!$D$28:$H$29,2,0))</f>
        <v>1</v>
      </c>
      <c r="AW261" s="298">
        <f>IF(OR(ISBLANK(AS261),AS261=0),0,HLOOKUP(AS261,'Risk Matrices'!$D$28:$H$29,2,0))</f>
        <v>1</v>
      </c>
      <c r="AX261" s="106">
        <f t="shared" si="218"/>
        <v>3</v>
      </c>
      <c r="AY261" s="106">
        <f t="shared" si="219"/>
        <v>3</v>
      </c>
      <c r="AZ261" s="107" t="str">
        <f>IF(B261="Retired","Retired",IF(OR(ISBLANK(AY261),AY261=0),"TBD",IF(AY261&lt;='Risk Matrices'!$D$40,'Risk Matrices'!$B$40,IF(AY261&lt;='Risk Matrices'!$D$39,'Risk Matrices'!$B$39,'Risk Matrices'!$B$38))))</f>
        <v>Retired</v>
      </c>
      <c r="BA261" s="112"/>
      <c r="BB261" s="101" t="s">
        <v>366</v>
      </c>
      <c r="BC261" s="109" t="str">
        <f t="shared" si="220"/>
        <v>Retired</v>
      </c>
      <c r="BD261" s="116">
        <v>45300</v>
      </c>
      <c r="BE261" s="114"/>
      <c r="BF261" s="115"/>
      <c r="BG261" s="115" t="s">
        <v>1740</v>
      </c>
      <c r="BH261" s="115"/>
      <c r="BI261" s="115"/>
      <c r="BJ261" s="874">
        <f t="shared" si="225"/>
        <v>108.33333333333333</v>
      </c>
      <c r="BK261" s="101" t="s">
        <v>294</v>
      </c>
      <c r="BL261" s="116">
        <v>45518</v>
      </c>
      <c r="BM261" s="116">
        <v>44012</v>
      </c>
      <c r="BN261" s="330">
        <v>44134</v>
      </c>
      <c r="BO261" s="332"/>
      <c r="BP261" s="94">
        <f t="shared" si="209"/>
        <v>104.16666666666669</v>
      </c>
      <c r="BQ261" s="97" t="str">
        <f t="shared" si="221"/>
        <v>250 - 1000 - 2000</v>
      </c>
      <c r="BR261" s="97" t="str">
        <f t="shared" si="222"/>
        <v>0 - 3 - 6</v>
      </c>
      <c r="BS261" s="715">
        <f t="shared" si="206"/>
        <v>108.33333333333333</v>
      </c>
      <c r="BT261" s="736">
        <f t="shared" si="223"/>
        <v>0.3</v>
      </c>
      <c r="BU261" s="735" t="s">
        <v>1741</v>
      </c>
      <c r="BV261" s="873">
        <v>45382</v>
      </c>
      <c r="BW261">
        <f t="shared" si="210"/>
        <v>1248</v>
      </c>
    </row>
    <row r="262" spans="2:75" customFormat="1" ht="82" hidden="1" customHeight="1" x14ac:dyDescent="0.2">
      <c r="B262" s="101" t="str">
        <f t="shared" si="205"/>
        <v>Active</v>
      </c>
      <c r="C262" s="784" t="s">
        <v>1742</v>
      </c>
      <c r="D262" s="101" t="s">
        <v>151</v>
      </c>
      <c r="E262" s="171" t="s">
        <v>1592</v>
      </c>
      <c r="F262" s="101" t="s">
        <v>124</v>
      </c>
      <c r="G262" s="106" t="s">
        <v>1125</v>
      </c>
      <c r="H262" s="101" t="str">
        <f t="shared" si="207"/>
        <v>RT-6-011-022</v>
      </c>
      <c r="I262" s="106" t="s">
        <v>1125</v>
      </c>
      <c r="J262" s="101" t="s">
        <v>497</v>
      </c>
      <c r="K262" s="101" t="s">
        <v>1743</v>
      </c>
      <c r="L262" s="146" t="s">
        <v>1744</v>
      </c>
      <c r="M262" s="103" t="s">
        <v>164</v>
      </c>
      <c r="N262" s="105">
        <v>5000</v>
      </c>
      <c r="O262" s="106" t="str" cm="1">
        <f t="array" ref="O262">_xlfn.IFS(N262="","",ABS(N262)&lt;='Risk Matrices'!$E$7,'Risk Matrices'!$E$5,ABS(N262)&lt;='Risk Matrices'!$F$7,'Risk Matrices'!$F$5,ABS(N262)&lt;='Risk Matrices'!$G$7,'Risk Matrices'!$G$5,ABS(N262)&lt;='Risk Matrices'!$H$7,'Risk Matrices'!$H$5,ABS(N262)&gt;'Risk Matrices'!$H$7,'Risk Matrices'!$I$5)</f>
        <v>Significant</v>
      </c>
      <c r="P262" s="106">
        <v>12</v>
      </c>
      <c r="Q262" s="101" t="str" cm="1">
        <f t="array" ref="Q262">_xlfn.IFS(P262="","",ABS(P262)&lt;='Risk Matrices'!$E$8,'Risk Matrices'!$E$5,ABS(P262)&lt;='Risk Matrices'!$F$8,'Risk Matrices'!$F$5,ABS(P262)&lt;='Risk Matrices'!$G$8,'Risk Matrices'!$G$5,ABS(P262)&lt;='Risk Matrices'!$H$8,'Risk Matrices'!$H$5,ABS(P262)&gt;'Risk Matrices'!$H$8,'Risk Matrices'!$I$5)</f>
        <v>Significant</v>
      </c>
      <c r="R262" s="102" t="s">
        <v>207</v>
      </c>
      <c r="S262" s="106">
        <f t="shared" si="224"/>
        <v>2</v>
      </c>
      <c r="T262" s="106" cm="1">
        <f t="array" ref="T262">_xlfn.IFS(O262='Risk Matrices'!$D$28,'Risk Matrices'!$D$29,O262='Risk Matrices'!$E$28,'Risk Matrices'!$E$29,O262='Risk Matrices'!$F$28,'Risk Matrices'!$F$29,O262='Risk Matrices'!$G$28,'Risk Matrices'!$G$29,O262='Risk Matrices'!$H$28,'Risk Matrices'!$H$29)</f>
        <v>3</v>
      </c>
      <c r="U262" s="106">
        <f t="shared" si="213"/>
        <v>3</v>
      </c>
      <c r="V262" s="106">
        <f t="shared" si="208"/>
        <v>1</v>
      </c>
      <c r="W262" s="106">
        <f t="shared" si="214"/>
        <v>3</v>
      </c>
      <c r="X262" s="106">
        <f t="shared" si="215"/>
        <v>6</v>
      </c>
      <c r="Y262" s="107" t="str">
        <f t="shared" si="212"/>
        <v>Low</v>
      </c>
      <c r="Z262" s="104"/>
      <c r="AA262" s="108">
        <f t="shared" si="216"/>
        <v>0.17</v>
      </c>
      <c r="AB262" s="109">
        <f t="shared" si="217"/>
        <v>850.00000000000011</v>
      </c>
      <c r="AC262" s="965" t="s">
        <v>155</v>
      </c>
      <c r="AD262" s="865" t="s">
        <v>1745</v>
      </c>
      <c r="AE262" s="865"/>
      <c r="AF262" s="103" t="s">
        <v>167</v>
      </c>
      <c r="AG262" s="103"/>
      <c r="AH262" s="895" t="s">
        <v>1734</v>
      </c>
      <c r="AI262" s="875">
        <v>0.2</v>
      </c>
      <c r="AJ262" s="105">
        <v>1000</v>
      </c>
      <c r="AK262" s="105">
        <v>5000</v>
      </c>
      <c r="AL262" s="105">
        <v>8000</v>
      </c>
      <c r="AM262" s="105">
        <v>6</v>
      </c>
      <c r="AN262" s="105">
        <v>12</v>
      </c>
      <c r="AO262" s="105">
        <v>24</v>
      </c>
      <c r="AP262" s="112" t="str">
        <f>IF(OR(ISBLANK(AI262),AI262=0),"INSERT LIKELIHOOD",IF(ABS(AI262)&lt;='Risk Matrices'!$D$22,'Risk Matrices'!$C$21,IF(ABS(AI262)&lt;='Risk Matrices'!$D$19,'Risk Matrices'!$C$18,IF(ABS(AI262)&lt;='Risk Matrices'!$D$16,'Risk Matrices'!$C$15,IF(ABS(AI262)&lt;='Risk Matrices'!$D$13,'Risk Matrices'!$C$12,'Risk Matrices'!$C$10)))))</f>
        <v>Low</v>
      </c>
      <c r="AQ262" s="112" t="str">
        <f>IF(OR(ISBLANK(AK262),AK262=0),"None",IF(ABS(AK262)&lt;='Risk Matrices'!$E$7,'Risk Matrices'!$E$5,IF(ABS(AK262)&lt;='Risk Matrices'!$G$7,'Risk Matrices'!$G$5,IF(ABS(AK262)&lt;='Risk Matrices'!$H$7,'Risk Matrices'!$H$5,'Risk Matrices'!$I$5))))</f>
        <v>Significant</v>
      </c>
      <c r="AR262" s="112" t="str">
        <f>IF(AN262="","",IF(ABS(AN262)&lt;='Risk Matrices'!$E$8,"Negligible",IF(ABS(AN262)&lt;='Risk Matrices'!$F$8,"Marginal",IF(ABS(AN262)&lt;='Risk Matrices'!$G$8,"Significant",IF(ABS(AN262)&lt;='Risk Matrices'!$H$8,"Critical","Crisis")))))</f>
        <v>Significant</v>
      </c>
      <c r="AS262" s="102" t="s">
        <v>130</v>
      </c>
      <c r="AT262" s="298">
        <f>IF(OR(ISBLANK(AI262),AI262=0),0,VLOOKUP(AP262,'Risk Matrices'!$B$30:$C$34,2,0))</f>
        <v>2</v>
      </c>
      <c r="AU262" s="298">
        <f>IF(OR(ISBLANK(AK262),AK262=0),0,HLOOKUP(AQ262,'Risk Matrices'!$D$28:$H$29,2,0))</f>
        <v>3</v>
      </c>
      <c r="AV262" s="298">
        <f>IF(OR(ISBLANK(AR262),AR262=0),0,HLOOKUP(AR262,'Risk Matrices'!$D$28:$H$29,2,0))</f>
        <v>3</v>
      </c>
      <c r="AW262" s="298">
        <f>IF(AS262="None",0,HLOOKUP(AS262,'Risk Matrices'!$D$28:$H$29,2,0))</f>
        <v>0</v>
      </c>
      <c r="AX262" s="106">
        <f t="shared" si="218"/>
        <v>3</v>
      </c>
      <c r="AY262" s="106">
        <f t="shared" si="219"/>
        <v>6</v>
      </c>
      <c r="AZ262" s="107" t="str">
        <f>IF(B262="Retired","Retired",IF(OR(ISBLANK(AY262),AY262=0),"TBD",IF(AY262&lt;='Risk Matrices'!$D$40,'Risk Matrices'!$B$40,IF(AY262&lt;='Risk Matrices'!$D$39,'Risk Matrices'!$B$39,'Risk Matrices'!$B$38))))</f>
        <v>Low</v>
      </c>
      <c r="BA262" s="112"/>
      <c r="BB262" s="101" t="s">
        <v>366</v>
      </c>
      <c r="BC262" s="109">
        <f t="shared" si="220"/>
        <v>1000</v>
      </c>
      <c r="BD262" s="116">
        <v>45300</v>
      </c>
      <c r="BE262" s="114"/>
      <c r="BF262" s="115"/>
      <c r="BG262" s="115"/>
      <c r="BH262" s="115"/>
      <c r="BI262" s="115"/>
      <c r="BJ262" s="874">
        <f t="shared" si="225"/>
        <v>933.33333333333348</v>
      </c>
      <c r="BK262" s="101"/>
      <c r="BL262" s="101"/>
      <c r="BM262" s="116">
        <v>44012</v>
      </c>
      <c r="BN262" s="330">
        <v>44134</v>
      </c>
      <c r="BO262" s="332"/>
      <c r="BP262" s="94">
        <f t="shared" si="209"/>
        <v>966.66666666666663</v>
      </c>
      <c r="BQ262" s="97" t="str">
        <f t="shared" si="221"/>
        <v>1000 - 5000 - 8000</v>
      </c>
      <c r="BR262" s="97" t="str">
        <f t="shared" si="222"/>
        <v>6 - 12 - 24</v>
      </c>
      <c r="BS262" s="715">
        <f t="shared" si="206"/>
        <v>933.33333333333348</v>
      </c>
      <c r="BT262" s="736">
        <f t="shared" si="223"/>
        <v>2.8000000000000003</v>
      </c>
      <c r="BU262" s="735" t="s">
        <v>1746</v>
      </c>
      <c r="BV262" s="873">
        <v>45382</v>
      </c>
      <c r="BW262">
        <f t="shared" si="210"/>
        <v>1248</v>
      </c>
    </row>
    <row r="263" spans="2:75" customFormat="1" ht="72" hidden="1" customHeight="1" x14ac:dyDescent="0.2">
      <c r="B263" s="101" t="str">
        <f t="shared" si="205"/>
        <v>Active</v>
      </c>
      <c r="C263" s="961" t="s">
        <v>1747</v>
      </c>
      <c r="D263" s="101" t="s">
        <v>151</v>
      </c>
      <c r="E263" s="207" t="s">
        <v>1592</v>
      </c>
      <c r="F263" s="101" t="s">
        <v>124</v>
      </c>
      <c r="G263" s="106" t="s">
        <v>1125</v>
      </c>
      <c r="H263" s="103" t="str">
        <f t="shared" si="207"/>
        <v>RT-6-011-023</v>
      </c>
      <c r="I263" s="106" t="s">
        <v>1125</v>
      </c>
      <c r="J263" s="101" t="s">
        <v>497</v>
      </c>
      <c r="K263" s="171" t="s">
        <v>1748</v>
      </c>
      <c r="L263" s="146" t="s">
        <v>1749</v>
      </c>
      <c r="M263" s="103" t="s">
        <v>197</v>
      </c>
      <c r="N263" s="105">
        <v>15000</v>
      </c>
      <c r="O263" s="106" t="str" cm="1">
        <f t="array" ref="O263">_xlfn.IFS(N263="","",ABS(N263)&lt;='Risk Matrices'!$E$7,'Risk Matrices'!$E$5,ABS(N263)&lt;='Risk Matrices'!$F$7,'Risk Matrices'!$F$5,ABS(N263)&lt;='Risk Matrices'!$G$7,'Risk Matrices'!$G$5,ABS(N263)&lt;='Risk Matrices'!$H$7,'Risk Matrices'!$H$5,ABS(N263)&gt;'Risk Matrices'!$H$7,'Risk Matrices'!$I$5)</f>
        <v>Critical</v>
      </c>
      <c r="P263" s="106">
        <v>12</v>
      </c>
      <c r="Q263" s="101" t="str" cm="1">
        <f t="array" ref="Q263">_xlfn.IFS(P263="","",ABS(P263)&lt;='Risk Matrices'!$E$8,'Risk Matrices'!$E$5,ABS(P263)&lt;='Risk Matrices'!$F$8,'Risk Matrices'!$F$5,ABS(P263)&lt;='Risk Matrices'!$G$8,'Risk Matrices'!$G$5,ABS(P263)&lt;='Risk Matrices'!$H$8,'Risk Matrices'!$H$5,ABS(P263)&gt;'Risk Matrices'!$H$8,'Risk Matrices'!$I$5)</f>
        <v>Significant</v>
      </c>
      <c r="R263" s="102" t="s">
        <v>207</v>
      </c>
      <c r="S263" s="106">
        <f t="shared" si="224"/>
        <v>5</v>
      </c>
      <c r="T263" s="106" cm="1">
        <f t="array" ref="T263">_xlfn.IFS(O263='Risk Matrices'!$D$28,'Risk Matrices'!$D$29,O263='Risk Matrices'!$E$28,'Risk Matrices'!$E$29,O263='Risk Matrices'!$F$28,'Risk Matrices'!$F$29,O263='Risk Matrices'!$G$28,'Risk Matrices'!$G$29,O263='Risk Matrices'!$H$28,'Risk Matrices'!$H$29)</f>
        <v>4</v>
      </c>
      <c r="U263" s="106">
        <f t="shared" si="213"/>
        <v>3</v>
      </c>
      <c r="V263" s="106">
        <f t="shared" si="208"/>
        <v>1</v>
      </c>
      <c r="W263" s="106">
        <f t="shared" si="214"/>
        <v>4</v>
      </c>
      <c r="X263" s="106">
        <f t="shared" si="215"/>
        <v>20</v>
      </c>
      <c r="Y263" s="107" t="str">
        <f t="shared" si="212"/>
        <v>High</v>
      </c>
      <c r="Z263" s="104"/>
      <c r="AA263" s="108">
        <f t="shared" si="216"/>
        <v>0.82</v>
      </c>
      <c r="AB263" s="964">
        <f t="shared" si="217"/>
        <v>12300</v>
      </c>
      <c r="AC263" s="109" t="s">
        <v>155</v>
      </c>
      <c r="AD263" s="714" t="s">
        <v>1750</v>
      </c>
      <c r="AE263" s="939"/>
      <c r="AF263" s="101" t="s">
        <v>145</v>
      </c>
      <c r="AG263" s="937"/>
      <c r="AH263" s="867" t="s">
        <v>1751</v>
      </c>
      <c r="AI263" s="875">
        <v>0.7</v>
      </c>
      <c r="AJ263" s="105">
        <v>2000</v>
      </c>
      <c r="AK263" s="105">
        <v>15000</v>
      </c>
      <c r="AL263" s="105">
        <v>25000</v>
      </c>
      <c r="AM263" s="105">
        <v>0</v>
      </c>
      <c r="AN263" s="105">
        <v>12</v>
      </c>
      <c r="AO263" s="105">
        <v>12</v>
      </c>
      <c r="AP263" s="112" t="str">
        <f>IF(OR(ISBLANK(AI263),AI263=0),"INSERT LIKELIHOOD",IF(ABS(AI263)&lt;='Risk Matrices'!$D$22,'Risk Matrices'!$C$21,IF(ABS(AI263)&lt;='Risk Matrices'!$D$19,'Risk Matrices'!$C$18,IF(ABS(AI263)&lt;='Risk Matrices'!$D$16,'Risk Matrices'!$C$15,IF(ABS(AI263)&lt;='Risk Matrices'!$D$13,'Risk Matrices'!$C$12,'Risk Matrices'!$C$10)))))</f>
        <v>Very High</v>
      </c>
      <c r="AQ263" s="112" t="str">
        <f>IF(OR(ISBLANK(AK263),AK263=0),"None",IF(ABS(AK263)&lt;='Risk Matrices'!$E$7,'Risk Matrices'!$E$5,IF(ABS(AK263)&lt;='Risk Matrices'!$G$7,'Risk Matrices'!$G$5,IF(ABS(AK263)&lt;='Risk Matrices'!$H$7,'Risk Matrices'!$H$5,'Risk Matrices'!$I$5))))</f>
        <v>Critical</v>
      </c>
      <c r="AR263" s="112" t="str">
        <f>IF(AN263="","",IF(ABS(AN263)&lt;='Risk Matrices'!$E$8,"Negligible",IF(ABS(AN263)&lt;='Risk Matrices'!$F$8,"Marginal",IF(ABS(AN263)&lt;='Risk Matrices'!$G$8,"Significant",IF(ABS(AN263)&lt;='Risk Matrices'!$H$8,"Critical","Crisis")))))</f>
        <v>Significant</v>
      </c>
      <c r="AS263" s="102" t="s">
        <v>130</v>
      </c>
      <c r="AT263" s="298">
        <f>IF(OR(ISBLANK(AI263),AI263=0),0,VLOOKUP(AP263,'Risk Matrices'!$B$30:$C$34,2,0))</f>
        <v>5</v>
      </c>
      <c r="AU263" s="298">
        <f>IF(OR(ISBLANK(AK263),AK263=0),0,HLOOKUP(AQ263,'Risk Matrices'!$D$28:$H$29,2,0))</f>
        <v>4</v>
      </c>
      <c r="AV263" s="298">
        <f>IF(OR(ISBLANK(AR263),AR263=0),0,HLOOKUP(AR263,'Risk Matrices'!$D$28:$H$29,2,0))</f>
        <v>3</v>
      </c>
      <c r="AW263" s="298">
        <f>IF(AS263="None",0,HLOOKUP(AS263,'Risk Matrices'!$D$28:$H$29,2,0))</f>
        <v>0</v>
      </c>
      <c r="AX263" s="106">
        <f t="shared" si="218"/>
        <v>4</v>
      </c>
      <c r="AY263" s="106">
        <f t="shared" si="219"/>
        <v>20</v>
      </c>
      <c r="AZ263" s="107" t="str">
        <f>IF(B263="Retired","Retired",IF(OR(ISBLANK(AY263),AY263=0),"TBD",IF(AY263&lt;='Risk Matrices'!$D$40,'Risk Matrices'!$B$40,IF(AY263&lt;='Risk Matrices'!$D$39,'Risk Matrices'!$B$39,'Risk Matrices'!$B$38))))</f>
        <v>High</v>
      </c>
      <c r="BA263" s="112"/>
      <c r="BB263" s="104" t="s">
        <v>366</v>
      </c>
      <c r="BC263" s="109">
        <f t="shared" si="220"/>
        <v>10500</v>
      </c>
      <c r="BD263" s="116">
        <v>45300</v>
      </c>
      <c r="BE263" s="114"/>
      <c r="BF263" s="104" t="s">
        <v>1752</v>
      </c>
      <c r="BG263" s="115"/>
      <c r="BH263" s="115"/>
      <c r="BI263" s="115"/>
      <c r="BJ263" s="874">
        <f t="shared" si="225"/>
        <v>9800</v>
      </c>
      <c r="BK263" s="101"/>
      <c r="BL263" s="101"/>
      <c r="BM263" s="116">
        <v>44012</v>
      </c>
      <c r="BN263" s="330">
        <v>44134</v>
      </c>
      <c r="BO263" s="332"/>
      <c r="BP263" s="94">
        <f t="shared" si="209"/>
        <v>10150</v>
      </c>
      <c r="BQ263" s="97" t="str">
        <f t="shared" si="221"/>
        <v>2000 - 15000 - 25000</v>
      </c>
      <c r="BR263" s="97" t="str">
        <f t="shared" si="222"/>
        <v>0 - 12 - 12</v>
      </c>
      <c r="BS263" s="715">
        <f t="shared" si="206"/>
        <v>9800</v>
      </c>
      <c r="BT263" s="736">
        <f t="shared" si="223"/>
        <v>5.5999999999999988</v>
      </c>
      <c r="BU263" s="735" t="s">
        <v>1753</v>
      </c>
      <c r="BV263" s="873">
        <v>45382</v>
      </c>
      <c r="BW263">
        <f t="shared" si="210"/>
        <v>1248</v>
      </c>
    </row>
    <row r="264" spans="2:75" customFormat="1" ht="98" hidden="1" customHeight="1" x14ac:dyDescent="0.2">
      <c r="B264" s="101" t="str">
        <f t="shared" si="205"/>
        <v>Active</v>
      </c>
      <c r="C264" s="785" t="s">
        <v>1754</v>
      </c>
      <c r="D264" s="101" t="s">
        <v>151</v>
      </c>
      <c r="E264" s="171" t="s">
        <v>1592</v>
      </c>
      <c r="F264" s="101" t="s">
        <v>124</v>
      </c>
      <c r="G264" s="106" t="s">
        <v>1125</v>
      </c>
      <c r="H264" s="101" t="str">
        <f t="shared" si="207"/>
        <v>RT-6-011-024</v>
      </c>
      <c r="I264" s="106" t="s">
        <v>1125</v>
      </c>
      <c r="J264" s="101" t="s">
        <v>497</v>
      </c>
      <c r="K264" s="101" t="s">
        <v>1755</v>
      </c>
      <c r="L264" s="146" t="s">
        <v>1756</v>
      </c>
      <c r="M264" s="101" t="s">
        <v>164</v>
      </c>
      <c r="N264" s="105">
        <v>5000</v>
      </c>
      <c r="O264" s="106" t="str" cm="1">
        <f t="array" ref="O264">_xlfn.IFS(N264="","",ABS(N264)&lt;='Risk Matrices'!$E$7,'Risk Matrices'!$E$5,ABS(N264)&lt;='Risk Matrices'!$F$7,'Risk Matrices'!$F$5,ABS(N264)&lt;='Risk Matrices'!$G$7,'Risk Matrices'!$G$5,ABS(N264)&lt;='Risk Matrices'!$H$7,'Risk Matrices'!$H$5,ABS(N264)&gt;'Risk Matrices'!$H$7,'Risk Matrices'!$I$5)</f>
        <v>Significant</v>
      </c>
      <c r="P264" s="101">
        <v>6</v>
      </c>
      <c r="Q264" s="101" t="str" cm="1">
        <f t="array" ref="Q264">_xlfn.IFS(P264="","",ABS(P264)&lt;='Risk Matrices'!$E$8,'Risk Matrices'!$E$5,ABS(P264)&lt;='Risk Matrices'!$F$8,'Risk Matrices'!$F$5,ABS(P264)&lt;='Risk Matrices'!$G$8,'Risk Matrices'!$G$5,ABS(P264)&lt;='Risk Matrices'!$H$8,'Risk Matrices'!$H$5,ABS(P264)&gt;'Risk Matrices'!$H$8,'Risk Matrices'!$I$5)</f>
        <v>Marginal</v>
      </c>
      <c r="R264" s="101" t="s">
        <v>207</v>
      </c>
      <c r="S264" s="106">
        <f t="shared" si="224"/>
        <v>2</v>
      </c>
      <c r="T264" s="106" cm="1">
        <f t="array" ref="T264">_xlfn.IFS(O264='Risk Matrices'!$D$28,'Risk Matrices'!$D$29,O264='Risk Matrices'!$E$28,'Risk Matrices'!$E$29,O264='Risk Matrices'!$F$28,'Risk Matrices'!$F$29,O264='Risk Matrices'!$G$28,'Risk Matrices'!$G$29,O264='Risk Matrices'!$H$28,'Risk Matrices'!$H$29)</f>
        <v>3</v>
      </c>
      <c r="U264" s="106">
        <f t="shared" si="213"/>
        <v>2</v>
      </c>
      <c r="V264" s="106">
        <f t="shared" si="208"/>
        <v>1</v>
      </c>
      <c r="W264" s="106">
        <f t="shared" si="214"/>
        <v>3</v>
      </c>
      <c r="X264" s="106">
        <f t="shared" si="215"/>
        <v>6</v>
      </c>
      <c r="Y264" s="107" t="str">
        <f t="shared" si="212"/>
        <v>Low</v>
      </c>
      <c r="Z264" s="104" t="s">
        <v>1757</v>
      </c>
      <c r="AA264" s="108">
        <f t="shared" si="216"/>
        <v>0.17</v>
      </c>
      <c r="AB264" s="109">
        <f t="shared" si="217"/>
        <v>850.00000000000011</v>
      </c>
      <c r="AC264" s="966" t="s">
        <v>155</v>
      </c>
      <c r="AD264" s="146" t="s">
        <v>1758</v>
      </c>
      <c r="AE264" s="146"/>
      <c r="AF264" s="103" t="s">
        <v>167</v>
      </c>
      <c r="AG264" s="103"/>
      <c r="AH264" s="895" t="s">
        <v>1734</v>
      </c>
      <c r="AI264" s="875">
        <v>0.2</v>
      </c>
      <c r="AJ264" s="105">
        <v>500</v>
      </c>
      <c r="AK264" s="105">
        <v>5000</v>
      </c>
      <c r="AL264" s="105">
        <v>7000</v>
      </c>
      <c r="AM264" s="105">
        <v>3</v>
      </c>
      <c r="AN264" s="105">
        <v>6</v>
      </c>
      <c r="AO264" s="105">
        <v>9</v>
      </c>
      <c r="AP264" s="112" t="str">
        <f>IF(OR(ISBLANK(AI264),AI264=0),"INSERT LIKELIHOOD",IF(ABS(AI264)&lt;='Risk Matrices'!$D$22,'Risk Matrices'!$C$21,IF(ABS(AI264)&lt;='Risk Matrices'!$D$19,'Risk Matrices'!$C$18,IF(ABS(AI264)&lt;='Risk Matrices'!$D$16,'Risk Matrices'!$C$15,IF(ABS(AI264)&lt;='Risk Matrices'!$D$13,'Risk Matrices'!$C$12,'Risk Matrices'!$C$10)))))</f>
        <v>Low</v>
      </c>
      <c r="AQ264" s="112" t="str">
        <f>IF(OR(ISBLANK(AK264),AK264=0),"None",IF(ABS(AK264)&lt;='Risk Matrices'!$E$7,'Risk Matrices'!$E$5,IF(ABS(AK264)&lt;='Risk Matrices'!$G$7,'Risk Matrices'!$G$5,IF(ABS(AK264)&lt;='Risk Matrices'!$H$7,'Risk Matrices'!$H$5,'Risk Matrices'!$I$5))))</f>
        <v>Significant</v>
      </c>
      <c r="AR264" s="112" t="str">
        <f>IF(AN264="","",IF(ABS(AN264)&lt;='Risk Matrices'!$E$8,"Negligible",IF(ABS(AN264)&lt;='Risk Matrices'!$F$8,"Marginal",IF(ABS(AN264)&lt;='Risk Matrices'!$G$8,"Significant",IF(ABS(AN264)&lt;='Risk Matrices'!$H$8,"Critical","Crisis")))))</f>
        <v>Marginal</v>
      </c>
      <c r="AS264" s="102" t="s">
        <v>130</v>
      </c>
      <c r="AT264" s="298">
        <f>IF(OR(ISBLANK(AI264),AI264=0),0,VLOOKUP(AP264,'Risk Matrices'!$B$30:$C$34,2,0))</f>
        <v>2</v>
      </c>
      <c r="AU264" s="298">
        <f>IF(OR(ISBLANK(AK264),AK264=0),0,HLOOKUP(AQ264,'Risk Matrices'!$D$28:$H$29,2,0))</f>
        <v>3</v>
      </c>
      <c r="AV264" s="298">
        <f>IF(OR(ISBLANK(AR264),AR264=0),0,HLOOKUP(AR264,'Risk Matrices'!$D$28:$H$29,2,0))</f>
        <v>2</v>
      </c>
      <c r="AW264" s="298">
        <f>IF(AS264="None",0,HLOOKUP(AS264,'Risk Matrices'!$D$28:$H$29,2,0))</f>
        <v>0</v>
      </c>
      <c r="AX264" s="106">
        <f t="shared" si="218"/>
        <v>3</v>
      </c>
      <c r="AY264" s="106">
        <f t="shared" si="219"/>
        <v>6</v>
      </c>
      <c r="AZ264" s="107" t="str">
        <f>IF(B264="Retired","Retired",IF(OR(ISBLANK(AY264),AY264=0),"TBD",IF(AY264&lt;='Risk Matrices'!$D$40,'Risk Matrices'!$B$40,IF(AY264&lt;='Risk Matrices'!$D$39,'Risk Matrices'!$B$39,'Risk Matrices'!$B$38))))</f>
        <v>Low</v>
      </c>
      <c r="BA264" s="104"/>
      <c r="BB264" s="101" t="s">
        <v>366</v>
      </c>
      <c r="BC264" s="109">
        <f t="shared" si="220"/>
        <v>1000</v>
      </c>
      <c r="BD264" s="116">
        <v>45300</v>
      </c>
      <c r="BE264" s="104"/>
      <c r="BF264" s="104"/>
      <c r="BG264" s="104"/>
      <c r="BH264" s="104"/>
      <c r="BI264" s="104"/>
      <c r="BJ264" s="874">
        <f t="shared" si="225"/>
        <v>833.33333333333348</v>
      </c>
      <c r="BK264" s="101"/>
      <c r="BL264" s="101"/>
      <c r="BM264" s="116">
        <v>44012</v>
      </c>
      <c r="BN264" s="330">
        <v>44134</v>
      </c>
      <c r="BO264" s="332"/>
      <c r="BP264" s="94">
        <f t="shared" si="209"/>
        <v>916.66666666666663</v>
      </c>
      <c r="BQ264" s="97" t="str">
        <f t="shared" si="221"/>
        <v>500 - 5000 - 7000</v>
      </c>
      <c r="BR264" s="97" t="str">
        <f t="shared" si="222"/>
        <v>3 - 6 - 9</v>
      </c>
      <c r="BS264" s="715">
        <f t="shared" si="206"/>
        <v>833.33333333333348</v>
      </c>
      <c r="BT264" s="736">
        <f t="shared" si="223"/>
        <v>1.2</v>
      </c>
      <c r="BU264" s="735" t="s">
        <v>1759</v>
      </c>
      <c r="BV264" s="873">
        <v>45382</v>
      </c>
      <c r="BW264">
        <f t="shared" si="210"/>
        <v>1248</v>
      </c>
    </row>
    <row r="265" spans="2:75" customFormat="1" ht="67" hidden="1" customHeight="1" x14ac:dyDescent="0.2">
      <c r="B265" s="101" t="str">
        <f t="shared" ref="B265:B271" si="226">IF(BN265="","Proposed",IF(BG265="","Active","Retired"))</f>
        <v>Active</v>
      </c>
      <c r="C265" s="785" t="s">
        <v>1760</v>
      </c>
      <c r="D265" s="101" t="s">
        <v>151</v>
      </c>
      <c r="E265" s="171" t="s">
        <v>1592</v>
      </c>
      <c r="F265" s="101" t="s">
        <v>124</v>
      </c>
      <c r="G265" s="101" t="s">
        <v>1125</v>
      </c>
      <c r="H265" s="101" t="str">
        <f t="shared" si="207"/>
        <v>RT-6-011-025</v>
      </c>
      <c r="I265" s="106" t="s">
        <v>1125</v>
      </c>
      <c r="J265" s="101" t="s">
        <v>497</v>
      </c>
      <c r="K265" s="101" t="s">
        <v>1761</v>
      </c>
      <c r="L265" s="146" t="s">
        <v>1762</v>
      </c>
      <c r="M265" s="103" t="s">
        <v>141</v>
      </c>
      <c r="N265" s="94">
        <v>480</v>
      </c>
      <c r="O265" s="106" t="str" cm="1">
        <f t="array" ref="O265">_xlfn.IFS(N265="","",ABS(N265)&lt;='Risk Matrices'!$E$7,'Risk Matrices'!$E$5,ABS(N265)&lt;='Risk Matrices'!$F$7,'Risk Matrices'!$F$5,ABS(N265)&lt;='Risk Matrices'!$G$7,'Risk Matrices'!$G$5,ABS(N265)&lt;='Risk Matrices'!$H$7,'Risk Matrices'!$H$5,ABS(N265)&gt;'Risk Matrices'!$H$7,'Risk Matrices'!$I$5)</f>
        <v>Marginal</v>
      </c>
      <c r="P265" s="93">
        <v>0</v>
      </c>
      <c r="Q265" s="101" t="str" cm="1">
        <f t="array" ref="Q265">_xlfn.IFS(P265="","",ABS(P265)&lt;='Risk Matrices'!$E$8,'Risk Matrices'!$E$5,ABS(P265)&lt;='Risk Matrices'!$F$8,'Risk Matrices'!$F$5,ABS(P265)&lt;='Risk Matrices'!$G$8,'Risk Matrices'!$G$5,ABS(P265)&lt;='Risk Matrices'!$H$8,'Risk Matrices'!$H$5,ABS(P265)&gt;'Risk Matrices'!$H$8,'Risk Matrices'!$I$5)</f>
        <v>Negligible</v>
      </c>
      <c r="R265" s="91" t="s">
        <v>207</v>
      </c>
      <c r="S265" s="94">
        <f t="shared" si="224"/>
        <v>3</v>
      </c>
      <c r="T265" s="106" cm="1">
        <f t="array" ref="T265">_xlfn.IFS(O265='Risk Matrices'!$D$28,'Risk Matrices'!$D$29,O265='Risk Matrices'!$E$28,'Risk Matrices'!$E$29,O265='Risk Matrices'!$F$28,'Risk Matrices'!$F$29,O265='Risk Matrices'!$G$28,'Risk Matrices'!$G$29,O265='Risk Matrices'!$H$28,'Risk Matrices'!$H$29)</f>
        <v>2</v>
      </c>
      <c r="U265" s="99">
        <f t="shared" si="213"/>
        <v>1</v>
      </c>
      <c r="V265" s="106">
        <f t="shared" si="208"/>
        <v>1</v>
      </c>
      <c r="W265" s="99">
        <f t="shared" si="214"/>
        <v>2</v>
      </c>
      <c r="X265" s="99">
        <f t="shared" si="215"/>
        <v>6</v>
      </c>
      <c r="Y265" s="107" t="str">
        <f t="shared" si="212"/>
        <v>Low</v>
      </c>
      <c r="Z265" s="104" t="s">
        <v>1763</v>
      </c>
      <c r="AA265" s="876">
        <f t="shared" si="216"/>
        <v>0.32</v>
      </c>
      <c r="AB265" s="760">
        <f t="shared" si="217"/>
        <v>153.6</v>
      </c>
      <c r="AC265" s="358" t="s">
        <v>1764</v>
      </c>
      <c r="AD265" s="810" t="s">
        <v>1765</v>
      </c>
      <c r="AE265" s="810"/>
      <c r="AF265" s="101" t="s">
        <v>145</v>
      </c>
      <c r="AG265" s="103"/>
      <c r="AH265" s="750" t="s">
        <v>1626</v>
      </c>
      <c r="AI265" s="198">
        <v>0.5</v>
      </c>
      <c r="AJ265" s="199">
        <v>480</v>
      </c>
      <c r="AK265" s="199">
        <v>480</v>
      </c>
      <c r="AL265" s="199">
        <v>480</v>
      </c>
      <c r="AM265" s="200">
        <v>0</v>
      </c>
      <c r="AN265" s="200">
        <v>0</v>
      </c>
      <c r="AO265" s="200">
        <v>0</v>
      </c>
      <c r="AP265" s="112" t="str">
        <f>IF(OR(ISBLANK(AI265),AI265=0),"INSERT LIKELIHOOD",IF(ABS(AI265)&lt;='Risk Matrices'!$D$22,'Risk Matrices'!$C$21,IF(ABS(AI265)&lt;='Risk Matrices'!$D$19,'Risk Matrices'!$C$18,IF(ABS(AI265)&lt;='Risk Matrices'!$D$16,'Risk Matrices'!$C$15,IF(ABS(AI265)&lt;='Risk Matrices'!$D$13,'Risk Matrices'!$C$12,'Risk Matrices'!$C$10)))))</f>
        <v>High</v>
      </c>
      <c r="AQ265" s="112" t="str">
        <f>IF(OR(ISBLANK(AK265),AK265=0),"None",IF(ABS(AK265)&lt;='Risk Matrices'!$E$7,'Risk Matrices'!$E$5,IF(ABS(AK265)&lt;='Risk Matrices'!$G$7,'Risk Matrices'!$G$5,IF(ABS(AK265)&lt;='Risk Matrices'!$H$7,'Risk Matrices'!$H$5,'Risk Matrices'!$I$5))))</f>
        <v>Significant</v>
      </c>
      <c r="AR265" s="112" t="str">
        <f>IF(AN265="","",IF(ABS(AN265)&lt;='Risk Matrices'!$E$8,"Negligible",IF(ABS(AN265)&lt;='Risk Matrices'!$F$8,"Marginal",IF(ABS(AN265)&lt;='Risk Matrices'!$G$8,"Significant",IF(ABS(AN265)&lt;='Risk Matrices'!$H$8,"Critical","Crisis")))))</f>
        <v>Negligible</v>
      </c>
      <c r="AS265" s="102" t="s">
        <v>130</v>
      </c>
      <c r="AT265" s="298">
        <f>IF(OR(ISBLANK(AI265),AI265=0),0,VLOOKUP(AP265,'Risk Matrices'!$B$30:$C$34,2,0))</f>
        <v>4</v>
      </c>
      <c r="AU265" s="298">
        <f>IF(OR(ISBLANK(AK265),AK265=0),0,HLOOKUP(AQ265,'Risk Matrices'!$D$28:$H$29,2,0))</f>
        <v>3</v>
      </c>
      <c r="AV265" s="298">
        <f>IF(OR(ISBLANK(AR265),AR265=0),0,HLOOKUP(AR265,'Risk Matrices'!$D$28:$H$29,2,0))</f>
        <v>1</v>
      </c>
      <c r="AW265" s="298">
        <f>IF(AS265="None",0,HLOOKUP(AS265,'Risk Matrices'!$D$28:$H$29,2,0))</f>
        <v>0</v>
      </c>
      <c r="AX265" s="106">
        <f t="shared" si="218"/>
        <v>3</v>
      </c>
      <c r="AY265" s="106">
        <f t="shared" si="219"/>
        <v>12</v>
      </c>
      <c r="AZ265" s="107" t="str">
        <f>IF(B265="Retired","Retired",IF(OR(ISBLANK(AY265),AY265=0),"TBD",IF(AY265&lt;='Risk Matrices'!$D$40,'Risk Matrices'!$B$40,IF(AY265&lt;='Risk Matrices'!$D$39,'Risk Matrices'!$B$39,'Risk Matrices'!$B$38))))</f>
        <v>Moderate</v>
      </c>
      <c r="BA265" s="104"/>
      <c r="BB265" s="101" t="s">
        <v>366</v>
      </c>
      <c r="BC265" s="109">
        <f t="shared" si="220"/>
        <v>240</v>
      </c>
      <c r="BD265" s="116">
        <v>45300</v>
      </c>
      <c r="BE265" s="104"/>
      <c r="BF265" s="104"/>
      <c r="BG265" s="104"/>
      <c r="BH265" s="104"/>
      <c r="BI265" s="104"/>
      <c r="BJ265" s="874">
        <f t="shared" si="225"/>
        <v>240</v>
      </c>
      <c r="BK265" s="104"/>
      <c r="BL265" s="104"/>
      <c r="BM265" s="116">
        <v>44377</v>
      </c>
      <c r="BN265" s="330">
        <v>44466</v>
      </c>
      <c r="BO265" s="332"/>
      <c r="BP265" s="94">
        <f t="shared" si="209"/>
        <v>240</v>
      </c>
      <c r="BQ265" s="97" t="str">
        <f t="shared" si="221"/>
        <v>480 - 480 - 480</v>
      </c>
      <c r="BR265" s="97" t="str">
        <f t="shared" si="222"/>
        <v>0 - 0 - 0</v>
      </c>
      <c r="BS265" s="715">
        <f t="shared" ref="BS265:BS270" si="227">BJ265</f>
        <v>240</v>
      </c>
      <c r="BT265" s="736">
        <f t="shared" si="223"/>
        <v>0</v>
      </c>
      <c r="BU265" s="735" t="s">
        <v>1766</v>
      </c>
      <c r="BV265" s="873">
        <v>45382</v>
      </c>
      <c r="BW265">
        <f t="shared" si="210"/>
        <v>916</v>
      </c>
    </row>
    <row r="266" spans="2:75" customFormat="1" ht="117" hidden="1" customHeight="1" x14ac:dyDescent="0.2">
      <c r="B266" s="101" t="str">
        <f t="shared" si="226"/>
        <v>Active</v>
      </c>
      <c r="C266" s="785" t="s">
        <v>1767</v>
      </c>
      <c r="D266" s="101" t="s">
        <v>151</v>
      </c>
      <c r="E266" s="171" t="s">
        <v>1592</v>
      </c>
      <c r="F266" s="126" t="s">
        <v>124</v>
      </c>
      <c r="G266" s="126" t="s">
        <v>1125</v>
      </c>
      <c r="H266" s="101" t="str">
        <f t="shared" si="207"/>
        <v>RT-6-011-026</v>
      </c>
      <c r="I266" s="106" t="s">
        <v>1125</v>
      </c>
      <c r="J266" s="101" t="s">
        <v>497</v>
      </c>
      <c r="K266" s="101" t="s">
        <v>1768</v>
      </c>
      <c r="L266" s="146" t="s">
        <v>1769</v>
      </c>
      <c r="M266" s="104" t="s">
        <v>129</v>
      </c>
      <c r="N266" s="105">
        <v>5000</v>
      </c>
      <c r="O266" s="106" t="str" cm="1">
        <f t="array" ref="O266">_xlfn.IFS(N266="","",ABS(N266)&lt;='Risk Matrices'!$E$7,'Risk Matrices'!$E$5,ABS(N266)&lt;='Risk Matrices'!$F$7,'Risk Matrices'!$F$5,ABS(N266)&lt;='Risk Matrices'!$G$7,'Risk Matrices'!$G$5,ABS(N266)&lt;='Risk Matrices'!$H$7,'Risk Matrices'!$H$5,ABS(N266)&gt;'Risk Matrices'!$H$7,'Risk Matrices'!$I$5)</f>
        <v>Significant</v>
      </c>
      <c r="P266" s="101">
        <v>12</v>
      </c>
      <c r="Q266" s="101" t="str" cm="1">
        <f t="array" ref="Q266">_xlfn.IFS(P266="","",ABS(P266)&lt;='Risk Matrices'!$E$8,'Risk Matrices'!$E$5,ABS(P266)&lt;='Risk Matrices'!$F$8,'Risk Matrices'!$F$5,ABS(P266)&lt;='Risk Matrices'!$G$8,'Risk Matrices'!$G$5,ABS(P266)&lt;='Risk Matrices'!$H$8,'Risk Matrices'!$H$5,ABS(P266)&gt;'Risk Matrices'!$H$8,'Risk Matrices'!$I$5)</f>
        <v>Significant</v>
      </c>
      <c r="R266" s="104" t="s">
        <v>207</v>
      </c>
      <c r="S266" s="106">
        <f t="shared" si="224"/>
        <v>4</v>
      </c>
      <c r="T266" s="106" cm="1">
        <f t="array" ref="T266">_xlfn.IFS(O266='Risk Matrices'!$D$28,'Risk Matrices'!$D$29,O266='Risk Matrices'!$E$28,'Risk Matrices'!$E$29,O266='Risk Matrices'!$F$28,'Risk Matrices'!$F$29,O266='Risk Matrices'!$G$28,'Risk Matrices'!$G$29,O266='Risk Matrices'!$H$28,'Risk Matrices'!$H$29)</f>
        <v>3</v>
      </c>
      <c r="U266" s="106">
        <f t="shared" si="213"/>
        <v>3</v>
      </c>
      <c r="V266" s="106">
        <f t="shared" si="208"/>
        <v>1</v>
      </c>
      <c r="W266" s="106">
        <f t="shared" si="214"/>
        <v>3</v>
      </c>
      <c r="X266" s="201">
        <f t="shared" si="215"/>
        <v>12</v>
      </c>
      <c r="Y266" s="107" t="str">
        <f t="shared" si="212"/>
        <v>Moderate</v>
      </c>
      <c r="Z266" s="104" t="s">
        <v>1605</v>
      </c>
      <c r="AA266" s="108">
        <f t="shared" si="216"/>
        <v>0.52</v>
      </c>
      <c r="AB266" s="202">
        <f t="shared" si="217"/>
        <v>2600</v>
      </c>
      <c r="AC266" s="109" t="s">
        <v>155</v>
      </c>
      <c r="AD266" s="339" t="s">
        <v>1770</v>
      </c>
      <c r="AE266" s="339"/>
      <c r="AF266" s="103" t="s">
        <v>134</v>
      </c>
      <c r="AG266" s="103"/>
      <c r="AH266" s="895" t="s">
        <v>1734</v>
      </c>
      <c r="AI266" s="198">
        <v>0.2</v>
      </c>
      <c r="AJ266" s="199">
        <v>5000</v>
      </c>
      <c r="AK266" s="199">
        <v>5000</v>
      </c>
      <c r="AL266" s="199">
        <v>5000</v>
      </c>
      <c r="AM266" s="210">
        <v>0</v>
      </c>
      <c r="AN266" s="210">
        <v>6</v>
      </c>
      <c r="AO266" s="210">
        <v>12</v>
      </c>
      <c r="AP266" s="112" t="str">
        <f>IF(OR(ISBLANK(AI266),AI266=0),"INSERT LIKELIHOOD",IF(ABS(AI266)&lt;='Risk Matrices'!$D$22,'Risk Matrices'!$C$21,IF(ABS(AI266)&lt;='Risk Matrices'!$D$19,'Risk Matrices'!$C$18,IF(ABS(AI266)&lt;='Risk Matrices'!$D$16,'Risk Matrices'!$C$15,IF(ABS(AI266)&lt;='Risk Matrices'!$D$13,'Risk Matrices'!$C$12,'Risk Matrices'!$C$10)))))</f>
        <v>Low</v>
      </c>
      <c r="AQ266" s="112" t="str">
        <f>IF(OR(ISBLANK(AK266),AK266=0),"None",IF(ABS(AK266)&lt;='Risk Matrices'!$E$7,'Risk Matrices'!$E$5,IF(ABS(AK266)&lt;='Risk Matrices'!$G$7,'Risk Matrices'!$G$5,IF(ABS(AK266)&lt;='Risk Matrices'!$H$7,'Risk Matrices'!$H$5,'Risk Matrices'!$I$5))))</f>
        <v>Significant</v>
      </c>
      <c r="AR266" s="112" t="str">
        <f>IF(AN266="","",IF(ABS(AN266)&lt;='Risk Matrices'!$E$8,"Negligible",IF(ABS(AN266)&lt;='Risk Matrices'!$F$8,"Marginal",IF(ABS(AN266)&lt;='Risk Matrices'!$G$8,"Significant",IF(ABS(AN266)&lt;='Risk Matrices'!$H$8,"Critical","Crisis")))))</f>
        <v>Marginal</v>
      </c>
      <c r="AS266" s="131" t="s">
        <v>130</v>
      </c>
      <c r="AT266" s="298">
        <f>IF(OR(ISBLANK(AI266),AI266=0),0,VLOOKUP(AP266,'Risk Matrices'!$B$30:$C$34,2,0))</f>
        <v>2</v>
      </c>
      <c r="AU266" s="298">
        <f>IF(OR(ISBLANK(AK266),AK266=0),0,HLOOKUP(AQ266,'Risk Matrices'!$D$28:$H$29,2,0))</f>
        <v>3</v>
      </c>
      <c r="AV266" s="298">
        <f>IF(OR(ISBLANK(AR266),AR266=0),0,HLOOKUP(AR266,'Risk Matrices'!$D$28:$H$29,2,0))</f>
        <v>2</v>
      </c>
      <c r="AW266" s="298">
        <f>IF(AS266="None",0,HLOOKUP(AS266,'Risk Matrices'!$D$28:$H$29,2,0))</f>
        <v>0</v>
      </c>
      <c r="AX266" s="106">
        <f t="shared" si="218"/>
        <v>3</v>
      </c>
      <c r="AY266" s="106">
        <f t="shared" si="219"/>
        <v>6</v>
      </c>
      <c r="AZ266" s="107" t="str">
        <f>IF(B266="Retired","Retired",IF(OR(ISBLANK(AY266),AY266=0),"TBD",IF(AY266&lt;='Risk Matrices'!$D$40,'Risk Matrices'!$B$40,IF(AY266&lt;='Risk Matrices'!$D$39,'Risk Matrices'!$B$39,'Risk Matrices'!$B$38))))</f>
        <v>Low</v>
      </c>
      <c r="BA266" s="209"/>
      <c r="BB266" s="197" t="s">
        <v>1605</v>
      </c>
      <c r="BC266" s="109">
        <f t="shared" si="220"/>
        <v>1000</v>
      </c>
      <c r="BD266" s="116">
        <v>45300</v>
      </c>
      <c r="BE266" s="209"/>
      <c r="BF266" s="104" t="s">
        <v>1771</v>
      </c>
      <c r="BG266" s="209"/>
      <c r="BH266" s="209"/>
      <c r="BI266" s="104"/>
      <c r="BJ266" s="874">
        <f t="shared" si="225"/>
        <v>1000</v>
      </c>
      <c r="BK266" s="101"/>
      <c r="BL266" s="101"/>
      <c r="BM266" s="116">
        <v>44377</v>
      </c>
      <c r="BN266" s="330">
        <v>44466</v>
      </c>
      <c r="BO266" s="332"/>
      <c r="BP266" s="94">
        <f t="shared" si="209"/>
        <v>1000</v>
      </c>
      <c r="BQ266" s="97" t="str">
        <f t="shared" si="221"/>
        <v>5000 - 5000 - 5000</v>
      </c>
      <c r="BR266" s="97" t="str">
        <f t="shared" si="222"/>
        <v>0 - 6 - 12</v>
      </c>
      <c r="BS266" s="715">
        <f t="shared" si="227"/>
        <v>1000</v>
      </c>
      <c r="BT266" s="736">
        <f t="shared" si="223"/>
        <v>1.2</v>
      </c>
      <c r="BU266" s="735" t="s">
        <v>1772</v>
      </c>
      <c r="BV266" s="873">
        <v>45382</v>
      </c>
      <c r="BW266">
        <f t="shared" si="210"/>
        <v>916</v>
      </c>
    </row>
    <row r="267" spans="2:75" customFormat="1" ht="109" hidden="1" customHeight="1" x14ac:dyDescent="0.2">
      <c r="B267" s="101" t="str">
        <f t="shared" si="226"/>
        <v>Active</v>
      </c>
      <c r="C267" s="785" t="s">
        <v>1773</v>
      </c>
      <c r="D267" s="101" t="s">
        <v>151</v>
      </c>
      <c r="E267" s="171" t="s">
        <v>1592</v>
      </c>
      <c r="F267" s="101" t="s">
        <v>124</v>
      </c>
      <c r="G267" s="126" t="s">
        <v>1125</v>
      </c>
      <c r="H267" s="101" t="str">
        <f t="shared" si="207"/>
        <v>RT-6-011-027</v>
      </c>
      <c r="I267" s="101" t="s">
        <v>1125</v>
      </c>
      <c r="J267" s="101" t="s">
        <v>497</v>
      </c>
      <c r="K267" s="101" t="s">
        <v>1774</v>
      </c>
      <c r="L267" s="197" t="s">
        <v>1775</v>
      </c>
      <c r="M267" s="103" t="s">
        <v>164</v>
      </c>
      <c r="N267" s="134">
        <v>1200</v>
      </c>
      <c r="O267" s="106" t="str" cm="1">
        <f t="array" ref="O267">_xlfn.IFS(N267="","",ABS(N267)&lt;='Risk Matrices'!$E$7,'Risk Matrices'!$E$5,ABS(N267)&lt;='Risk Matrices'!$F$7,'Risk Matrices'!$F$5,ABS(N267)&lt;='Risk Matrices'!$G$7,'Risk Matrices'!$G$5,ABS(N267)&lt;='Risk Matrices'!$H$7,'Risk Matrices'!$H$5,ABS(N267)&gt;'Risk Matrices'!$H$7,'Risk Matrices'!$I$5)</f>
        <v>Significant</v>
      </c>
      <c r="P267" s="126">
        <v>0</v>
      </c>
      <c r="Q267" s="101" t="str" cm="1">
        <f t="array" ref="Q267">_xlfn.IFS(P267="","",ABS(P267)&lt;='Risk Matrices'!$E$8,'Risk Matrices'!$E$5,ABS(P267)&lt;='Risk Matrices'!$F$8,'Risk Matrices'!$F$5,ABS(P267)&lt;='Risk Matrices'!$G$8,'Risk Matrices'!$G$5,ABS(P267)&lt;='Risk Matrices'!$H$8,'Risk Matrices'!$H$5,ABS(P267)&gt;'Risk Matrices'!$H$8,'Risk Matrices'!$I$5)</f>
        <v>Negligible</v>
      </c>
      <c r="R267" s="101" t="s">
        <v>130</v>
      </c>
      <c r="S267" s="128">
        <f t="shared" si="224"/>
        <v>2</v>
      </c>
      <c r="T267" s="106" cm="1">
        <f t="array" ref="T267">_xlfn.IFS(O267='Risk Matrices'!$D$28,'Risk Matrices'!$D$29,O267='Risk Matrices'!$E$28,'Risk Matrices'!$E$29,O267='Risk Matrices'!$F$28,'Risk Matrices'!$F$29,O267='Risk Matrices'!$G$28,'Risk Matrices'!$G$29,O267='Risk Matrices'!$H$28,'Risk Matrices'!$H$29)</f>
        <v>3</v>
      </c>
      <c r="U267" s="106">
        <f t="shared" si="213"/>
        <v>1</v>
      </c>
      <c r="V267" s="106">
        <f t="shared" si="208"/>
        <v>0</v>
      </c>
      <c r="W267" s="106">
        <f t="shared" si="214"/>
        <v>3</v>
      </c>
      <c r="X267" s="195">
        <f t="shared" si="215"/>
        <v>6</v>
      </c>
      <c r="Y267" s="107" t="str">
        <f t="shared" si="212"/>
        <v>Low</v>
      </c>
      <c r="Z267" s="104" t="s">
        <v>1776</v>
      </c>
      <c r="AA267" s="108">
        <f t="shared" si="216"/>
        <v>0.17</v>
      </c>
      <c r="AB267" s="196">
        <f t="shared" si="217"/>
        <v>204.00000000000003</v>
      </c>
      <c r="AC267" s="137" t="s">
        <v>155</v>
      </c>
      <c r="AD267" s="146" t="s">
        <v>1777</v>
      </c>
      <c r="AE267" s="146"/>
      <c r="AF267" s="103" t="s">
        <v>167</v>
      </c>
      <c r="AG267" s="103"/>
      <c r="AH267" s="894" t="s">
        <v>1778</v>
      </c>
      <c r="AI267" s="198">
        <v>0.05</v>
      </c>
      <c r="AJ267" s="199">
        <v>1200</v>
      </c>
      <c r="AK267" s="199">
        <v>1200</v>
      </c>
      <c r="AL267" s="199">
        <v>1200</v>
      </c>
      <c r="AM267" s="200">
        <v>0</v>
      </c>
      <c r="AN267" s="200">
        <f>+P267</f>
        <v>0</v>
      </c>
      <c r="AO267" s="200">
        <f>+AN267</f>
        <v>0</v>
      </c>
      <c r="AP267" s="112" t="str">
        <f>IF(OR(ISBLANK(AI267),AI267=0),"INSERT LIKELIHOOD",IF(ABS(AI267)&lt;='Risk Matrices'!$D$22,'Risk Matrices'!$C$21,IF(ABS(AI267)&lt;='Risk Matrices'!$D$19,'Risk Matrices'!$C$18,IF(ABS(AI267)&lt;='Risk Matrices'!$D$16,'Risk Matrices'!$C$15,IF(ABS(AI267)&lt;='Risk Matrices'!$D$13,'Risk Matrices'!$C$12,'Risk Matrices'!$C$10)))))</f>
        <v>Very Low</v>
      </c>
      <c r="AQ267" s="112" t="str">
        <f>IF(OR(ISBLANK(AK267),AK267=0),"",IF(ABS(AK267)&lt;='Risk Matrices'!$E$7,'Risk Matrices'!$E$5,IF(ABS(AK267)&lt;='Risk Matrices'!$G$7,'Risk Matrices'!$G$5,IF(ABS(AK267)&lt;='Risk Matrices'!$H$7,'Risk Matrices'!$H$5,'Risk Matrices'!$I$5))))</f>
        <v>Significant</v>
      </c>
      <c r="AR267" s="112" t="str">
        <f>IF(AN267="","",IF(ABS(AN267)&lt;='Risk Matrices'!$E$8,"Negligible",IF(ABS(AN267)&lt;='Risk Matrices'!$F$8,"Marginal",IF(ABS(AN267)&lt;='Risk Matrices'!$G$8,"Significant",IF(ABS(AN267)&lt;='Risk Matrices'!$H$8,"Critical","Crisis")))))</f>
        <v>Negligible</v>
      </c>
      <c r="AS267" s="103" t="s">
        <v>130</v>
      </c>
      <c r="AT267" s="298">
        <f>IF(OR(ISBLANK(AI267),AI267=0),0,VLOOKUP(AP267,'Risk Matrices'!$B$30:$C$34,2,0))</f>
        <v>1</v>
      </c>
      <c r="AU267" s="298">
        <f>IF(OR(ISBLANK(AK267),AK267=0),0,HLOOKUP(AQ267,'Risk Matrices'!$D$28:$H$29,2,0))</f>
        <v>3</v>
      </c>
      <c r="AV267" s="298">
        <f>IF(OR(ISBLANK(AR267),AR267=0),0,HLOOKUP(AR267,'Risk Matrices'!$D$28:$H$29,2,0))</f>
        <v>1</v>
      </c>
      <c r="AW267" s="298">
        <f>IF(AS267="None",0,HLOOKUP(AS267,'Risk Matrices'!$D$28:$H$29,2,0))</f>
        <v>0</v>
      </c>
      <c r="AX267" s="106">
        <f t="shared" si="218"/>
        <v>3</v>
      </c>
      <c r="AY267" s="106">
        <f t="shared" si="219"/>
        <v>3</v>
      </c>
      <c r="AZ267" s="107" t="str">
        <f>IF(B267="Retired","Retired",IF(OR(ISBLANK(AY267),AY267=0),"TBD",IF(AY267&lt;='Risk Matrices'!$D$40,'Risk Matrices'!$B$40,IF(AY267&lt;='Risk Matrices'!$D$39,'Risk Matrices'!$B$39,'Risk Matrices'!$B$38))))</f>
        <v>Low</v>
      </c>
      <c r="BA267" s="104"/>
      <c r="BB267" s="104" t="s">
        <v>1779</v>
      </c>
      <c r="BC267" s="109">
        <f t="shared" si="220"/>
        <v>60</v>
      </c>
      <c r="BD267" s="116">
        <v>45300</v>
      </c>
      <c r="BE267" s="104"/>
      <c r="BF267" s="104"/>
      <c r="BG267" s="104"/>
      <c r="BH267" s="104"/>
      <c r="BI267" s="104"/>
      <c r="BJ267" s="874">
        <f t="shared" si="225"/>
        <v>60</v>
      </c>
      <c r="BK267" s="101"/>
      <c r="BL267" s="750"/>
      <c r="BM267" s="116">
        <v>44468</v>
      </c>
      <c r="BN267" s="330">
        <v>44468</v>
      </c>
      <c r="BO267" s="332"/>
      <c r="BP267" s="94">
        <f t="shared" si="209"/>
        <v>60</v>
      </c>
      <c r="BQ267" s="97" t="str">
        <f t="shared" si="221"/>
        <v>1200 - 1200 - 1200</v>
      </c>
      <c r="BR267" s="97" t="str">
        <f t="shared" si="222"/>
        <v>0 - 0 - 0</v>
      </c>
      <c r="BS267" s="715">
        <f t="shared" si="227"/>
        <v>60</v>
      </c>
      <c r="BT267" s="736">
        <f t="shared" si="223"/>
        <v>0</v>
      </c>
      <c r="BU267" s="735" t="s">
        <v>1780</v>
      </c>
      <c r="BV267" s="873">
        <v>45382</v>
      </c>
      <c r="BW267">
        <f t="shared" si="210"/>
        <v>914</v>
      </c>
    </row>
    <row r="268" spans="2:75" customFormat="1" ht="81" hidden="1" customHeight="1" x14ac:dyDescent="0.2">
      <c r="B268" s="101" t="str">
        <f t="shared" si="226"/>
        <v>Retired</v>
      </c>
      <c r="C268" s="785" t="s">
        <v>1781</v>
      </c>
      <c r="D268" s="101" t="s">
        <v>151</v>
      </c>
      <c r="E268" s="171" t="s">
        <v>1592</v>
      </c>
      <c r="F268" s="101" t="s">
        <v>124</v>
      </c>
      <c r="G268" s="126" t="s">
        <v>1125</v>
      </c>
      <c r="H268" s="101" t="str">
        <f t="shared" si="207"/>
        <v>RT-6-011-028</v>
      </c>
      <c r="I268" s="101" t="s">
        <v>1125</v>
      </c>
      <c r="J268" s="101" t="s">
        <v>497</v>
      </c>
      <c r="K268" s="101" t="s">
        <v>1782</v>
      </c>
      <c r="L268" s="104" t="s">
        <v>1783</v>
      </c>
      <c r="M268" s="103" t="s">
        <v>197</v>
      </c>
      <c r="N268" s="105">
        <v>13000</v>
      </c>
      <c r="O268" s="106" t="str" cm="1">
        <f t="array" ref="O268">_xlfn.IFS(N268="","",ABS(N268)&lt;='Risk Matrices'!$E$7,'Risk Matrices'!$E$5,ABS(N268)&lt;='Risk Matrices'!$F$7,'Risk Matrices'!$F$5,ABS(N268)&lt;='Risk Matrices'!$G$7,'Risk Matrices'!$G$5,ABS(N268)&lt;='Risk Matrices'!$H$7,'Risk Matrices'!$H$5,ABS(N268)&gt;'Risk Matrices'!$H$7,'Risk Matrices'!$I$5)</f>
        <v>Critical</v>
      </c>
      <c r="P268" s="126">
        <v>0</v>
      </c>
      <c r="Q268" s="101" t="str" cm="1">
        <f t="array" ref="Q268">_xlfn.IFS(P268="","",ABS(P268)&lt;='Risk Matrices'!$E$8,'Risk Matrices'!$E$5,ABS(P268)&lt;='Risk Matrices'!$F$8,'Risk Matrices'!$F$5,ABS(P268)&lt;='Risk Matrices'!$G$8,'Risk Matrices'!$G$5,ABS(P268)&lt;='Risk Matrices'!$H$8,'Risk Matrices'!$H$5,ABS(P268)&gt;'Risk Matrices'!$H$8,'Risk Matrices'!$I$5)</f>
        <v>Negligible</v>
      </c>
      <c r="R268" s="101" t="s">
        <v>130</v>
      </c>
      <c r="S268" s="106">
        <f t="shared" si="224"/>
        <v>5</v>
      </c>
      <c r="T268" s="106" cm="1">
        <f t="array" ref="T268">_xlfn.IFS(O268='Risk Matrices'!$D$28,'Risk Matrices'!$D$29,O268='Risk Matrices'!$E$28,'Risk Matrices'!$E$29,O268='Risk Matrices'!$F$28,'Risk Matrices'!$F$29,O268='Risk Matrices'!$G$28,'Risk Matrices'!$G$29,O268='Risk Matrices'!$H$28,'Risk Matrices'!$H$29)</f>
        <v>4</v>
      </c>
      <c r="U268" s="106"/>
      <c r="V268" s="106">
        <f t="shared" si="208"/>
        <v>0</v>
      </c>
      <c r="W268" s="106"/>
      <c r="X268" s="195"/>
      <c r="Y268" s="107"/>
      <c r="Z268" s="104"/>
      <c r="AA268" s="108"/>
      <c r="AB268" s="196"/>
      <c r="AC268" s="137" t="s">
        <v>155</v>
      </c>
      <c r="AD268" s="812" t="s">
        <v>1784</v>
      </c>
      <c r="AE268" s="812"/>
      <c r="AF268" s="103" t="s">
        <v>167</v>
      </c>
      <c r="AG268" s="103"/>
      <c r="AH268" s="894" t="s">
        <v>1778</v>
      </c>
      <c r="AI268" s="878">
        <v>0.9</v>
      </c>
      <c r="AJ268" s="105">
        <v>10000</v>
      </c>
      <c r="AK268" s="105">
        <v>13000</v>
      </c>
      <c r="AL268" s="105">
        <v>18000</v>
      </c>
      <c r="AM268" s="105">
        <v>0</v>
      </c>
      <c r="AN268" s="105">
        <v>0</v>
      </c>
      <c r="AO268" s="105">
        <v>0</v>
      </c>
      <c r="AP268" s="112" t="str">
        <f>IF(OR(ISBLANK(AI268),AI268=0),"INSERT LIKELIHOOD",IF(ABS(AI268)&lt;='Risk Matrices'!$D$22,'Risk Matrices'!$C$21,IF(ABS(AI268)&lt;='Risk Matrices'!$D$19,'Risk Matrices'!$C$18,IF(ABS(AI268)&lt;='Risk Matrices'!$D$16,'Risk Matrices'!$C$15,IF(ABS(AI268)&lt;='Risk Matrices'!$D$13,'Risk Matrices'!$C$12,'Risk Matrices'!$C$10)))))</f>
        <v>Very High</v>
      </c>
      <c r="AQ268" s="112" t="str">
        <f>IF(OR(ISBLANK(AK268),AK268=0),"",IF(ABS(AK268)&lt;='Risk Matrices'!$E$7,'Risk Matrices'!$E$5,IF(ABS(AK268)&lt;='Risk Matrices'!$G$7,'Risk Matrices'!$G$5,IF(ABS(AK268)&lt;='Risk Matrices'!$H$7,'Risk Matrices'!$H$5,'Risk Matrices'!$I$5))))</f>
        <v>Critical</v>
      </c>
      <c r="AR268" s="112" t="str">
        <f>IF(AN268="","",IF(ABS(AN268)&lt;='Risk Matrices'!$E$8,"Negligible",IF(ABS(AN268)&lt;='Risk Matrices'!$F$8,"Marginal",IF(ABS(AN268)&lt;='Risk Matrices'!$G$8,"Significant",IF(ABS(AN268)&lt;='Risk Matrices'!$H$8,"Critical","Crisis")))))</f>
        <v>Negligible</v>
      </c>
      <c r="AS268" s="103" t="s">
        <v>130</v>
      </c>
      <c r="AT268" s="205">
        <f>IF(OR(ISBLANK(AI268),AI268=0),0,VLOOKUP(AP268,'Risk Matrices'!$B$30:$C$34,2,0))</f>
        <v>5</v>
      </c>
      <c r="AU268" s="205">
        <f>IF(OR(ISBLANK(AK268),AK268=0),0,HLOOKUP(AQ268,'Risk Matrices'!$D$28:$H$29,2,0))</f>
        <v>4</v>
      </c>
      <c r="AV268" s="205">
        <f>IF(OR(ISBLANK(AR268),AR268=0),0,HLOOKUP(AR268,'Risk Matrices'!$D$28:$H$29,2,0))</f>
        <v>1</v>
      </c>
      <c r="AW268" s="298">
        <f>IF(AS268="None",0,HLOOKUP(AS268,'Risk Matrices'!$D$28:$H$29,2,0))</f>
        <v>0</v>
      </c>
      <c r="AX268" s="106">
        <f t="shared" si="218"/>
        <v>4</v>
      </c>
      <c r="AY268" s="106">
        <f t="shared" si="219"/>
        <v>20</v>
      </c>
      <c r="AZ268" s="107" t="str">
        <f>IF(B268="Retired","Retired",IF(OR(ISBLANK(AY268),AY268=0),"TBD",IF(AY268&lt;='Risk Matrices'!$D$40,'Risk Matrices'!$B$40,IF(AY268&lt;='Risk Matrices'!$D$39,'Risk Matrices'!$B$39,'Risk Matrices'!$B$38))))</f>
        <v>Retired</v>
      </c>
      <c r="BA268" s="104"/>
      <c r="BB268" s="101" t="s">
        <v>366</v>
      </c>
      <c r="BC268" s="109" t="str">
        <f t="shared" si="220"/>
        <v>Retired</v>
      </c>
      <c r="BD268" s="116">
        <v>45300</v>
      </c>
      <c r="BE268" s="104"/>
      <c r="BF268" s="104" t="s">
        <v>1752</v>
      </c>
      <c r="BG268" s="104" t="s">
        <v>1785</v>
      </c>
      <c r="BH268" s="104"/>
      <c r="BI268" s="104"/>
      <c r="BJ268" s="874">
        <f t="shared" si="225"/>
        <v>12300</v>
      </c>
      <c r="BK268" s="101" t="s">
        <v>1786</v>
      </c>
      <c r="BL268" s="116">
        <v>45482</v>
      </c>
      <c r="BM268" s="350">
        <v>44655</v>
      </c>
      <c r="BN268" s="733">
        <v>44655</v>
      </c>
      <c r="BO268" s="332"/>
      <c r="BP268" s="94">
        <f t="shared" si="209"/>
        <v>12000</v>
      </c>
      <c r="BQ268" s="97" t="str">
        <f t="shared" si="221"/>
        <v>10000 - 13000 - 18000</v>
      </c>
      <c r="BR268" s="97" t="str">
        <f t="shared" si="222"/>
        <v>0 - 0 - 0</v>
      </c>
      <c r="BS268" s="715">
        <f t="shared" si="227"/>
        <v>12300</v>
      </c>
      <c r="BT268" s="736">
        <f t="shared" si="223"/>
        <v>0</v>
      </c>
      <c r="BU268" s="735" t="s">
        <v>1787</v>
      </c>
      <c r="BV268" s="873">
        <v>45382</v>
      </c>
      <c r="BW268">
        <f t="shared" si="210"/>
        <v>727</v>
      </c>
    </row>
    <row r="269" spans="2:75" customFormat="1" ht="86" hidden="1" customHeight="1" x14ac:dyDescent="0.2">
      <c r="B269" s="101" t="str">
        <f t="shared" si="226"/>
        <v>Active</v>
      </c>
      <c r="C269" s="962" t="s">
        <v>1788</v>
      </c>
      <c r="D269" s="101" t="s">
        <v>151</v>
      </c>
      <c r="E269" s="171" t="s">
        <v>1592</v>
      </c>
      <c r="F269" s="101" t="s">
        <v>124</v>
      </c>
      <c r="G269" s="126" t="s">
        <v>1125</v>
      </c>
      <c r="H269" s="101" t="str">
        <f t="shared" si="207"/>
        <v>RT-6-011-029</v>
      </c>
      <c r="I269" s="101" t="s">
        <v>1125</v>
      </c>
      <c r="J269" s="101" t="s">
        <v>497</v>
      </c>
      <c r="K269" s="101" t="s">
        <v>1789</v>
      </c>
      <c r="L269" s="146" t="s">
        <v>1790</v>
      </c>
      <c r="M269" s="103" t="s">
        <v>197</v>
      </c>
      <c r="N269" s="105">
        <v>10000</v>
      </c>
      <c r="O269" s="106" t="str" cm="1">
        <f t="array" ref="O269">_xlfn.IFS(N269="","",ABS(N269)&lt;='Risk Matrices'!$E$7,'Risk Matrices'!$E$5,ABS(N269)&lt;='Risk Matrices'!$F$7,'Risk Matrices'!$F$5,ABS(N269)&lt;='Risk Matrices'!$G$7,'Risk Matrices'!$G$5,ABS(N269)&lt;='Risk Matrices'!$H$7,'Risk Matrices'!$H$5,ABS(N269)&gt;'Risk Matrices'!$H$7,'Risk Matrices'!$I$5)</f>
        <v>Critical</v>
      </c>
      <c r="P269" s="126">
        <v>0</v>
      </c>
      <c r="Q269" s="101" t="str" cm="1">
        <f t="array" ref="Q269">_xlfn.IFS(P269="","",ABS(P269)&lt;='Risk Matrices'!$E$8,'Risk Matrices'!$E$5,ABS(P269)&lt;='Risk Matrices'!$F$8,'Risk Matrices'!$F$5,ABS(P269)&lt;='Risk Matrices'!$G$8,'Risk Matrices'!$G$5,ABS(P269)&lt;='Risk Matrices'!$H$8,'Risk Matrices'!$H$5,ABS(P269)&gt;'Risk Matrices'!$H$8,'Risk Matrices'!$I$5)</f>
        <v>Negligible</v>
      </c>
      <c r="R269" s="101" t="s">
        <v>130</v>
      </c>
      <c r="S269" s="106">
        <f t="shared" si="224"/>
        <v>5</v>
      </c>
      <c r="T269" s="106" cm="1">
        <f t="array" ref="T269">_xlfn.IFS(O269='Risk Matrices'!$D$28,'Risk Matrices'!$D$29,O269='Risk Matrices'!$E$28,'Risk Matrices'!$E$29,O269='Risk Matrices'!$F$28,'Risk Matrices'!$F$29,O269='Risk Matrices'!$G$28,'Risk Matrices'!$G$29,O269='Risk Matrices'!$H$28,'Risk Matrices'!$H$29)</f>
        <v>4</v>
      </c>
      <c r="U269" s="106">
        <f>IF(Q269="",0,IF(Q269="Negligible",1,IF(Q269="Marginal",2,IF(Q269="Significant",3,IF(Q269="Critical",4,IF(Q269="Crisis",5))))))</f>
        <v>1</v>
      </c>
      <c r="V269" s="106">
        <f t="shared" si="208"/>
        <v>0</v>
      </c>
      <c r="W269" s="106">
        <f>MAX(T269,U269,V269)</f>
        <v>4</v>
      </c>
      <c r="X269" s="106">
        <f>S269*W269</f>
        <v>20</v>
      </c>
      <c r="Y269" s="107" t="str">
        <f>IF(X269&lt;=6,"Low",IF(X269&lt;=14,"Moderate",IF(X269&lt;=25,"High")))</f>
        <v>High</v>
      </c>
      <c r="Z269" s="104"/>
      <c r="AA269" s="108"/>
      <c r="AB269" s="196"/>
      <c r="AC269" s="137" t="s">
        <v>155</v>
      </c>
      <c r="AD269" s="124" t="s">
        <v>1791</v>
      </c>
      <c r="AE269" s="124"/>
      <c r="AF269" s="101" t="s">
        <v>145</v>
      </c>
      <c r="AG269" s="103"/>
      <c r="AH269" s="119" t="s">
        <v>1613</v>
      </c>
      <c r="AI269" s="878">
        <v>0.5</v>
      </c>
      <c r="AJ269" s="105">
        <v>3728</v>
      </c>
      <c r="AK269" s="105">
        <v>9320</v>
      </c>
      <c r="AL269" s="105">
        <v>14912</v>
      </c>
      <c r="AM269" s="105">
        <v>0</v>
      </c>
      <c r="AN269" s="105">
        <v>0</v>
      </c>
      <c r="AO269" s="105">
        <v>0</v>
      </c>
      <c r="AP269" s="112" t="str">
        <f>IF(OR(ISBLANK(AI269),AI269=0),"INSERT LIKELIHOOD",IF(ABS(AI269)&lt;='Risk Matrices'!$D$22,'Risk Matrices'!$C$21,IF(ABS(AI269)&lt;='Risk Matrices'!$D$19,'Risk Matrices'!$C$18,IF(ABS(AI269)&lt;='Risk Matrices'!$D$16,'Risk Matrices'!$C$15,IF(ABS(AI269)&lt;='Risk Matrices'!$D$13,'Risk Matrices'!$C$12,'Risk Matrices'!$C$10)))))</f>
        <v>High</v>
      </c>
      <c r="AQ269" s="112" t="str">
        <f>IF(OR(ISBLANK(AK269),AK269=0),"",IF(ABS(AK269)&lt;='Risk Matrices'!$E$7,'Risk Matrices'!$E$5,IF(ABS(AK269)&lt;='Risk Matrices'!$G$7,'Risk Matrices'!$G$5,IF(ABS(AK269)&lt;='Risk Matrices'!$H$7,'Risk Matrices'!$H$5,'Risk Matrices'!$I$5))))</f>
        <v>Critical</v>
      </c>
      <c r="AR269" s="112" t="str">
        <f>IF(AN269="","",IF(ABS(AN269)&lt;='Risk Matrices'!$E$8,"Negligible",IF(ABS(AN269)&lt;='Risk Matrices'!$F$8,"Marginal",IF(ABS(AN269)&lt;='Risk Matrices'!$G$8,"Significant",IF(ABS(AN269)&lt;='Risk Matrices'!$H$8,"Critical","Crisis")))))</f>
        <v>Negligible</v>
      </c>
      <c r="AS269" s="102" t="s">
        <v>130</v>
      </c>
      <c r="AT269" s="298">
        <f>IF(OR(ISBLANK(AI269),AI269=0),0,VLOOKUP(AP269,'Risk Matrices'!$B$30:$C$34,2,0))</f>
        <v>4</v>
      </c>
      <c r="AU269" s="298">
        <f>IF(OR(ISBLANK(AK269),AK269=0),0,HLOOKUP(AQ269,'Risk Matrices'!$D$28:$H$29,2,0))</f>
        <v>4</v>
      </c>
      <c r="AV269" s="298">
        <f>IF(OR(ISBLANK(AR269),AR269=0),0,HLOOKUP(AR269,'Risk Matrices'!$D$28:$H$29,2,0))</f>
        <v>1</v>
      </c>
      <c r="AW269" s="298">
        <f>IF(AS269="None",0,HLOOKUP(AS269,'Risk Matrices'!$D$28:$H$29,2,0))</f>
        <v>0</v>
      </c>
      <c r="AX269" s="106">
        <f t="shared" si="218"/>
        <v>4</v>
      </c>
      <c r="AY269" s="106">
        <f t="shared" si="219"/>
        <v>16</v>
      </c>
      <c r="AZ269" s="107" t="str">
        <f>IF(B269="Retired","Retired",IF(OR(ISBLANK(AY269),AY269=0),"TBD",IF(AY269&lt;='Risk Matrices'!$D$40,'Risk Matrices'!$B$40,IF(AY269&lt;='Risk Matrices'!$D$39,'Risk Matrices'!$B$39,'Risk Matrices'!$B$38))))</f>
        <v>High</v>
      </c>
      <c r="BA269" s="104"/>
      <c r="BB269" s="104" t="s">
        <v>1792</v>
      </c>
      <c r="BC269" s="109">
        <f t="shared" si="220"/>
        <v>4660</v>
      </c>
      <c r="BD269" s="116">
        <v>45300</v>
      </c>
      <c r="BE269" s="104"/>
      <c r="BF269" s="104" t="s">
        <v>1752</v>
      </c>
      <c r="BG269" s="104"/>
      <c r="BH269" s="104"/>
      <c r="BI269" s="104"/>
      <c r="BJ269" s="874">
        <f t="shared" si="225"/>
        <v>4660</v>
      </c>
      <c r="BK269" s="101"/>
      <c r="BL269" s="765"/>
      <c r="BM269" s="350">
        <v>44727</v>
      </c>
      <c r="BN269" s="330">
        <v>44727</v>
      </c>
      <c r="BO269" s="332"/>
      <c r="BP269" s="94">
        <f t="shared" si="209"/>
        <v>4660</v>
      </c>
      <c r="BQ269" s="97" t="str">
        <f t="shared" si="221"/>
        <v>3728 - 9320 - 14912</v>
      </c>
      <c r="BR269" s="97" t="str">
        <f t="shared" si="222"/>
        <v>0 - 0 - 0</v>
      </c>
      <c r="BS269" s="715">
        <f t="shared" si="227"/>
        <v>4660</v>
      </c>
      <c r="BT269" s="736">
        <f t="shared" si="223"/>
        <v>0</v>
      </c>
      <c r="BU269" s="735" t="s">
        <v>1793</v>
      </c>
      <c r="BV269" s="873">
        <v>45382</v>
      </c>
      <c r="BW269">
        <f t="shared" si="210"/>
        <v>655</v>
      </c>
    </row>
    <row r="270" spans="2:75" customFormat="1" ht="56" hidden="1" customHeight="1" x14ac:dyDescent="0.2">
      <c r="B270" s="101" t="str">
        <f t="shared" si="226"/>
        <v>Active</v>
      </c>
      <c r="C270" s="818" t="s">
        <v>1794</v>
      </c>
      <c r="D270" s="691" t="s">
        <v>151</v>
      </c>
      <c r="E270" s="819" t="s">
        <v>1592</v>
      </c>
      <c r="F270" s="101" t="s">
        <v>124</v>
      </c>
      <c r="G270" s="126" t="s">
        <v>1125</v>
      </c>
      <c r="H270" s="101" t="str">
        <f t="shared" si="207"/>
        <v>RT-6-011-030-LLP-CD3A</v>
      </c>
      <c r="I270" s="691" t="s">
        <v>1125</v>
      </c>
      <c r="J270" s="101" t="s">
        <v>497</v>
      </c>
      <c r="K270" s="101" t="s">
        <v>1795</v>
      </c>
      <c r="L270" s="104" t="s">
        <v>1796</v>
      </c>
      <c r="M270" s="103" t="s">
        <v>129</v>
      </c>
      <c r="N270" s="134">
        <v>6000</v>
      </c>
      <c r="O270" s="106" t="str" cm="1">
        <f t="array" ref="O270">_xlfn.IFS(N270="","",ABS(N270)&lt;='Risk Matrices'!$E$7,'Risk Matrices'!$E$5,ABS(N270)&lt;='Risk Matrices'!$F$7,'Risk Matrices'!$F$5,ABS(N270)&lt;='Risk Matrices'!$G$7,'Risk Matrices'!$G$5,ABS(N270)&lt;='Risk Matrices'!$H$7,'Risk Matrices'!$H$5,ABS(N270)&gt;'Risk Matrices'!$H$7,'Risk Matrices'!$I$5)</f>
        <v>Critical</v>
      </c>
      <c r="P270" s="126">
        <v>9</v>
      </c>
      <c r="Q270" s="101" t="str" cm="1">
        <f t="array" ref="Q270">_xlfn.IFS(P270="","",ABS(P270)&lt;='Risk Matrices'!$E$8,'Risk Matrices'!$E$5,ABS(P270)&lt;='Risk Matrices'!$F$8,'Risk Matrices'!$F$5,ABS(P270)&lt;='Risk Matrices'!$G$8,'Risk Matrices'!$G$5,ABS(P270)&lt;='Risk Matrices'!$H$8,'Risk Matrices'!$H$5,ABS(P270)&gt;'Risk Matrices'!$H$8,'Risk Matrices'!$I$5)</f>
        <v>Significant</v>
      </c>
      <c r="R270" s="102" t="s">
        <v>130</v>
      </c>
      <c r="S270" s="106">
        <f t="shared" si="224"/>
        <v>4</v>
      </c>
      <c r="T270" s="106" cm="1">
        <f t="array" ref="T270">_xlfn.IFS(O270='Risk Matrices'!$D$28,'Risk Matrices'!$D$29,O270='Risk Matrices'!$E$28,'Risk Matrices'!$E$29,O270='Risk Matrices'!$F$28,'Risk Matrices'!$F$29,O270='Risk Matrices'!$G$28,'Risk Matrices'!$G$29,O270='Risk Matrices'!$H$28,'Risk Matrices'!$H$29)</f>
        <v>4</v>
      </c>
      <c r="U270" s="106">
        <f>IF(Q270="",0,IF(Q270="Negligible",1,IF(Q270="Marginal",2,IF(Q270="Significant",3,IF(Q270="Critical",4,IF(Q270="Crisis",5))))))</f>
        <v>3</v>
      </c>
      <c r="V270" s="106">
        <f t="shared" si="208"/>
        <v>0</v>
      </c>
      <c r="W270" s="106">
        <f>MAX(T270,U270,V270)</f>
        <v>4</v>
      </c>
      <c r="X270" s="106">
        <f>S270*W270</f>
        <v>16</v>
      </c>
      <c r="Y270" s="107" t="str">
        <f>IF(X270&lt;=6,"Low",IF(X270&lt;=14,"Moderate",IF(X270&lt;=25,"High")))</f>
        <v>High</v>
      </c>
      <c r="Z270" s="104"/>
      <c r="AA270" s="108">
        <f>IF(M270="",0,IF(M270="Very Low (There is a &lt;10% chance that this event will occur)",0.05,IF(M270="Low (Risk is likely to occur with a probability of &gt; 10% to &lt; 25%)",0.17,IF(M270="Moderate (Risk is likely to occur with a probability of &gt; 25% to &lt; 40%)",0.32,IF(M270="High (Risk is likely to occur with a probability of &gt;40 to &lt;65%)",0.52,IF(M270="Very High (Risk is likely to occur with a probability of &gt;65%)",0.82))))))</f>
        <v>0.52</v>
      </c>
      <c r="AB270" s="109">
        <f>+AA270*N270</f>
        <v>3120</v>
      </c>
      <c r="AC270" s="137" t="s">
        <v>155</v>
      </c>
      <c r="AD270" s="812" t="s">
        <v>761</v>
      </c>
      <c r="AE270" s="812"/>
      <c r="AF270" s="116" t="s">
        <v>145</v>
      </c>
      <c r="AG270" s="116"/>
      <c r="AH270" s="815" t="s">
        <v>1797</v>
      </c>
      <c r="AI270" s="878">
        <v>0.2</v>
      </c>
      <c r="AJ270" s="105">
        <v>0</v>
      </c>
      <c r="AK270" s="105">
        <v>0</v>
      </c>
      <c r="AL270" s="105">
        <v>0</v>
      </c>
      <c r="AM270" s="105">
        <v>1</v>
      </c>
      <c r="AN270" s="105">
        <v>3</v>
      </c>
      <c r="AO270" s="105">
        <v>6</v>
      </c>
      <c r="AP270" s="112" t="str">
        <f>IF(OR(ISBLANK(AI270),AI270=0),"INSERT LIKELIHOOD",IF(ABS(AI270)&lt;='Risk Matrices'!$D$22,'Risk Matrices'!$C$21,IF(ABS(AI270)&lt;='Risk Matrices'!$D$19,'Risk Matrices'!$C$18,IF(ABS(AI270)&lt;='Risk Matrices'!$D$16,'Risk Matrices'!$C$15,IF(ABS(AI270)&lt;='Risk Matrices'!$D$13,'Risk Matrices'!$C$12,'Risk Matrices'!$C$10)))))</f>
        <v>Low</v>
      </c>
      <c r="AQ270" s="112" t="str">
        <f>IF(OR(ISBLANK(AK270),AK270=0),"None",IF(ABS(AK270)&lt;='Risk Matrices'!$E$7,'Risk Matrices'!$E$5,IF(ABS(AK270)&lt;='Risk Matrices'!$G$7,'Risk Matrices'!$G$5,IF(ABS(AK270)&lt;='Risk Matrices'!$H$7,'Risk Matrices'!$H$5,'Risk Matrices'!$I$5))))</f>
        <v>None</v>
      </c>
      <c r="AR270" s="112" t="str">
        <f>IF(AN270="","",IF(ABS(AN270)&lt;='Risk Matrices'!$E$8,"Negligible",IF(ABS(AN270)&lt;='Risk Matrices'!$F$8,"Marginal",IF(ABS(AN270)&lt;='Risk Matrices'!$G$8,"Significant",IF(ABS(AN270)&lt;='Risk Matrices'!$H$8,"Critical","Crisis")))))</f>
        <v>Negligible</v>
      </c>
      <c r="AS270" s="103" t="s">
        <v>130</v>
      </c>
      <c r="AT270" s="298">
        <f>IF(OR(ISBLANK(AI270),AI270=0),0,VLOOKUP(AP270,'Risk Matrices'!$B$30:$C$34,2,0))</f>
        <v>2</v>
      </c>
      <c r="AU270" s="298">
        <f>IF(OR(ISBLANK(AK270),AK270=0),0,HLOOKUP(AQ270,'Risk Matrices'!$D$28:$H$29,2,0))</f>
        <v>0</v>
      </c>
      <c r="AV270" s="298">
        <f>IF(OR(ISBLANK(AR270),AR270=0),0,HLOOKUP(AR270,'Risk Matrices'!$D$28:$H$29,2,0))</f>
        <v>1</v>
      </c>
      <c r="AW270" s="298">
        <f>IF(AS270="None",0,HLOOKUP(AS270,'Risk Matrices'!$D$28:$H$29,2,0))</f>
        <v>0</v>
      </c>
      <c r="AX270" s="106">
        <f t="shared" si="218"/>
        <v>1</v>
      </c>
      <c r="AY270" s="106">
        <f t="shared" si="219"/>
        <v>2</v>
      </c>
      <c r="AZ270" s="107" t="str">
        <f>IF(B270="Retired","Retired",IF(OR(ISBLANK(AY270),AY270=0),"TBD",IF(AY270&lt;='Risk Matrices'!$D$40,'Risk Matrices'!$B$40,IF(AY270&lt;='Risk Matrices'!$D$39,'Risk Matrices'!$B$39,'Risk Matrices'!$B$38))))</f>
        <v>Low</v>
      </c>
      <c r="BA270" s="104"/>
      <c r="BB270" s="113" t="s">
        <v>1798</v>
      </c>
      <c r="BC270" s="109">
        <f t="shared" si="220"/>
        <v>0</v>
      </c>
      <c r="BD270" s="116">
        <v>45300</v>
      </c>
      <c r="BE270" s="104"/>
      <c r="BF270" s="104"/>
      <c r="BG270" s="104"/>
      <c r="BH270" s="104"/>
      <c r="BI270" s="104"/>
      <c r="BJ270" s="874">
        <f t="shared" si="225"/>
        <v>0</v>
      </c>
      <c r="BK270" s="101"/>
      <c r="BL270" s="765"/>
      <c r="BM270" s="350">
        <v>45103</v>
      </c>
      <c r="BN270" s="330">
        <v>45104</v>
      </c>
      <c r="BO270" s="332"/>
      <c r="BP270" s="94">
        <f t="shared" si="209"/>
        <v>0</v>
      </c>
      <c r="BQ270" s="97" t="str">
        <f t="shared" si="221"/>
        <v>0 - 0 - 0</v>
      </c>
      <c r="BR270" s="97"/>
      <c r="BS270" s="715">
        <f t="shared" si="227"/>
        <v>0</v>
      </c>
      <c r="BT270" s="736"/>
      <c r="BU270" s="735"/>
      <c r="BV270" s="873">
        <v>45382</v>
      </c>
      <c r="BW270">
        <f t="shared" si="210"/>
        <v>278</v>
      </c>
    </row>
    <row r="271" spans="2:75" customFormat="1" ht="56" hidden="1" customHeight="1" x14ac:dyDescent="0.2">
      <c r="B271" s="101" t="str">
        <f t="shared" si="226"/>
        <v>Active</v>
      </c>
      <c r="C271" s="818" t="s">
        <v>1799</v>
      </c>
      <c r="D271" s="118" t="s">
        <v>122</v>
      </c>
      <c r="E271" s="819" t="s">
        <v>1592</v>
      </c>
      <c r="F271" s="101" t="s">
        <v>124</v>
      </c>
      <c r="G271" s="126" t="s">
        <v>1125</v>
      </c>
      <c r="H271" s="101" t="str">
        <f t="shared" si="207"/>
        <v>RO-6-011-030a-LLP-CD3A</v>
      </c>
      <c r="I271" s="691" t="s">
        <v>1125</v>
      </c>
      <c r="J271" s="101" t="s">
        <v>497</v>
      </c>
      <c r="K271" s="101" t="s">
        <v>1800</v>
      </c>
      <c r="L271" s="104" t="s">
        <v>1801</v>
      </c>
      <c r="M271" s="103" t="s">
        <v>197</v>
      </c>
      <c r="N271" s="134">
        <v>5000</v>
      </c>
      <c r="O271" s="106" t="str" cm="1">
        <f t="array" ref="O271">_xlfn.IFS(N271="","",ABS(N271)&lt;='Risk Matrices'!$E$7,'Risk Matrices'!$E$5,ABS(N271)&lt;='Risk Matrices'!$F$7,'Risk Matrices'!$F$5,ABS(N271)&lt;='Risk Matrices'!$G$7,'Risk Matrices'!$G$5,ABS(N271)&lt;='Risk Matrices'!$H$7,'Risk Matrices'!$H$5,ABS(N271)&gt;'Risk Matrices'!$H$7,'Risk Matrices'!$I$5)</f>
        <v>Significant</v>
      </c>
      <c r="P271" s="126">
        <v>0</v>
      </c>
      <c r="Q271" s="101" t="str" cm="1">
        <f t="array" ref="Q271">_xlfn.IFS(P271="","",ABS(P271)&lt;='Risk Matrices'!$E$8,'Risk Matrices'!$E$5,ABS(P271)&lt;='Risk Matrices'!$F$8,'Risk Matrices'!$F$5,ABS(P271)&lt;='Risk Matrices'!$G$8,'Risk Matrices'!$G$5,ABS(P271)&lt;='Risk Matrices'!$H$8,'Risk Matrices'!$H$5,ABS(P271)&gt;'Risk Matrices'!$H$8,'Risk Matrices'!$I$5)</f>
        <v>Negligible</v>
      </c>
      <c r="R271" s="102" t="s">
        <v>130</v>
      </c>
      <c r="S271" s="106">
        <f t="shared" si="224"/>
        <v>5</v>
      </c>
      <c r="T271" s="106" cm="1">
        <f t="array" ref="T271">_xlfn.IFS(O271='Risk Matrices'!$D$28,'Risk Matrices'!$D$29,O271='Risk Matrices'!$E$28,'Risk Matrices'!$E$29,O271='Risk Matrices'!$F$28,'Risk Matrices'!$F$29,O271='Risk Matrices'!$G$28,'Risk Matrices'!$G$29,O271='Risk Matrices'!$H$28,'Risk Matrices'!$H$29)</f>
        <v>3</v>
      </c>
      <c r="U271" s="106">
        <f>IF(Q271="",0,IF(Q271="Negligible",1,IF(Q271="Marginal",2,IF(Q271="Significant",3,IF(Q271="Critical",4,IF(Q271="Crisis",5))))))</f>
        <v>1</v>
      </c>
      <c r="V271" s="106">
        <f t="shared" si="208"/>
        <v>0</v>
      </c>
      <c r="W271" s="106">
        <f>MAX(T271,U271,V271)</f>
        <v>3</v>
      </c>
      <c r="X271" s="106">
        <f>S271*W271</f>
        <v>15</v>
      </c>
      <c r="Y271" s="107" t="str">
        <f>IF(X271&lt;=6,"Low",IF(X271&lt;=14,"Moderate",IF(X271&lt;=25,"High")))</f>
        <v>High</v>
      </c>
      <c r="Z271" s="104"/>
      <c r="AA271" s="108">
        <f>IF(M271="",0,IF(M271="Very Low (There is a &lt;10% chance that this event will occur)",0.05,IF(M271="Low (Risk is likely to occur with a probability of &gt; 10% to &lt; 25%)",0.17,IF(M271="Moderate (Risk is likely to occur with a probability of &gt; 25% to &lt; 40%)",0.32,IF(M271="High (Risk is likely to occur with a probability of &gt;40 to &lt;65%)",0.52,IF(M271="Very High (Risk is likely to occur with a probability of &gt;65%)",0.82))))))</f>
        <v>0.82</v>
      </c>
      <c r="AB271" s="109">
        <f>+AA271*N271</f>
        <v>4100</v>
      </c>
      <c r="AC271" s="137" t="s">
        <v>132</v>
      </c>
      <c r="AD271" s="812" t="s">
        <v>1802</v>
      </c>
      <c r="AE271" s="812"/>
      <c r="AF271" s="116" t="s">
        <v>200</v>
      </c>
      <c r="AG271" s="116"/>
      <c r="AH271" s="969" t="s">
        <v>1803</v>
      </c>
      <c r="AI271" s="878">
        <v>0.95</v>
      </c>
      <c r="AJ271" s="105">
        <v>5200</v>
      </c>
      <c r="AK271" s="105">
        <v>5200</v>
      </c>
      <c r="AL271" s="105">
        <v>5200</v>
      </c>
      <c r="AM271" s="105">
        <v>0</v>
      </c>
      <c r="AN271" s="105">
        <v>0</v>
      </c>
      <c r="AO271" s="105">
        <v>0</v>
      </c>
      <c r="AP271" s="112" t="str">
        <f>IF(OR(ISBLANK(AI271),AI271=0),"INSERT LIKELIHOOD",IF(ABS(AI271)&lt;='Risk Matrices'!$D$22,'Risk Matrices'!$C$21,IF(ABS(AI271)&lt;='Risk Matrices'!$D$19,'Risk Matrices'!$C$18,IF(ABS(AI271)&lt;='Risk Matrices'!$D$16,'Risk Matrices'!$C$15,IF(ABS(AI271)&lt;='Risk Matrices'!$D$13,'Risk Matrices'!$C$12,'Risk Matrices'!$C$10)))))</f>
        <v>Very High</v>
      </c>
      <c r="AQ271" s="112" t="str">
        <f>IF(OR(ISBLANK(AK271),AK271=0),"None",IF(ABS(AK271)&lt;='Risk Matrices'!$E$7,'Risk Matrices'!$E$5,IF(ABS(AK271)&lt;='Risk Matrices'!$G$7,'Risk Matrices'!$G$5,IF(ABS(AK271)&lt;='Risk Matrices'!$H$7,'Risk Matrices'!$H$5,'Risk Matrices'!$I$5))))</f>
        <v>Critical</v>
      </c>
      <c r="AR271" s="112" t="str">
        <f>IF(AN271="","",IF(ABS(AN271)&lt;='Risk Matrices'!$E$8,"Negligible",IF(ABS(AN271)&lt;='Risk Matrices'!$F$8,"Marginal",IF(ABS(AN271)&lt;='Risk Matrices'!$G$8,"Significant",IF(ABS(AN271)&lt;='Risk Matrices'!$H$8,"Critical","Crisis")))))</f>
        <v>Negligible</v>
      </c>
      <c r="AS271" s="103" t="s">
        <v>130</v>
      </c>
      <c r="AT271" s="298">
        <f>IF(OR(ISBLANK(AI271),AI271=0),0,VLOOKUP(AP271,'Risk Matrices'!$B$30:$C$34,2,0))</f>
        <v>5</v>
      </c>
      <c r="AU271" s="298">
        <f>IF(OR(ISBLANK(AK271),AK271=0),0,HLOOKUP(AQ271,'Risk Matrices'!$D$28:$H$29,2,0))</f>
        <v>4</v>
      </c>
      <c r="AV271" s="298">
        <f>IF(OR(ISBLANK(AR271),AR271=0),0,HLOOKUP(AR271,'Risk Matrices'!$D$28:$H$29,2,0))</f>
        <v>1</v>
      </c>
      <c r="AW271" s="298">
        <f>IF(AS271="None",0,HLOOKUP(AS271,'Risk Matrices'!$D$28:$H$29,2,0))</f>
        <v>0</v>
      </c>
      <c r="AX271" s="106">
        <f t="shared" si="218"/>
        <v>4</v>
      </c>
      <c r="AY271" s="106">
        <f t="shared" si="219"/>
        <v>20</v>
      </c>
      <c r="AZ271" s="107" t="str">
        <f>IF(B271="Retired","Retired",IF(OR(ISBLANK(AY271),AY271=0),"TBD",IF(AY271&lt;='Risk Matrices'!$D$40,'Risk Matrices'!$B$40,IF(AY271&lt;='Risk Matrices'!$D$39,'Risk Matrices'!$B$39,'Risk Matrices'!$B$38))))</f>
        <v>High</v>
      </c>
      <c r="BA271" s="104"/>
      <c r="BB271" s="113" t="s">
        <v>1804</v>
      </c>
      <c r="BC271" s="109">
        <f t="shared" si="220"/>
        <v>4940</v>
      </c>
      <c r="BD271" s="116">
        <v>45565</v>
      </c>
      <c r="BE271" s="104"/>
      <c r="BF271" s="104"/>
      <c r="BG271" s="104"/>
      <c r="BH271" s="104"/>
      <c r="BI271" s="104"/>
      <c r="BJ271" s="874"/>
      <c r="BK271" s="101"/>
      <c r="BL271" s="765"/>
      <c r="BM271" s="350">
        <v>45565</v>
      </c>
      <c r="BN271" s="350">
        <v>45565</v>
      </c>
      <c r="BO271" s="332"/>
      <c r="BP271" s="94"/>
      <c r="BQ271" s="97"/>
      <c r="BR271" s="97"/>
      <c r="BS271" s="715"/>
      <c r="BT271" s="736"/>
      <c r="BU271" s="735"/>
      <c r="BV271" s="873"/>
    </row>
    <row r="272" spans="2:75" customFormat="1" ht="54" hidden="1" customHeight="1" x14ac:dyDescent="0.2">
      <c r="B272" s="101" t="str">
        <f t="shared" ref="B272" si="228">IF(BN272="","Proposed",IF(BG272="","Active","Retired"))</f>
        <v>Retired</v>
      </c>
      <c r="C272" s="781" t="s">
        <v>368</v>
      </c>
      <c r="D272" s="101" t="s">
        <v>151</v>
      </c>
      <c r="E272" s="171" t="s">
        <v>1592</v>
      </c>
      <c r="F272" s="101" t="s">
        <v>124</v>
      </c>
      <c r="G272" s="106" t="s">
        <v>1125</v>
      </c>
      <c r="H272" s="106"/>
      <c r="I272" s="106" t="s">
        <v>1125</v>
      </c>
      <c r="J272" s="101" t="s">
        <v>497</v>
      </c>
      <c r="K272" s="101" t="s">
        <v>1805</v>
      </c>
      <c r="L272" s="146" t="s">
        <v>1806</v>
      </c>
      <c r="M272" s="103" t="s">
        <v>129</v>
      </c>
      <c r="N272" s="105">
        <v>1000</v>
      </c>
      <c r="O272" s="106" t="str" cm="1">
        <f t="array" ref="O272">_xlfn.IFS(N272="","",ABS(N272)&lt;='Risk Matrices'!$E$7,'Risk Matrices'!$E$5,ABS(N272)&lt;='Risk Matrices'!$F$7,'Risk Matrices'!$F$5,ABS(N272)&lt;='Risk Matrices'!$G$7,'Risk Matrices'!$G$5,ABS(N272)&lt;='Risk Matrices'!$H$7,'Risk Matrices'!$H$5,ABS(N272)&gt;'Risk Matrices'!$H$7,'Risk Matrices'!$I$5)</f>
        <v>Marginal</v>
      </c>
      <c r="P272" s="106">
        <v>8</v>
      </c>
      <c r="Q272" s="102" t="s">
        <v>307</v>
      </c>
      <c r="R272" s="102" t="s">
        <v>207</v>
      </c>
      <c r="S272" s="106">
        <f t="shared" ref="S272:S281" si="229">IF(M272="",0,IF(M272="Very Low (There is a &lt;10% chance that this event will occur)",1,IF(M272="Low (Risk is likely to occur with a probability of &gt; 10% to &lt; 25%)",2,IF(M272="Moderate (Risk is likely to occur with a probability of &gt; 25% to &lt; 40%)",3,IF(M272="High (Risk is likely to occur with a probability of &gt;40 to &lt;65%)",4,IF(M272="Very High (Risk is likely to occur with a probability of &gt;65%)",5))))))</f>
        <v>4</v>
      </c>
      <c r="T272" s="106" cm="1">
        <f t="array" ref="T272">_xlfn.IFS(O272='Risk Matrices'!$D$28,'Risk Matrices'!$D$29,O272='Risk Matrices'!$E$28,'Risk Matrices'!$E$29,O272='Risk Matrices'!$F$28,'Risk Matrices'!$F$29,O272='Risk Matrices'!$G$28,'Risk Matrices'!$G$29,O272='Risk Matrices'!$H$28,'Risk Matrices'!$H$29)</f>
        <v>2</v>
      </c>
      <c r="U272" s="106">
        <f t="shared" ref="U272" si="230">IF(Q272="",0,IF(Q272="Negligible",1,IF(Q272="Marginal",2,IF(Q272="Significant",3,IF(Q272="Critical",4,IF(Q272="Crisis",5))))))</f>
        <v>3</v>
      </c>
      <c r="V272" s="106">
        <f t="shared" ref="V272" si="231">IF(R272="",0,IF(R272="Negligible",1,IF(R272="Marginal",2,IF(R272="Significant",3,IF(R272="Critical",4,IF(R272="Crisis",5))))))</f>
        <v>1</v>
      </c>
      <c r="W272" s="106">
        <f t="shared" ref="W272" si="232">MAX(T272,U272,V272)</f>
        <v>3</v>
      </c>
      <c r="X272" s="106">
        <f t="shared" ref="X272" si="233">S272*W272</f>
        <v>12</v>
      </c>
      <c r="Y272" s="107" t="str">
        <f t="shared" ref="Y272" si="234">IF(X272&lt;=6,"Low",IF(X272&lt;=14,"Moderate",IF(X272&lt;=25,"High")))</f>
        <v>Moderate</v>
      </c>
      <c r="Z272" s="104"/>
      <c r="AA272" s="108">
        <f t="shared" ref="AA272" si="235">IF(M272="",0,IF(M272="Very Low (There is a &lt;10% chance that this event will occur)",0.05,IF(M272="Low (Risk is likely to occur with a probability of &gt; 10% to &lt; 25%)",0.17,IF(M272="Moderate (Risk is likely to occur with a probability of &gt; 25% to &lt; 40%)",0.32,IF(M272="High (Risk is likely to occur with a probability of &gt;40 to &lt;65%)",0.52,IF(M272="Very High (Risk is likely to occur with a probability of &gt;65%)",0.82))))))</f>
        <v>0.52</v>
      </c>
      <c r="AB272" s="109">
        <f t="shared" ref="AB272" si="236">+AA272*N272</f>
        <v>520</v>
      </c>
      <c r="AC272" s="109" t="s">
        <v>155</v>
      </c>
      <c r="AD272" s="146" t="s">
        <v>1807</v>
      </c>
      <c r="AE272" s="146"/>
      <c r="AF272" s="353" t="s">
        <v>1808</v>
      </c>
      <c r="AG272" s="353"/>
      <c r="AH272" s="206" t="s">
        <v>1809</v>
      </c>
      <c r="AI272" s="198">
        <v>0.5</v>
      </c>
      <c r="AJ272" s="105">
        <v>500</v>
      </c>
      <c r="AK272" s="105">
        <v>1000</v>
      </c>
      <c r="AL272" s="105">
        <v>1500</v>
      </c>
      <c r="AM272" s="105">
        <v>3</v>
      </c>
      <c r="AN272" s="105">
        <v>8</v>
      </c>
      <c r="AO272" s="105">
        <v>12</v>
      </c>
      <c r="AP272" s="112" t="str">
        <f>IF(OR(ISBLANK(AI272),AI272=0),"INSERT LIKELIHOOD",IF(ABS(AI272)&lt;='Risk Matrices'!$D$22,'Risk Matrices'!$C$21,IF(ABS(AI272)&lt;='Risk Matrices'!$D$19,'Risk Matrices'!$C$18,IF(ABS(AI272)&lt;='Risk Matrices'!$D$16,'Risk Matrices'!$C$15,IF(ABS(AI272)&lt;='Risk Matrices'!$D$13,'Risk Matrices'!$C$12,'Risk Matrices'!$C$10)))))</f>
        <v>High</v>
      </c>
      <c r="AQ272" s="112" t="str">
        <f>IF(OR(ISBLANK(AK272),AK272=0),"None",IF(ABS(AK272)&lt;='Risk Matrices'!$E$7,'Risk Matrices'!$E$5,IF(ABS(AK272)&lt;='Risk Matrices'!$G$7,'Risk Matrices'!$G$5,IF(ABS(AK272)&lt;='Risk Matrices'!$H$7,'Risk Matrices'!$H$5,'Risk Matrices'!$I$5))))</f>
        <v>Significant</v>
      </c>
      <c r="AR272" s="112" t="str">
        <f>IF(AN272="","",IF(ABS(AN272)&lt;='Risk Matrices'!$E$8,"Negligible",IF(ABS(AN272)&lt;='Risk Matrices'!$F$8,"Marginal",IF(ABS(AN272)&lt;='Risk Matrices'!$G$8,"Significant",IF(ABS(AN272)&lt;='Risk Matrices'!$H$8,"Critical","Crisis")))))</f>
        <v>Significant</v>
      </c>
      <c r="AS272" s="102" t="s">
        <v>207</v>
      </c>
      <c r="AT272" s="298">
        <f>IF(OR(ISBLANK(AI272),AI272=0),0,VLOOKUP(AP272,'Risk Matrices'!$B$30:$C$34,2,0))</f>
        <v>4</v>
      </c>
      <c r="AU272" s="298">
        <f>IF(OR(ISBLANK(AK272),AK272=0),0,HLOOKUP(AQ272,'Risk Matrices'!$D$28:$H$29,2,0))</f>
        <v>3</v>
      </c>
      <c r="AV272" s="298">
        <f>IF(OR(ISBLANK(AR272),AR272=0),0,HLOOKUP(AR272,'Risk Matrices'!$D$28:$H$29,2,0))</f>
        <v>3</v>
      </c>
      <c r="AW272" s="298">
        <f>IF(OR(ISBLANK(AS272),AS272=0),0,HLOOKUP(AS272,'Risk Matrices'!$D$28:$H$29,2,0))</f>
        <v>1</v>
      </c>
      <c r="AX272" s="106">
        <f t="shared" ref="AX272" si="237">MAX(AU272,AV272,AW272)</f>
        <v>3</v>
      </c>
      <c r="AY272" s="106">
        <f t="shared" ref="AY272" si="238">AT272*AX272</f>
        <v>12</v>
      </c>
      <c r="AZ272" s="107" t="str">
        <f>IF(B272="Retired","Retired",IF(OR(ISBLANK(AY272),AY272=0),"TBD",IF(AY272&lt;='Risk Matrices'!$D$40,'Risk Matrices'!$B$40,IF(AY272&lt;='Risk Matrices'!$D$39,'Risk Matrices'!$B$39,'Risk Matrices'!$B$38))))</f>
        <v>Retired</v>
      </c>
      <c r="BA272" s="112"/>
      <c r="BB272" s="113"/>
      <c r="BC272" s="109" t="str">
        <f t="shared" ref="BC272:BC281" si="239">IF(B272="Active",AI272*AK272,B272)</f>
        <v>Retired</v>
      </c>
      <c r="BD272" s="113"/>
      <c r="BE272" s="114"/>
      <c r="BF272" s="115"/>
      <c r="BG272" s="360" t="s">
        <v>1810</v>
      </c>
      <c r="BH272" s="204"/>
      <c r="BI272" s="115"/>
      <c r="BJ272" s="874">
        <f t="shared" ref="BJ272" si="240">AI272*(SUM(AJ272:AL272)/3)</f>
        <v>500</v>
      </c>
      <c r="BK272" s="101" t="s">
        <v>294</v>
      </c>
      <c r="BL272" s="116">
        <v>44594</v>
      </c>
      <c r="BM272" s="116">
        <v>44012</v>
      </c>
      <c r="BN272" s="330">
        <v>44134</v>
      </c>
      <c r="BO272" s="332"/>
      <c r="BP272" s="94">
        <f>AI272*((2*AJ272+4*AK272+2*AL272)/6)</f>
        <v>666.66666666666663</v>
      </c>
      <c r="BQ272" s="97" t="str">
        <f t="shared" ref="BQ272:BQ281" si="241">CONCATENATE(AJ272," - ",AK272," - ",AL272)</f>
        <v>500 - 1000 - 1500</v>
      </c>
      <c r="BR272" s="97" t="str">
        <f t="shared" ref="BR272" si="242">CONCATENATE(AM272," - ",AN272," - ",AO272)</f>
        <v>3 - 8 - 12</v>
      </c>
      <c r="BS272" s="715">
        <f t="shared" ref="BS272" si="243">BJ272</f>
        <v>500</v>
      </c>
      <c r="BT272" s="736">
        <f t="shared" ref="BT272" si="244">AI272*(AM272+AN272+AO272)/3</f>
        <v>3.8333333333333335</v>
      </c>
      <c r="BU272" s="735" t="s">
        <v>368</v>
      </c>
    </row>
    <row r="273" spans="2:75" customFormat="1" ht="73" hidden="1" customHeight="1" x14ac:dyDescent="0.2">
      <c r="B273" s="101" t="str">
        <f t="shared" ref="B273:B281" si="245">IF(BN273="","Proposed",IF(BG273="","Active","Retired"))</f>
        <v>Retired</v>
      </c>
      <c r="C273" s="110">
        <v>204</v>
      </c>
      <c r="D273" s="101" t="s">
        <v>151</v>
      </c>
      <c r="E273" s="194" t="s">
        <v>1592</v>
      </c>
      <c r="F273" s="101" t="s">
        <v>124</v>
      </c>
      <c r="G273" s="126" t="s">
        <v>1593</v>
      </c>
      <c r="H273" s="126"/>
      <c r="I273" s="126" t="s">
        <v>1593</v>
      </c>
      <c r="J273" s="101"/>
      <c r="K273" s="101" t="s">
        <v>1811</v>
      </c>
      <c r="L273" s="146" t="s">
        <v>1812</v>
      </c>
      <c r="M273" s="121" t="s">
        <v>129</v>
      </c>
      <c r="N273" s="134">
        <v>2000</v>
      </c>
      <c r="O273" s="106" t="str" cm="1">
        <f t="array" ref="O273">_xlfn.IFS(N273="","",ABS(N273)&lt;='Risk Matrices'!$E$7,'Risk Matrices'!$E$5,ABS(N273)&lt;='Risk Matrices'!$F$7,'Risk Matrices'!$F$5,ABS(N273)&lt;='Risk Matrices'!$G$7,'Risk Matrices'!$G$5,ABS(N273)&lt;='Risk Matrices'!$H$7,'Risk Matrices'!$H$5,ABS(N273)&gt;'Risk Matrices'!$H$7,'Risk Matrices'!$I$5)</f>
        <v>Significant</v>
      </c>
      <c r="P273" s="126">
        <v>3</v>
      </c>
      <c r="Q273" s="126" t="s">
        <v>280</v>
      </c>
      <c r="R273" s="126" t="s">
        <v>280</v>
      </c>
      <c r="S273" s="128">
        <f t="shared" si="229"/>
        <v>4</v>
      </c>
      <c r="T273" s="106" cm="1">
        <f t="array" ref="T273">_xlfn.IFS(O273='Risk Matrices'!$D$28,'Risk Matrices'!$D$29,O273='Risk Matrices'!$E$28,'Risk Matrices'!$E$29,O273='Risk Matrices'!$F$28,'Risk Matrices'!$F$29,O273='Risk Matrices'!$G$28,'Risk Matrices'!$G$29,O273='Risk Matrices'!$H$28,'Risk Matrices'!$H$29)</f>
        <v>3</v>
      </c>
      <c r="U273" s="106">
        <f t="shared" ref="U273:U281" si="246">IF(Q273="",0,IF(Q273="Negligible",1,IF(Q273="Marginal",2,IF(Q273="Significant",3,IF(Q273="Critical",4,IF(Q273="Crisis",5))))))</f>
        <v>2</v>
      </c>
      <c r="V273" s="106">
        <f t="shared" ref="V273" si="247">IF(R273="",0,IF(R273="Negligible",1,IF(R273="Marginal",2,IF(R273="Significant",3,IF(R273="Critical",4,IF(R273="Crisis",5))))))</f>
        <v>2</v>
      </c>
      <c r="W273" s="106">
        <f t="shared" ref="W273:W281" si="248">MAX(T273,U273,V273)</f>
        <v>3</v>
      </c>
      <c r="X273" s="128">
        <f t="shared" ref="X273:X281" si="249">S273*W273</f>
        <v>12</v>
      </c>
      <c r="Y273" s="107" t="str">
        <f t="shared" ref="Y273:Y281" si="250">IF(X273&lt;=6,"Low",IF(X273&lt;=14,"Moderate",IF(X273&lt;=25,"High")))</f>
        <v>Moderate</v>
      </c>
      <c r="Z273" s="121" t="s">
        <v>1813</v>
      </c>
      <c r="AA273" s="108">
        <f t="shared" ref="AA273:AA281" si="251">IF(M273="",0,IF(M273="Very Low (There is a &lt;10% chance that this event will occur)",0.05,IF(M273="Low (Risk is likely to occur with a probability of &gt; 10% to &lt; 25%)",0.17,IF(M273="Moderate (Risk is likely to occur with a probability of &gt; 25% to &lt; 40%)",0.32,IF(M273="High (Risk is likely to occur with a probability of &gt;40 to &lt;65%)",0.52,IF(M273="Very High (Risk is likely to occur with a probability of &gt;65%)",0.82))))))</f>
        <v>0.52</v>
      </c>
      <c r="AB273" s="109">
        <f t="shared" ref="AB273:AB281" si="252">+AA273*N273</f>
        <v>1040</v>
      </c>
      <c r="AC273" s="109" t="s">
        <v>155</v>
      </c>
      <c r="AD273" s="146" t="s">
        <v>1814</v>
      </c>
      <c r="AE273" s="146"/>
      <c r="AF273" s="146" t="s">
        <v>1815</v>
      </c>
      <c r="AG273" s="146"/>
      <c r="AH273" s="810" t="s">
        <v>1816</v>
      </c>
      <c r="AI273" s="112">
        <v>1</v>
      </c>
      <c r="AJ273" s="105">
        <v>200</v>
      </c>
      <c r="AK273" s="105">
        <v>200</v>
      </c>
      <c r="AL273" s="105">
        <v>200</v>
      </c>
      <c r="AM273" s="105">
        <v>0</v>
      </c>
      <c r="AN273" s="105">
        <v>2</v>
      </c>
      <c r="AO273" s="105">
        <v>4</v>
      </c>
      <c r="AP273" s="112" t="str">
        <f>IF(OR(ISBLANK(AI273),AI273=0),"INSERT LIKELIHOOD",IF(ABS(AI273)&lt;='Risk Matrices'!$D$22,'Risk Matrices'!$C$21,IF(ABS(AI273)&lt;='Risk Matrices'!$D$19,'Risk Matrices'!$C$18,IF(ABS(AI273)&lt;='Risk Matrices'!$D$16,'Risk Matrices'!$C$15,IF(ABS(AI273)&lt;='Risk Matrices'!$D$13,'Risk Matrices'!$C$12,'Risk Matrices'!$C$10)))))</f>
        <v>Very High</v>
      </c>
      <c r="AQ273" s="112" t="str">
        <f>IF(OR(ISBLANK(AK273),AK273=0),"None",IF(ABS(AK273)&lt;='Risk Matrices'!$E$7,'Risk Matrices'!$E$5,IF(ABS(AK273)&lt;='Risk Matrices'!$G$7,'Risk Matrices'!$G$5,IF(ABS(AK273)&lt;='Risk Matrices'!$H$7,'Risk Matrices'!$H$5,'Risk Matrices'!$I$5))))</f>
        <v>Negligible</v>
      </c>
      <c r="AR273" s="112" t="str">
        <f>IF(AN273="","",IF(ABS(AN273)&lt;='Risk Matrices'!$E$8,"Negligible",IF(ABS(AN273)&lt;='Risk Matrices'!$F$8,"Marginal",IF(ABS(AN273)&lt;='Risk Matrices'!$G$8,"Significant",IF(ABS(AN273)&lt;='Risk Matrices'!$H$8,"Critical","Crisis")))))</f>
        <v>Negligible</v>
      </c>
      <c r="AS273" s="103" t="s">
        <v>207</v>
      </c>
      <c r="AT273" s="298">
        <f>IF(OR(ISBLANK(AI273),AI273=0),0,VLOOKUP(AP273,'Risk Matrices'!$B$30:$C$34,2,0))</f>
        <v>5</v>
      </c>
      <c r="AU273" s="298">
        <f>IF(OR(ISBLANK(AK273),AK273=0),0,HLOOKUP(AQ273,'Risk Matrices'!$D$28:$H$29,2,0))</f>
        <v>1</v>
      </c>
      <c r="AV273" s="298">
        <f>IF(OR(ISBLANK(AR273),AR273=0),0,HLOOKUP(AR273,'Risk Matrices'!$D$28:$H$29,2,0))</f>
        <v>1</v>
      </c>
      <c r="AW273" s="298">
        <f>IF(OR(ISBLANK(AS273),AS273=0),0,HLOOKUP(AS273,'Risk Matrices'!$D$28:$H$29,2,0))</f>
        <v>1</v>
      </c>
      <c r="AX273" s="106">
        <f t="shared" ref="AX273" si="253">MAX(AU273,AV273,AW273)</f>
        <v>1</v>
      </c>
      <c r="AY273" s="106">
        <f t="shared" ref="AY273" si="254">AT273*AX273</f>
        <v>5</v>
      </c>
      <c r="AZ273" s="107" t="str">
        <f>IF(B273="Retired","Retired",IF(OR(ISBLANK(AY273),AY273=0),"TBD",IF(AY273&lt;='Risk Matrices'!$D$40,'Risk Matrices'!$B$40,IF(AY273&lt;='Risk Matrices'!$D$39,'Risk Matrices'!$B$39,'Risk Matrices'!$B$38))))</f>
        <v>Retired</v>
      </c>
      <c r="BA273" s="104"/>
      <c r="BB273" s="104"/>
      <c r="BC273" s="109" t="str">
        <f t="shared" si="239"/>
        <v>Retired</v>
      </c>
      <c r="BD273" s="104"/>
      <c r="BE273" s="104"/>
      <c r="BF273" s="104"/>
      <c r="BG273" s="104" t="s">
        <v>1817</v>
      </c>
      <c r="BH273" s="104"/>
      <c r="BI273" s="104"/>
      <c r="BJ273" s="874">
        <f t="shared" ref="BJ273:BJ281" si="255">AI273*(SUM(AJ273:AL273)/3)</f>
        <v>200</v>
      </c>
      <c r="BK273" s="101" t="s">
        <v>311</v>
      </c>
      <c r="BL273" s="116">
        <v>44466</v>
      </c>
      <c r="BM273" s="116">
        <v>44012</v>
      </c>
      <c r="BN273" s="330">
        <v>44134</v>
      </c>
      <c r="BO273" s="332"/>
      <c r="BP273" s="94">
        <f>AI273*((2*AJ273+4*AK273+2*AL273)/6)</f>
        <v>266.66666666666669</v>
      </c>
      <c r="BQ273" s="97" t="str">
        <f t="shared" si="241"/>
        <v>200 - 200 - 200</v>
      </c>
      <c r="BR273" s="97" t="str">
        <f t="shared" ref="BR273" si="256">CONCATENATE(AM273," - ",AN273," - ",AO273)</f>
        <v>0 - 2 - 4</v>
      </c>
      <c r="BS273" s="715">
        <f t="shared" ref="BS273" si="257">BJ273</f>
        <v>200</v>
      </c>
      <c r="BT273" s="736">
        <f t="shared" ref="BT273" si="258">AI273*(AM273+AN273+AO273)/3</f>
        <v>2</v>
      </c>
      <c r="BU273" s="735" t="s">
        <v>1818</v>
      </c>
    </row>
    <row r="274" spans="2:75" customFormat="1" ht="54" hidden="1" customHeight="1" x14ac:dyDescent="0.2">
      <c r="B274" s="101" t="str">
        <f t="shared" ref="B274" si="259">IF(BN274="","Proposed",IF(BG274="","Active","Retired"))</f>
        <v>Retired</v>
      </c>
      <c r="C274" s="110">
        <v>136</v>
      </c>
      <c r="D274" s="101" t="s">
        <v>151</v>
      </c>
      <c r="E274" s="171" t="s">
        <v>1592</v>
      </c>
      <c r="F274" s="101" t="s">
        <v>124</v>
      </c>
      <c r="G274" s="106" t="s">
        <v>1125</v>
      </c>
      <c r="H274" s="106"/>
      <c r="I274" s="106" t="s">
        <v>1125</v>
      </c>
      <c r="J274" s="101" t="s">
        <v>497</v>
      </c>
      <c r="K274" s="101" t="s">
        <v>1819</v>
      </c>
      <c r="L274" s="146" t="s">
        <v>1820</v>
      </c>
      <c r="M274" s="121" t="s">
        <v>164</v>
      </c>
      <c r="N274" s="134">
        <v>4000</v>
      </c>
      <c r="O274" s="106" t="str" cm="1">
        <f t="array" ref="O274">_xlfn.IFS(N274="","",ABS(N274)&lt;='Risk Matrices'!$E$7,'Risk Matrices'!$E$5,ABS(N274)&lt;='Risk Matrices'!$F$7,'Risk Matrices'!$F$5,ABS(N274)&lt;='Risk Matrices'!$G$7,'Risk Matrices'!$G$5,ABS(N274)&lt;='Risk Matrices'!$H$7,'Risk Matrices'!$H$5,ABS(N274)&gt;'Risk Matrices'!$H$7,'Risk Matrices'!$I$5)</f>
        <v>Significant</v>
      </c>
      <c r="P274" s="126">
        <v>0</v>
      </c>
      <c r="Q274" s="126" t="s">
        <v>207</v>
      </c>
      <c r="R274" s="126" t="s">
        <v>207</v>
      </c>
      <c r="S274" s="128">
        <f t="shared" ref="S274" si="260">IF(M274="",0,IF(M274="Very Low (There is a &lt;10% chance that this event will occur)",1,IF(M274="Low (Risk is likely to occur with a probability of &gt; 10% to &lt; 25%)",2,IF(M274="Moderate (Risk is likely to occur with a probability of &gt; 25% to &lt; 40%)",3,IF(M274="High (Risk is likely to occur with a probability of &gt;40 to &lt;65%)",4,IF(M274="Very High (Risk is likely to occur with a probability of &gt;65%)",5))))))</f>
        <v>2</v>
      </c>
      <c r="T274" s="106" cm="1">
        <f t="array" ref="T274">_xlfn.IFS(O274='Risk Matrices'!$D$28,'Risk Matrices'!$D$29,O274='Risk Matrices'!$E$28,'Risk Matrices'!$E$29,O274='Risk Matrices'!$F$28,'Risk Matrices'!$F$29,O274='Risk Matrices'!$G$28,'Risk Matrices'!$G$29,O274='Risk Matrices'!$H$28,'Risk Matrices'!$H$29)</f>
        <v>3</v>
      </c>
      <c r="U274" s="106">
        <f t="shared" ref="U274" si="261">IF(Q274="",0,IF(Q274="Negligible",1,IF(Q274="Marginal",2,IF(Q274="Significant",3,IF(Q274="Critical",4,IF(Q274="Crisis",5))))))</f>
        <v>1</v>
      </c>
      <c r="V274" s="106">
        <f t="shared" ref="V274" si="262">IF(R274="",0,IF(R274="Negligible",1,IF(R274="Marginal",2,IF(R274="Significant",3,IF(R274="Critical",4,IF(R274="Crisis",5))))))</f>
        <v>1</v>
      </c>
      <c r="W274" s="106">
        <f t="shared" ref="W274" si="263">MAX(T274,U274,V274)</f>
        <v>3</v>
      </c>
      <c r="X274" s="128">
        <f t="shared" ref="X274" si="264">S274*W274</f>
        <v>6</v>
      </c>
      <c r="Y274" s="107" t="str">
        <f t="shared" ref="Y274" si="265">IF(X274&lt;=6,"Low",IF(X274&lt;=14,"Moderate",IF(X274&lt;=25,"High")))</f>
        <v>Low</v>
      </c>
      <c r="Z274" s="121"/>
      <c r="AA274" s="136">
        <f t="shared" ref="AA274" si="266">IF(M274="",0,IF(M274="Very Low (There is a &lt;10% chance that this event will occur)",0.05,IF(M274="Low (Risk is likely to occur with a probability of &gt; 10% to &lt; 25%)",0.17,IF(M274="Moderate (Risk is likely to occur with a probability of &gt; 25% to &lt; 40%)",0.32,IF(M274="High (Risk is likely to occur with a probability of &gt;40 to &lt;65%)",0.52,IF(M274="Very High (Risk is likely to occur with a probability of &gt;65%)",0.82))))))</f>
        <v>0.17</v>
      </c>
      <c r="AB274" s="137">
        <f t="shared" ref="AB274" si="267">+AA274*N274</f>
        <v>680</v>
      </c>
      <c r="AC274" s="137" t="s">
        <v>155</v>
      </c>
      <c r="AD274" s="146" t="s">
        <v>1821</v>
      </c>
      <c r="AE274" s="146"/>
      <c r="AF274" s="113" t="s">
        <v>1822</v>
      </c>
      <c r="AG274" s="113"/>
      <c r="AH274" s="352" t="s">
        <v>1823</v>
      </c>
      <c r="AI274" s="875">
        <v>0.2</v>
      </c>
      <c r="AJ274" s="183">
        <v>4000</v>
      </c>
      <c r="AK274" s="183">
        <v>4000</v>
      </c>
      <c r="AL274" s="183">
        <v>4000</v>
      </c>
      <c r="AM274" s="183">
        <v>2</v>
      </c>
      <c r="AN274" s="183">
        <v>3</v>
      </c>
      <c r="AO274" s="183">
        <v>6</v>
      </c>
      <c r="AP274" s="112" t="str">
        <f>IF(OR(ISBLANK(AI274),AI274=0),"INSERT LIKELIHOOD",IF(ABS(AI274)&lt;='Risk Matrices'!$D$22,'Risk Matrices'!$C$21,IF(ABS(AI274)&lt;='Risk Matrices'!$D$19,'Risk Matrices'!$C$18,IF(ABS(AI274)&lt;='Risk Matrices'!$D$16,'Risk Matrices'!$C$15,IF(ABS(AI274)&lt;='Risk Matrices'!$D$13,'Risk Matrices'!$C$12,'Risk Matrices'!$C$10)))))</f>
        <v>Low</v>
      </c>
      <c r="AQ274" s="112" t="str">
        <f>IF(OR(ISBLANK(AK274),AK274=0),"None",IF(ABS(AK274)&lt;='Risk Matrices'!$E$7,'Risk Matrices'!$E$5,IF(ABS(AK274)&lt;='Risk Matrices'!$G$7,'Risk Matrices'!$G$5,IF(ABS(AK274)&lt;='Risk Matrices'!$H$7,'Risk Matrices'!$H$5,'Risk Matrices'!$I$5))))</f>
        <v>Significant</v>
      </c>
      <c r="AR274" s="112" t="str">
        <f>IF(AN274="","",IF(ABS(AN274)&lt;='Risk Matrices'!$E$8,"Negligible",IF(ABS(AN274)&lt;='Risk Matrices'!$F$8,"Marginal",IF(ABS(AN274)&lt;='Risk Matrices'!$G$8,"Significant",IF(ABS(AN274)&lt;='Risk Matrices'!$H$8,"Critical","Crisis")))))</f>
        <v>Negligible</v>
      </c>
      <c r="AS274" s="102" t="s">
        <v>207</v>
      </c>
      <c r="AT274" s="298">
        <f>IF(OR(ISBLANK(AI274),AI274=0),0,VLOOKUP(AP274,'Risk Matrices'!$B$30:$C$34,2,0))</f>
        <v>2</v>
      </c>
      <c r="AU274" s="298">
        <f>IF(OR(ISBLANK(AK274),AK274=0),0,HLOOKUP(AQ274,'Risk Matrices'!$D$28:$H$29,2,0))</f>
        <v>3</v>
      </c>
      <c r="AV274" s="298">
        <f>IF(OR(ISBLANK(AR274),AR274=0),0,HLOOKUP(AR274,'Risk Matrices'!$D$28:$H$29,2,0))</f>
        <v>1</v>
      </c>
      <c r="AW274" s="298">
        <f>IF(OR(ISBLANK(AS274),AS274=0),0,HLOOKUP(AS274,'Risk Matrices'!$D$28:$H$29,2,0))</f>
        <v>1</v>
      </c>
      <c r="AX274" s="106">
        <f t="shared" ref="AX274" si="268">MAX(AU274,AV274,AW274)</f>
        <v>3</v>
      </c>
      <c r="AY274" s="106">
        <f t="shared" ref="AY274" si="269">AT274*AX274</f>
        <v>6</v>
      </c>
      <c r="AZ274" s="107" t="str">
        <f>IF(B274="Retired","Retired",IF(OR(ISBLANK(AY274),AY274=0),"TBD",IF(AY274&lt;='Risk Matrices'!$D$40,'Risk Matrices'!$B$40,IF(AY274&lt;='Risk Matrices'!$D$39,'Risk Matrices'!$B$39,'Risk Matrices'!$B$38))))</f>
        <v>Retired</v>
      </c>
      <c r="BA274" s="104"/>
      <c r="BB274" s="113" t="s">
        <v>1824</v>
      </c>
      <c r="BC274" s="109" t="str">
        <f t="shared" si="239"/>
        <v>Retired</v>
      </c>
      <c r="BD274" s="104"/>
      <c r="BE274" s="104"/>
      <c r="BF274" s="104"/>
      <c r="BG274" s="197" t="s">
        <v>1825</v>
      </c>
      <c r="BH274" s="104"/>
      <c r="BI274" s="104"/>
      <c r="BJ274" s="874">
        <f t="shared" ref="BJ274" si="270">AI274*(SUM(AJ274:AL274)/3)</f>
        <v>800</v>
      </c>
      <c r="BK274" s="101" t="s">
        <v>311</v>
      </c>
      <c r="BL274" s="116">
        <v>44586</v>
      </c>
      <c r="BM274" s="116">
        <v>44012</v>
      </c>
      <c r="BN274" s="330">
        <v>44134</v>
      </c>
      <c r="BO274" s="332"/>
      <c r="BP274" s="94">
        <f>AI274*((2*AJ274+4*AK274+2*AL274)/6)</f>
        <v>1066.6666666666667</v>
      </c>
      <c r="BQ274" s="97" t="str">
        <f t="shared" ref="BQ274" si="271">CONCATENATE(AJ274," - ",AK274," - ",AL274)</f>
        <v>4000 - 4000 - 4000</v>
      </c>
      <c r="BR274" s="97" t="str">
        <f t="shared" ref="BR274" si="272">CONCATENATE(AM274," - ",AN274," - ",AO274)</f>
        <v>2 - 3 - 6</v>
      </c>
      <c r="BS274" s="715">
        <f t="shared" ref="BS274" si="273">BJ274</f>
        <v>800</v>
      </c>
      <c r="BT274" s="736">
        <f t="shared" ref="BT274" si="274">AI274*(AM274+AN274+AO274)/3</f>
        <v>0.73333333333333339</v>
      </c>
      <c r="BU274" s="735" t="s">
        <v>1826</v>
      </c>
    </row>
    <row r="275" spans="2:75" customFormat="1" ht="83" hidden="1" customHeight="1" x14ac:dyDescent="0.2">
      <c r="B275" s="101" t="str">
        <f t="shared" si="245"/>
        <v>Retired</v>
      </c>
      <c r="C275" s="110" t="s">
        <v>1827</v>
      </c>
      <c r="D275" s="101" t="s">
        <v>151</v>
      </c>
      <c r="E275" s="171" t="s">
        <v>1592</v>
      </c>
      <c r="F275" s="101" t="s">
        <v>124</v>
      </c>
      <c r="G275" s="106" t="s">
        <v>1125</v>
      </c>
      <c r="H275" s="106"/>
      <c r="I275" s="106" t="s">
        <v>1125</v>
      </c>
      <c r="J275" s="101" t="s">
        <v>497</v>
      </c>
      <c r="K275" s="101" t="s">
        <v>1828</v>
      </c>
      <c r="L275" s="146" t="s">
        <v>1829</v>
      </c>
      <c r="M275" s="96" t="s">
        <v>141</v>
      </c>
      <c r="N275" s="93">
        <v>5000</v>
      </c>
      <c r="O275" s="106" t="str" cm="1">
        <f t="array" ref="O275">_xlfn.IFS(N275="","",ABS(N275)&lt;='Risk Matrices'!$E$7,'Risk Matrices'!$E$5,ABS(N275)&lt;='Risk Matrices'!$F$7,'Risk Matrices'!$F$5,ABS(N275)&lt;='Risk Matrices'!$G$7,'Risk Matrices'!$G$5,ABS(N275)&lt;='Risk Matrices'!$H$7,'Risk Matrices'!$H$5,ABS(N275)&gt;'Risk Matrices'!$H$7,'Risk Matrices'!$I$5)</f>
        <v>Significant</v>
      </c>
      <c r="P275" s="93">
        <v>12</v>
      </c>
      <c r="Q275" s="93" t="s">
        <v>600</v>
      </c>
      <c r="R275" s="93" t="s">
        <v>207</v>
      </c>
      <c r="S275" s="94">
        <f t="shared" si="229"/>
        <v>3</v>
      </c>
      <c r="T275" s="106" cm="1">
        <f t="array" ref="T275">_xlfn.IFS(O275='Risk Matrices'!$D$28,'Risk Matrices'!$D$29,O275='Risk Matrices'!$E$28,'Risk Matrices'!$E$29,O275='Risk Matrices'!$F$28,'Risk Matrices'!$F$29,O275='Risk Matrices'!$G$28,'Risk Matrices'!$G$29,O275='Risk Matrices'!$H$28,'Risk Matrices'!$H$29)</f>
        <v>3</v>
      </c>
      <c r="U275" s="94">
        <f t="shared" si="246"/>
        <v>5</v>
      </c>
      <c r="V275" s="94">
        <f t="shared" ref="V275:V281" si="275">IF(R275="",0,IF(R275="Negligible",1,IF(R275="Marginal",2,IF(R275="Significant",3,IF(R275="Critical",4,IF(R275="Crisis",5))))))</f>
        <v>1</v>
      </c>
      <c r="W275" s="94">
        <f t="shared" si="248"/>
        <v>5</v>
      </c>
      <c r="X275" s="94">
        <f t="shared" si="249"/>
        <v>15</v>
      </c>
      <c r="Y275" s="4" t="str">
        <f t="shared" si="250"/>
        <v>High</v>
      </c>
      <c r="Z275" s="104"/>
      <c r="AA275" s="108">
        <f t="shared" si="251"/>
        <v>0.32</v>
      </c>
      <c r="AB275" s="109">
        <f t="shared" si="252"/>
        <v>1600</v>
      </c>
      <c r="AC275" s="109" t="s">
        <v>155</v>
      </c>
      <c r="AD275" s="146" t="s">
        <v>1830</v>
      </c>
      <c r="AE275" s="146"/>
      <c r="AF275" s="104" t="s">
        <v>1831</v>
      </c>
      <c r="AG275" s="104"/>
      <c r="AH275" s="206"/>
      <c r="AI275" s="112">
        <v>0.15</v>
      </c>
      <c r="AJ275" s="211">
        <v>1000</v>
      </c>
      <c r="AK275" s="211">
        <v>5000</v>
      </c>
      <c r="AL275" s="211">
        <v>7000</v>
      </c>
      <c r="AM275" s="211">
        <v>6</v>
      </c>
      <c r="AN275" s="211">
        <v>12</v>
      </c>
      <c r="AO275" s="211">
        <v>18</v>
      </c>
      <c r="AP275" s="112" t="str">
        <f>IF(OR(ISBLANK(AI275),AI275=0),"INSERT LIKELIHOOD",IF(ABS(AI275)&lt;='Risk Matrices'!$D$22,'Risk Matrices'!$C$21,IF(ABS(AI275)&lt;='Risk Matrices'!$D$19,'Risk Matrices'!$C$18,IF(ABS(AI275)&lt;='Risk Matrices'!$D$16,'Risk Matrices'!$C$15,IF(ABS(AI275)&lt;='Risk Matrices'!$D$13,'Risk Matrices'!$C$12,'Risk Matrices'!$C$10)))))</f>
        <v>Low</v>
      </c>
      <c r="AQ275" s="112" t="str">
        <f>IF(OR(ISBLANK(AK275),AK275=0),"",IF(ABS(AK275)&lt;='Risk Matrices'!$E$7,'Risk Matrices'!$E$5,IF(ABS(AK275)&lt;='Risk Matrices'!$G$7,'Risk Matrices'!$G$5,IF(ABS(AK275)&lt;='Risk Matrices'!$H$7,'Risk Matrices'!$H$5,'Risk Matrices'!$I$5))))</f>
        <v>Significant</v>
      </c>
      <c r="AR275" s="112" t="str">
        <f>IF(AN275="","",IF(ABS(AN275)&lt;='Risk Matrices'!$E$8,"Negligible",IF(ABS(AN275)&lt;='Risk Matrices'!$F$8,"Marginal",IF(ABS(AN275)&lt;='Risk Matrices'!$G$8,"Significant",IF(ABS(AN275)&lt;='Risk Matrices'!$H$8,"Critical","Crisis")))))</f>
        <v>Significant</v>
      </c>
      <c r="AS275" s="102" t="s">
        <v>307</v>
      </c>
      <c r="AT275" s="298">
        <f>IF(OR(ISBLANK(AI275),AI275=0),0,VLOOKUP(AP275,'Risk Matrices'!$B$30:$C$34,2,0))</f>
        <v>2</v>
      </c>
      <c r="AU275" s="298">
        <f>IF(OR(ISBLANK(AK275),AK275=0),0,HLOOKUP(AQ275,'Risk Matrices'!$D$28:$H$29,2,0))</f>
        <v>3</v>
      </c>
      <c r="AV275" s="298">
        <f>IF(OR(ISBLANK(AR275),AR275=0),0,HLOOKUP(AR275,'Risk Matrices'!$D$28:$H$29,2,0))</f>
        <v>3</v>
      </c>
      <c r="AW275" s="298">
        <f>IF(OR(ISBLANK(AS275),AS275=0),0,HLOOKUP(AS275,'Risk Matrices'!$D$28:$H$29,2,0))</f>
        <v>3</v>
      </c>
      <c r="AX275" s="106">
        <f t="shared" ref="AX275:AX281" si="276">MAX(AU275,AV275,AW275)</f>
        <v>3</v>
      </c>
      <c r="AY275" s="106">
        <f t="shared" ref="AY275:AY281" si="277">AT275*AX275</f>
        <v>6</v>
      </c>
      <c r="AZ275" s="107" t="str">
        <f>IF(B275="Retired","Retired",IF(OR(ISBLANK(AY275),AY275=0),"TBD",IF(AY275&lt;='Risk Matrices'!$D$40,'Risk Matrices'!$B$40,IF(AY275&lt;='Risk Matrices'!$D$39,'Risk Matrices'!$B$39,'Risk Matrices'!$B$38))))</f>
        <v>Retired</v>
      </c>
      <c r="BA275" s="104"/>
      <c r="BB275" s="104"/>
      <c r="BC275" s="109" t="str">
        <f t="shared" si="239"/>
        <v>Retired</v>
      </c>
      <c r="BD275" s="104"/>
      <c r="BE275" s="104"/>
      <c r="BF275" s="104"/>
      <c r="BG275" s="104" t="s">
        <v>1832</v>
      </c>
      <c r="BH275" s="104"/>
      <c r="BI275" s="104"/>
      <c r="BJ275" s="874">
        <f t="shared" si="255"/>
        <v>649.99999999999989</v>
      </c>
      <c r="BK275" s="101" t="s">
        <v>294</v>
      </c>
      <c r="BL275" s="101" t="s">
        <v>1833</v>
      </c>
      <c r="BM275" s="116">
        <v>44012</v>
      </c>
      <c r="BN275" s="330">
        <v>44134</v>
      </c>
      <c r="BO275" s="332"/>
      <c r="BP275" s="94">
        <f>AI275*((2*AJ275+4*AK275+2*AL275)/6)</f>
        <v>900</v>
      </c>
      <c r="BQ275" s="97" t="str">
        <f t="shared" si="241"/>
        <v>1000 - 5000 - 7000</v>
      </c>
      <c r="BR275" s="97" t="str">
        <f t="shared" ref="BR275:BR281" si="278">CONCATENATE(AM275," - ",AN275," - ",AO275)</f>
        <v>6 - 12 - 18</v>
      </c>
      <c r="BS275" s="715">
        <f t="shared" ref="BS275:BS281" si="279">BJ275</f>
        <v>649.99999999999989</v>
      </c>
      <c r="BT275" s="736">
        <f t="shared" ref="BT275:BT281" si="280">AI275*(AM275+AN275+AO275)/3</f>
        <v>1.7999999999999998</v>
      </c>
      <c r="BU275" s="735" t="s">
        <v>1827</v>
      </c>
    </row>
    <row r="276" spans="2:75" customFormat="1" ht="74" hidden="1" customHeight="1" x14ac:dyDescent="0.2">
      <c r="B276" s="101" t="str">
        <f t="shared" si="245"/>
        <v>Active</v>
      </c>
      <c r="C276" s="784" t="s">
        <v>1834</v>
      </c>
      <c r="D276" s="101" t="s">
        <v>151</v>
      </c>
      <c r="E276" s="171" t="s">
        <v>1835</v>
      </c>
      <c r="F276" s="102" t="s">
        <v>124</v>
      </c>
      <c r="G276" s="106" t="s">
        <v>1836</v>
      </c>
      <c r="H276" s="101" t="str">
        <f t="shared" ref="H276:H279" si="281">C276</f>
        <v>RT-6-012-001</v>
      </c>
      <c r="I276" s="106" t="s">
        <v>1836</v>
      </c>
      <c r="J276" s="106" t="s">
        <v>1837</v>
      </c>
      <c r="K276" s="101" t="s">
        <v>1838</v>
      </c>
      <c r="L276" s="104" t="s">
        <v>1839</v>
      </c>
      <c r="M276" s="103" t="s">
        <v>129</v>
      </c>
      <c r="N276" s="105">
        <v>30000</v>
      </c>
      <c r="O276" s="106" t="str" cm="1">
        <f t="array" ref="O276">_xlfn.IFS(N276="","",ABS(N276)&lt;='Risk Matrices'!$E$7,'Risk Matrices'!$E$5,ABS(N276)&lt;='Risk Matrices'!$F$7,'Risk Matrices'!$F$5,ABS(N276)&lt;='Risk Matrices'!$G$7,'Risk Matrices'!$G$5,ABS(N276)&lt;='Risk Matrices'!$H$7,'Risk Matrices'!$H$5,ABS(N276)&gt;'Risk Matrices'!$H$7,'Risk Matrices'!$I$5)</f>
        <v>Critical</v>
      </c>
      <c r="P276" s="106">
        <v>6</v>
      </c>
      <c r="Q276" s="101" t="str" cm="1">
        <f t="array" ref="Q276">_xlfn.IFS(P276="","",ABS(P276)&lt;='Risk Matrices'!$E$8,'Risk Matrices'!$E$5,ABS(P276)&lt;='Risk Matrices'!$F$8,'Risk Matrices'!$F$5,ABS(P276)&lt;='Risk Matrices'!$G$8,'Risk Matrices'!$G$5,ABS(P276)&lt;='Risk Matrices'!$H$8,'Risk Matrices'!$H$5,ABS(P276)&gt;'Risk Matrices'!$H$8,'Risk Matrices'!$I$5)</f>
        <v>Marginal</v>
      </c>
      <c r="R276" s="101" t="s">
        <v>130</v>
      </c>
      <c r="S276" s="106">
        <f t="shared" si="229"/>
        <v>4</v>
      </c>
      <c r="T276" s="106" cm="1">
        <f t="array" ref="T276">_xlfn.IFS(O276='Risk Matrices'!$D$28,'Risk Matrices'!$D$29,O276='Risk Matrices'!$E$28,'Risk Matrices'!$E$29,O276='Risk Matrices'!$F$28,'Risk Matrices'!$F$29,O276='Risk Matrices'!$G$28,'Risk Matrices'!$G$29,O276='Risk Matrices'!$H$28,'Risk Matrices'!$H$29)</f>
        <v>4</v>
      </c>
      <c r="U276" s="106">
        <f t="shared" si="246"/>
        <v>2</v>
      </c>
      <c r="V276" s="106">
        <f t="shared" ref="V276:V279" si="282">IF(R276="None",0,IF(R276="Negligible",1,IF(R276="Marginal",2,IF(R276="Significant",3,IF(R276="Critical",4,IF(R276="Crisis",5))))))</f>
        <v>0</v>
      </c>
      <c r="W276" s="106">
        <f t="shared" si="248"/>
        <v>4</v>
      </c>
      <c r="X276" s="106">
        <f t="shared" si="249"/>
        <v>16</v>
      </c>
      <c r="Y276" s="107" t="str">
        <f t="shared" si="250"/>
        <v>High</v>
      </c>
      <c r="Z276" s="104"/>
      <c r="AA276" s="108">
        <f t="shared" si="251"/>
        <v>0.52</v>
      </c>
      <c r="AB276" s="109">
        <f t="shared" si="252"/>
        <v>15600</v>
      </c>
      <c r="AC276" s="109" t="s">
        <v>155</v>
      </c>
      <c r="AD276" s="104" t="s">
        <v>1840</v>
      </c>
      <c r="AE276" s="104"/>
      <c r="AF276" s="101" t="s">
        <v>1841</v>
      </c>
      <c r="AG276" s="101"/>
      <c r="AH276" s="754" t="s">
        <v>1842</v>
      </c>
      <c r="AI276" s="112">
        <v>0.5</v>
      </c>
      <c r="AJ276" s="105">
        <v>5000</v>
      </c>
      <c r="AK276" s="105">
        <v>19000</v>
      </c>
      <c r="AL276" s="105">
        <v>68000</v>
      </c>
      <c r="AM276" s="106">
        <v>2</v>
      </c>
      <c r="AN276" s="106">
        <v>6</v>
      </c>
      <c r="AO276" s="106">
        <v>12</v>
      </c>
      <c r="AP276" s="112" t="str">
        <f>IF(OR(ISBLANK(AI276),AI276=0),"INSERT LIKELIHOOD",IF(ABS(AI276)&lt;='Risk Matrices'!$D$22,'Risk Matrices'!$C$21,IF(ABS(AI276)&lt;='Risk Matrices'!$D$19,'Risk Matrices'!$C$18,IF(ABS(AI276)&lt;='Risk Matrices'!$D$16,'Risk Matrices'!$C$15,IF(ABS(AI276)&lt;='Risk Matrices'!$D$13,'Risk Matrices'!$C$12,'Risk Matrices'!$C$10)))))</f>
        <v>High</v>
      </c>
      <c r="AQ276" s="112" t="str">
        <f>IF(OR(ISBLANK(AK276),AK276=0),"None",IF(ABS(AK276)&lt;='Risk Matrices'!$E$7,'Risk Matrices'!$E$5,IF(ABS(AK276)&lt;='Risk Matrices'!$G$7,'Risk Matrices'!$G$5,IF(ABS(AK276)&lt;='Risk Matrices'!$H$7,'Risk Matrices'!$H$5,'Risk Matrices'!$I$5))))</f>
        <v>Critical</v>
      </c>
      <c r="AR276" s="112" t="str">
        <f>IF(AN276="","",IF(ABS(AN276)&lt;='Risk Matrices'!$E$8,"Negligible",IF(ABS(AN276)&lt;='Risk Matrices'!$F$8,"Marginal",IF(ABS(AN276)&lt;='Risk Matrices'!$G$8,"Significant",IF(ABS(AN276)&lt;='Risk Matrices'!$H$8,"Critical","Crisis")))))</f>
        <v>Marginal</v>
      </c>
      <c r="AS276" s="103" t="s">
        <v>307</v>
      </c>
      <c r="AT276" s="298">
        <f>IF(OR(ISBLANK(AI276),AI276=0),0,VLOOKUP(AP276,'Risk Matrices'!$B$30:$C$34,2,0))</f>
        <v>4</v>
      </c>
      <c r="AU276" s="298">
        <f>IF(OR(ISBLANK(AK276),AK276=0),0,HLOOKUP(AQ276,'Risk Matrices'!$D$28:$H$29,2,0))</f>
        <v>4</v>
      </c>
      <c r="AV276" s="298">
        <f>IF(OR(ISBLANK(AR276),AR276=0),0,HLOOKUP(AR276,'Risk Matrices'!$D$28:$H$29,2,0))</f>
        <v>2</v>
      </c>
      <c r="AW276" s="298">
        <f>IF(OR(ISBLANK(AS276),AS276=0),0,HLOOKUP(AS276,'Risk Matrices'!$D$28:$H$29,2,0))</f>
        <v>3</v>
      </c>
      <c r="AX276" s="106">
        <f t="shared" si="276"/>
        <v>4</v>
      </c>
      <c r="AY276" s="106">
        <f t="shared" si="277"/>
        <v>16</v>
      </c>
      <c r="AZ276" s="107" t="str">
        <f>IF(B276="Retired","Retired",IF(OR(ISBLANK(AY276),AY276=0),"TBD",IF(AY276&lt;='Risk Matrices'!$D$40,'Risk Matrices'!$B$40,IF(AY276&lt;='Risk Matrices'!$D$39,'Risk Matrices'!$B$39,'Risk Matrices'!$B$38))))</f>
        <v>High</v>
      </c>
      <c r="BA276" s="112"/>
      <c r="BB276" s="113" t="s">
        <v>1843</v>
      </c>
      <c r="BC276" s="109">
        <f t="shared" si="239"/>
        <v>9500</v>
      </c>
      <c r="BD276" s="929">
        <v>45316</v>
      </c>
      <c r="BE276" s="114"/>
      <c r="BF276" s="115"/>
      <c r="BG276" s="115"/>
      <c r="BH276" s="115"/>
      <c r="BI276" s="115"/>
      <c r="BJ276" s="874">
        <f t="shared" si="255"/>
        <v>15333.333333333334</v>
      </c>
      <c r="BK276" s="101"/>
      <c r="BL276" s="101"/>
      <c r="BM276" s="116">
        <v>44012</v>
      </c>
      <c r="BN276" s="330">
        <v>44134</v>
      </c>
      <c r="BO276" s="332"/>
      <c r="BP276" s="94">
        <f>AI276*((AJ276+4*AK276+AL276)/6)</f>
        <v>12416.666666666666</v>
      </c>
      <c r="BQ276" s="97" t="str">
        <f t="shared" si="241"/>
        <v>5000 - 19000 - 68000</v>
      </c>
      <c r="BR276" s="97" t="str">
        <f t="shared" si="278"/>
        <v>2 - 6 - 12</v>
      </c>
      <c r="BS276" s="715">
        <f t="shared" si="279"/>
        <v>15333.333333333334</v>
      </c>
      <c r="BT276" s="736">
        <f t="shared" si="280"/>
        <v>3.3333333333333335</v>
      </c>
      <c r="BU276" s="735" t="s">
        <v>1844</v>
      </c>
      <c r="BV276" s="873">
        <v>45382</v>
      </c>
      <c r="BW276">
        <f t="shared" ref="BW276:BW279" si="283">BV276-BN276</f>
        <v>1248</v>
      </c>
    </row>
    <row r="277" spans="2:75" customFormat="1" ht="86" hidden="1" customHeight="1" x14ac:dyDescent="0.2">
      <c r="B277" s="101" t="str">
        <f t="shared" si="245"/>
        <v>Active</v>
      </c>
      <c r="C277" s="784" t="s">
        <v>1845</v>
      </c>
      <c r="D277" s="101" t="s">
        <v>151</v>
      </c>
      <c r="E277" s="171" t="s">
        <v>1835</v>
      </c>
      <c r="F277" s="102" t="s">
        <v>124</v>
      </c>
      <c r="G277" s="106" t="s">
        <v>1836</v>
      </c>
      <c r="H277" s="101" t="str">
        <f t="shared" si="281"/>
        <v>RT-6-012-002</v>
      </c>
      <c r="I277" s="106" t="s">
        <v>1836</v>
      </c>
      <c r="J277" s="106" t="s">
        <v>1837</v>
      </c>
      <c r="K277" s="101" t="s">
        <v>1846</v>
      </c>
      <c r="L277" s="104" t="s">
        <v>1847</v>
      </c>
      <c r="M277" s="103" t="s">
        <v>141</v>
      </c>
      <c r="N277" s="105">
        <v>200</v>
      </c>
      <c r="O277" s="106" t="str" cm="1">
        <f t="array" ref="O277">_xlfn.IFS(N277="","",ABS(N277)&lt;='Risk Matrices'!$E$7,'Risk Matrices'!$E$5,ABS(N277)&lt;='Risk Matrices'!$F$7,'Risk Matrices'!$F$5,ABS(N277)&lt;='Risk Matrices'!$G$7,'Risk Matrices'!$G$5,ABS(N277)&lt;='Risk Matrices'!$H$7,'Risk Matrices'!$H$5,ABS(N277)&gt;'Risk Matrices'!$H$7,'Risk Matrices'!$I$5)</f>
        <v>Negligible</v>
      </c>
      <c r="P277" s="106">
        <v>3</v>
      </c>
      <c r="Q277" s="101" t="str" cm="1">
        <f t="array" ref="Q277">_xlfn.IFS(P277="","",ABS(P277)&lt;='Risk Matrices'!$E$8,'Risk Matrices'!$E$5,ABS(P277)&lt;='Risk Matrices'!$F$8,'Risk Matrices'!$F$5,ABS(P277)&lt;='Risk Matrices'!$G$8,'Risk Matrices'!$G$5,ABS(P277)&lt;='Risk Matrices'!$H$8,'Risk Matrices'!$H$5,ABS(P277)&gt;'Risk Matrices'!$H$8,'Risk Matrices'!$I$5)</f>
        <v>Negligible</v>
      </c>
      <c r="R277" s="101" t="s">
        <v>130</v>
      </c>
      <c r="S277" s="106">
        <f t="shared" si="229"/>
        <v>3</v>
      </c>
      <c r="T277" s="106" cm="1">
        <f t="array" ref="T277">_xlfn.IFS(O277='Risk Matrices'!$D$28,'Risk Matrices'!$D$29,O277='Risk Matrices'!$E$28,'Risk Matrices'!$E$29,O277='Risk Matrices'!$F$28,'Risk Matrices'!$F$29,O277='Risk Matrices'!$G$28,'Risk Matrices'!$G$29,O277='Risk Matrices'!$H$28,'Risk Matrices'!$H$29)</f>
        <v>1</v>
      </c>
      <c r="U277" s="106">
        <f t="shared" si="246"/>
        <v>1</v>
      </c>
      <c r="V277" s="106">
        <f t="shared" si="282"/>
        <v>0</v>
      </c>
      <c r="W277" s="106">
        <f t="shared" si="248"/>
        <v>1</v>
      </c>
      <c r="X277" s="106">
        <f t="shared" si="249"/>
        <v>3</v>
      </c>
      <c r="Y277" s="107" t="str">
        <f t="shared" si="250"/>
        <v>Low</v>
      </c>
      <c r="Z277" s="104"/>
      <c r="AA277" s="108">
        <f t="shared" si="251"/>
        <v>0.32</v>
      </c>
      <c r="AB277" s="109">
        <f t="shared" si="252"/>
        <v>64</v>
      </c>
      <c r="AC277" s="109" t="s">
        <v>155</v>
      </c>
      <c r="AD277" s="104" t="s">
        <v>1848</v>
      </c>
      <c r="AE277" s="104"/>
      <c r="AF277" s="103" t="s">
        <v>898</v>
      </c>
      <c r="AG277" s="103"/>
      <c r="AH277" s="754" t="s">
        <v>1849</v>
      </c>
      <c r="AI277" s="112">
        <v>0.3</v>
      </c>
      <c r="AJ277" s="105">
        <v>1500</v>
      </c>
      <c r="AK277" s="105">
        <v>3000</v>
      </c>
      <c r="AL277" s="105">
        <v>4500</v>
      </c>
      <c r="AM277" s="106">
        <v>1</v>
      </c>
      <c r="AN277" s="106">
        <v>3</v>
      </c>
      <c r="AO277" s="106">
        <v>6</v>
      </c>
      <c r="AP277" s="112" t="str">
        <f>IF(OR(ISBLANK(AI277),AI277=0),"INSERT LIKELIHOOD",IF(ABS(AI277)&lt;='Risk Matrices'!$D$22,'Risk Matrices'!$C$21,IF(ABS(AI277)&lt;='Risk Matrices'!$D$19,'Risk Matrices'!$C$18,IF(ABS(AI277)&lt;='Risk Matrices'!$D$16,'Risk Matrices'!$C$15,IF(ABS(AI277)&lt;='Risk Matrices'!$D$13,'Risk Matrices'!$C$12,'Risk Matrices'!$C$10)))))</f>
        <v>Moderate</v>
      </c>
      <c r="AQ277" s="112" t="str">
        <f>IF(OR(ISBLANK(AK277),AK277=0),"None",IF(ABS(AK277)&lt;='Risk Matrices'!$E$7,'Risk Matrices'!$E$5,IF(ABS(AK277)&lt;='Risk Matrices'!$G$7,'Risk Matrices'!$G$5,IF(ABS(AK277)&lt;='Risk Matrices'!$H$7,'Risk Matrices'!$H$5,'Risk Matrices'!$I$5))))</f>
        <v>Significant</v>
      </c>
      <c r="AR277" s="112" t="str">
        <f>IF(AN277="","",IF(ABS(AN277)&lt;='Risk Matrices'!$E$8,"Negligible",IF(ABS(AN277)&lt;='Risk Matrices'!$F$8,"Marginal",IF(ABS(AN277)&lt;='Risk Matrices'!$G$8,"Significant",IF(ABS(AN277)&lt;='Risk Matrices'!$H$8,"Critical","Crisis")))))</f>
        <v>Negligible</v>
      </c>
      <c r="AS277" s="103" t="s">
        <v>280</v>
      </c>
      <c r="AT277" s="298">
        <f>IF(OR(ISBLANK(AI277),AI277=0),0,VLOOKUP(AP277,'Risk Matrices'!$B$30:$C$34,2,0))</f>
        <v>3</v>
      </c>
      <c r="AU277" s="298">
        <f>IF(OR(ISBLANK(AK277),AK277=0),0,HLOOKUP(AQ277,'Risk Matrices'!$D$28:$H$29,2,0))</f>
        <v>3</v>
      </c>
      <c r="AV277" s="298">
        <f>IF(OR(ISBLANK(AR277),AR277=0),0,HLOOKUP(AR277,'Risk Matrices'!$D$28:$H$29,2,0))</f>
        <v>1</v>
      </c>
      <c r="AW277" s="298">
        <f>IF(OR(ISBLANK(AS277),AS277=0),0,HLOOKUP(AS277,'Risk Matrices'!$D$28:$H$29,2,0))</f>
        <v>2</v>
      </c>
      <c r="AX277" s="106">
        <f t="shared" si="276"/>
        <v>3</v>
      </c>
      <c r="AY277" s="106">
        <f t="shared" si="277"/>
        <v>9</v>
      </c>
      <c r="AZ277" s="107" t="str">
        <f>IF(B277="Retired","Retired",IF(OR(ISBLANK(AY277),AY277=0),"TBD",IF(AY277&lt;='Risk Matrices'!$D$40,'Risk Matrices'!$B$40,IF(AY277&lt;='Risk Matrices'!$D$39,'Risk Matrices'!$B$39,'Risk Matrices'!$B$38))))</f>
        <v>Moderate</v>
      </c>
      <c r="BA277" s="112"/>
      <c r="BB277" s="101" t="s">
        <v>366</v>
      </c>
      <c r="BC277" s="109">
        <f t="shared" si="239"/>
        <v>900</v>
      </c>
      <c r="BD277" s="929">
        <v>45316</v>
      </c>
      <c r="BE277" s="114"/>
      <c r="BF277" s="104"/>
      <c r="BG277" s="115"/>
      <c r="BH277" s="115"/>
      <c r="BI277" s="115"/>
      <c r="BJ277" s="874">
        <f t="shared" si="255"/>
        <v>900</v>
      </c>
      <c r="BK277" s="101"/>
      <c r="BL277" s="101"/>
      <c r="BM277" s="116">
        <v>44012</v>
      </c>
      <c r="BN277" s="330">
        <v>44134</v>
      </c>
      <c r="BO277" s="332"/>
      <c r="BP277" s="94">
        <f>AI277*((AJ277+4*AK277+AL277)/6)</f>
        <v>900</v>
      </c>
      <c r="BQ277" s="97" t="str">
        <f t="shared" si="241"/>
        <v>1500 - 3000 - 4500</v>
      </c>
      <c r="BR277" s="97" t="str">
        <f t="shared" si="278"/>
        <v>1 - 3 - 6</v>
      </c>
      <c r="BS277" s="715">
        <f t="shared" si="279"/>
        <v>900</v>
      </c>
      <c r="BT277" s="736">
        <f t="shared" si="280"/>
        <v>1</v>
      </c>
      <c r="BU277" s="735" t="s">
        <v>1850</v>
      </c>
      <c r="BV277" s="873">
        <v>45382</v>
      </c>
      <c r="BW277">
        <f t="shared" si="283"/>
        <v>1248</v>
      </c>
    </row>
    <row r="278" spans="2:75" customFormat="1" ht="79" hidden="1" customHeight="1" x14ac:dyDescent="0.2">
      <c r="B278" s="101" t="str">
        <f t="shared" si="245"/>
        <v>Active</v>
      </c>
      <c r="C278" s="784" t="s">
        <v>1851</v>
      </c>
      <c r="D278" s="101" t="s">
        <v>151</v>
      </c>
      <c r="E278" s="171" t="s">
        <v>1835</v>
      </c>
      <c r="F278" s="102" t="s">
        <v>124</v>
      </c>
      <c r="G278" s="106" t="s">
        <v>1836</v>
      </c>
      <c r="H278" s="101" t="str">
        <f t="shared" si="281"/>
        <v>RT-6-012-003</v>
      </c>
      <c r="I278" s="106" t="s">
        <v>1836</v>
      </c>
      <c r="J278" s="106" t="s">
        <v>1837</v>
      </c>
      <c r="K278" s="101" t="s">
        <v>1852</v>
      </c>
      <c r="L278" s="104" t="s">
        <v>1853</v>
      </c>
      <c r="M278" s="103" t="s">
        <v>164</v>
      </c>
      <c r="N278" s="105">
        <v>10000</v>
      </c>
      <c r="O278" s="106" t="str" cm="1">
        <f t="array" ref="O278">_xlfn.IFS(N278="","",ABS(N278)&lt;='Risk Matrices'!$E$7,'Risk Matrices'!$E$5,ABS(N278)&lt;='Risk Matrices'!$F$7,'Risk Matrices'!$F$5,ABS(N278)&lt;='Risk Matrices'!$G$7,'Risk Matrices'!$G$5,ABS(N278)&lt;='Risk Matrices'!$H$7,'Risk Matrices'!$H$5,ABS(N278)&gt;'Risk Matrices'!$H$7,'Risk Matrices'!$I$5)</f>
        <v>Critical</v>
      </c>
      <c r="P278" s="106">
        <v>6</v>
      </c>
      <c r="Q278" s="101" t="str" cm="1">
        <f t="array" ref="Q278">_xlfn.IFS(P278="","",ABS(P278)&lt;='Risk Matrices'!$E$8,'Risk Matrices'!$E$5,ABS(P278)&lt;='Risk Matrices'!$F$8,'Risk Matrices'!$F$5,ABS(P278)&lt;='Risk Matrices'!$G$8,'Risk Matrices'!$G$5,ABS(P278)&lt;='Risk Matrices'!$H$8,'Risk Matrices'!$H$5,ABS(P278)&gt;'Risk Matrices'!$H$8,'Risk Matrices'!$I$5)</f>
        <v>Marginal</v>
      </c>
      <c r="R278" s="101" t="s">
        <v>130</v>
      </c>
      <c r="S278" s="106">
        <f t="shared" si="229"/>
        <v>2</v>
      </c>
      <c r="T278" s="106" cm="1">
        <f t="array" ref="T278">_xlfn.IFS(O278='Risk Matrices'!$D$28,'Risk Matrices'!$D$29,O278='Risk Matrices'!$E$28,'Risk Matrices'!$E$29,O278='Risk Matrices'!$F$28,'Risk Matrices'!$F$29,O278='Risk Matrices'!$G$28,'Risk Matrices'!$G$29,O278='Risk Matrices'!$H$28,'Risk Matrices'!$H$29)</f>
        <v>4</v>
      </c>
      <c r="U278" s="106">
        <f t="shared" si="246"/>
        <v>2</v>
      </c>
      <c r="V278" s="106">
        <f t="shared" si="282"/>
        <v>0</v>
      </c>
      <c r="W278" s="106">
        <f t="shared" si="248"/>
        <v>4</v>
      </c>
      <c r="X278" s="106">
        <f t="shared" si="249"/>
        <v>8</v>
      </c>
      <c r="Y278" s="107" t="str">
        <f t="shared" si="250"/>
        <v>Moderate</v>
      </c>
      <c r="Z278" s="104"/>
      <c r="AA278" s="108">
        <f t="shared" si="251"/>
        <v>0.17</v>
      </c>
      <c r="AB278" s="109">
        <f t="shared" si="252"/>
        <v>1700.0000000000002</v>
      </c>
      <c r="AC278" s="109" t="s">
        <v>155</v>
      </c>
      <c r="AD278" s="104" t="s">
        <v>1854</v>
      </c>
      <c r="AE278" s="104"/>
      <c r="AF278" s="103" t="s">
        <v>898</v>
      </c>
      <c r="AG278" s="103"/>
      <c r="AH278" s="754" t="s">
        <v>1842</v>
      </c>
      <c r="AI278" s="112">
        <v>0.2</v>
      </c>
      <c r="AJ278" s="105">
        <v>4000</v>
      </c>
      <c r="AK278" s="105">
        <v>11000</v>
      </c>
      <c r="AL278" s="105">
        <v>28000</v>
      </c>
      <c r="AM278" s="106">
        <v>2</v>
      </c>
      <c r="AN278" s="106">
        <v>6</v>
      </c>
      <c r="AO278" s="106">
        <v>12</v>
      </c>
      <c r="AP278" s="112" t="str">
        <f>IF(OR(ISBLANK(AI278),AI278=0),"INSERT LIKELIHOOD",IF(ABS(AI278)&lt;='Risk Matrices'!$D$22,'Risk Matrices'!$C$21,IF(ABS(AI278)&lt;='Risk Matrices'!$D$19,'Risk Matrices'!$C$18,IF(ABS(AI278)&lt;='Risk Matrices'!$D$16,'Risk Matrices'!$C$15,IF(ABS(AI278)&lt;='Risk Matrices'!$D$13,'Risk Matrices'!$C$12,'Risk Matrices'!$C$10)))))</f>
        <v>Low</v>
      </c>
      <c r="AQ278" s="112" t="str">
        <f>IF(OR(ISBLANK(AK278),AK278=0),"None",IF(ABS(AK278)&lt;='Risk Matrices'!$E$7,'Risk Matrices'!$E$5,IF(ABS(AK278)&lt;='Risk Matrices'!$G$7,'Risk Matrices'!$G$5,IF(ABS(AK278)&lt;='Risk Matrices'!$H$7,'Risk Matrices'!$H$5,'Risk Matrices'!$I$5))))</f>
        <v>Critical</v>
      </c>
      <c r="AR278" s="112" t="str">
        <f>IF(AN278="","",IF(ABS(AN278)&lt;='Risk Matrices'!$E$8,"Negligible",IF(ABS(AN278)&lt;='Risk Matrices'!$F$8,"Marginal",IF(ABS(AN278)&lt;='Risk Matrices'!$G$8,"Significant",IF(ABS(AN278)&lt;='Risk Matrices'!$H$8,"Critical","Crisis")))))</f>
        <v>Marginal</v>
      </c>
      <c r="AS278" s="103" t="s">
        <v>307</v>
      </c>
      <c r="AT278" s="298">
        <f>IF(OR(ISBLANK(AI278),AI278=0),0,VLOOKUP(AP278,'Risk Matrices'!$B$30:$C$34,2,0))</f>
        <v>2</v>
      </c>
      <c r="AU278" s="298">
        <f>IF(OR(ISBLANK(AK278),AK278=0),0,HLOOKUP(AQ278,'Risk Matrices'!$D$28:$H$29,2,0))</f>
        <v>4</v>
      </c>
      <c r="AV278" s="298">
        <f>IF(OR(ISBLANK(AR278),AR278=0),0,HLOOKUP(AR278,'Risk Matrices'!$D$28:$H$29,2,0))</f>
        <v>2</v>
      </c>
      <c r="AW278" s="298">
        <f>IF(OR(ISBLANK(AS278),AS278=0),0,HLOOKUP(AS278,'Risk Matrices'!$D$28:$H$29,2,0))</f>
        <v>3</v>
      </c>
      <c r="AX278" s="106">
        <f t="shared" si="276"/>
        <v>4</v>
      </c>
      <c r="AY278" s="106">
        <f t="shared" si="277"/>
        <v>8</v>
      </c>
      <c r="AZ278" s="107" t="str">
        <f>IF(B278="Retired","Retired",IF(OR(ISBLANK(AY278),AY278=0),"TBD",IF(AY278&lt;='Risk Matrices'!$D$40,'Risk Matrices'!$B$40,IF(AY278&lt;='Risk Matrices'!$D$39,'Risk Matrices'!$B$39,'Risk Matrices'!$B$38))))</f>
        <v>Moderate</v>
      </c>
      <c r="BA278" s="112"/>
      <c r="BB278" s="113" t="s">
        <v>1843</v>
      </c>
      <c r="BC278" s="109">
        <f t="shared" si="239"/>
        <v>2200</v>
      </c>
      <c r="BD278" s="929">
        <v>45316</v>
      </c>
      <c r="BE278" s="114"/>
      <c r="BF278" s="104"/>
      <c r="BG278" s="115"/>
      <c r="BH278" s="115"/>
      <c r="BI278" s="115"/>
      <c r="BJ278" s="874">
        <f t="shared" si="255"/>
        <v>2866.666666666667</v>
      </c>
      <c r="BK278" s="101"/>
      <c r="BL278" s="101"/>
      <c r="BM278" s="116">
        <v>44012</v>
      </c>
      <c r="BN278" s="330">
        <v>44134</v>
      </c>
      <c r="BO278" s="332"/>
      <c r="BP278" s="94">
        <f>AI278*((AJ278+4*AK278+AL278)/6)</f>
        <v>2533.3333333333335</v>
      </c>
      <c r="BQ278" s="97" t="str">
        <f t="shared" si="241"/>
        <v>4000 - 11000 - 28000</v>
      </c>
      <c r="BR278" s="97" t="str">
        <f t="shared" si="278"/>
        <v>2 - 6 - 12</v>
      </c>
      <c r="BS278" s="715">
        <f t="shared" si="279"/>
        <v>2866.666666666667</v>
      </c>
      <c r="BT278" s="736">
        <f t="shared" si="280"/>
        <v>1.3333333333333333</v>
      </c>
      <c r="BU278" s="735" t="s">
        <v>1855</v>
      </c>
      <c r="BV278" s="873">
        <v>45382</v>
      </c>
      <c r="BW278">
        <f t="shared" si="283"/>
        <v>1248</v>
      </c>
    </row>
    <row r="279" spans="2:75" customFormat="1" ht="82" hidden="1" customHeight="1" x14ac:dyDescent="0.2">
      <c r="B279" s="101" t="str">
        <f t="shared" si="245"/>
        <v>Active</v>
      </c>
      <c r="C279" s="784" t="s">
        <v>1856</v>
      </c>
      <c r="D279" s="101" t="s">
        <v>151</v>
      </c>
      <c r="E279" s="171" t="s">
        <v>1835</v>
      </c>
      <c r="F279" s="102" t="s">
        <v>124</v>
      </c>
      <c r="G279" s="106" t="s">
        <v>1836</v>
      </c>
      <c r="H279" s="101" t="str">
        <f t="shared" si="281"/>
        <v>RT-6-012-004</v>
      </c>
      <c r="I279" s="106" t="s">
        <v>1836</v>
      </c>
      <c r="J279" s="106" t="s">
        <v>1837</v>
      </c>
      <c r="K279" s="101" t="s">
        <v>1857</v>
      </c>
      <c r="L279" s="104" t="s">
        <v>1858</v>
      </c>
      <c r="M279" s="103" t="s">
        <v>129</v>
      </c>
      <c r="N279" s="105">
        <v>250</v>
      </c>
      <c r="O279" s="106" t="str" cm="1">
        <f t="array" ref="O279">_xlfn.IFS(N279="","",ABS(N279)&lt;='Risk Matrices'!$E$7,'Risk Matrices'!$E$5,ABS(N279)&lt;='Risk Matrices'!$F$7,'Risk Matrices'!$F$5,ABS(N279)&lt;='Risk Matrices'!$G$7,'Risk Matrices'!$G$5,ABS(N279)&lt;='Risk Matrices'!$H$7,'Risk Matrices'!$H$5,ABS(N279)&gt;'Risk Matrices'!$H$7,'Risk Matrices'!$I$5)</f>
        <v>Negligible</v>
      </c>
      <c r="P279" s="106">
        <v>0</v>
      </c>
      <c r="Q279" s="101" t="str" cm="1">
        <f t="array" ref="Q279">_xlfn.IFS(P279="","",ABS(P279)&lt;='Risk Matrices'!$E$8,'Risk Matrices'!$E$5,ABS(P279)&lt;='Risk Matrices'!$F$8,'Risk Matrices'!$F$5,ABS(P279)&lt;='Risk Matrices'!$G$8,'Risk Matrices'!$G$5,ABS(P279)&lt;='Risk Matrices'!$H$8,'Risk Matrices'!$H$5,ABS(P279)&gt;'Risk Matrices'!$H$8,'Risk Matrices'!$I$5)</f>
        <v>Negligible</v>
      </c>
      <c r="R279" s="101" t="s">
        <v>130</v>
      </c>
      <c r="S279" s="106">
        <f t="shared" si="229"/>
        <v>4</v>
      </c>
      <c r="T279" s="106" cm="1">
        <f t="array" ref="T279">_xlfn.IFS(O279='Risk Matrices'!$D$28,'Risk Matrices'!$D$29,O279='Risk Matrices'!$E$28,'Risk Matrices'!$E$29,O279='Risk Matrices'!$F$28,'Risk Matrices'!$F$29,O279='Risk Matrices'!$G$28,'Risk Matrices'!$G$29,O279='Risk Matrices'!$H$28,'Risk Matrices'!$H$29)</f>
        <v>1</v>
      </c>
      <c r="U279" s="106">
        <f t="shared" si="246"/>
        <v>1</v>
      </c>
      <c r="V279" s="106">
        <f t="shared" si="282"/>
        <v>0</v>
      </c>
      <c r="W279" s="106">
        <f t="shared" si="248"/>
        <v>1</v>
      </c>
      <c r="X279" s="106">
        <f t="shared" si="249"/>
        <v>4</v>
      </c>
      <c r="Y279" s="107" t="str">
        <f t="shared" si="250"/>
        <v>Low</v>
      </c>
      <c r="Z279" s="104"/>
      <c r="AA279" s="108">
        <f t="shared" si="251"/>
        <v>0.52</v>
      </c>
      <c r="AB279" s="109">
        <f t="shared" si="252"/>
        <v>130</v>
      </c>
      <c r="AC279" s="109" t="s">
        <v>155</v>
      </c>
      <c r="AD279" s="104" t="s">
        <v>1859</v>
      </c>
      <c r="AE279" s="104"/>
      <c r="AF279" s="103" t="s">
        <v>898</v>
      </c>
      <c r="AG279" s="103"/>
      <c r="AH279" s="101" t="s">
        <v>1860</v>
      </c>
      <c r="AI279" s="112">
        <v>0.5</v>
      </c>
      <c r="AJ279" s="105">
        <v>100</v>
      </c>
      <c r="AK279" s="105">
        <v>500</v>
      </c>
      <c r="AL279" s="105">
        <v>1000</v>
      </c>
      <c r="AM279" s="106">
        <v>0</v>
      </c>
      <c r="AN279" s="106">
        <v>0</v>
      </c>
      <c r="AO279" s="106">
        <v>1</v>
      </c>
      <c r="AP279" s="112" t="str">
        <f>IF(OR(ISBLANK(AI279),AI279=0),"INSERT LIKELIHOOD",IF(ABS(AI279)&lt;='Risk Matrices'!$D$22,'Risk Matrices'!$C$21,IF(ABS(AI279)&lt;='Risk Matrices'!$D$19,'Risk Matrices'!$C$18,IF(ABS(AI279)&lt;='Risk Matrices'!$D$16,'Risk Matrices'!$C$15,IF(ABS(AI279)&lt;='Risk Matrices'!$D$13,'Risk Matrices'!$C$12,'Risk Matrices'!$C$10)))))</f>
        <v>High</v>
      </c>
      <c r="AQ279" s="112" t="str">
        <f>IF(OR(ISBLANK(AK279),AK279=0),"None",IF(ABS(AK279)&lt;='Risk Matrices'!$E$7,'Risk Matrices'!$E$5,IF(ABS(AK279)&lt;='Risk Matrices'!$G$7,'Risk Matrices'!$G$5,IF(ABS(AK279)&lt;='Risk Matrices'!$H$7,'Risk Matrices'!$H$5,'Risk Matrices'!$I$5))))</f>
        <v>Significant</v>
      </c>
      <c r="AR279" s="112" t="str">
        <f>IF(AN279="","",IF(ABS(AN279)&lt;='Risk Matrices'!$E$8,"Negligible",IF(ABS(AN279)&lt;='Risk Matrices'!$F$8,"Marginal",IF(ABS(AN279)&lt;='Risk Matrices'!$G$8,"Significant",IF(ABS(AN279)&lt;='Risk Matrices'!$H$8,"Critical","Crisis")))))</f>
        <v>Negligible</v>
      </c>
      <c r="AS279" s="103" t="s">
        <v>207</v>
      </c>
      <c r="AT279" s="298">
        <f>IF(OR(ISBLANK(AI279),AI279=0),0,VLOOKUP(AP279,'Risk Matrices'!$B$30:$C$34,2,0))</f>
        <v>4</v>
      </c>
      <c r="AU279" s="298">
        <f>IF(OR(ISBLANK(AK279),AK279=0),0,HLOOKUP(AQ279,'Risk Matrices'!$D$28:$H$29,2,0))</f>
        <v>3</v>
      </c>
      <c r="AV279" s="298">
        <f>IF(OR(ISBLANK(AR279),AR279=0),0,HLOOKUP(AR279,'Risk Matrices'!$D$28:$H$29,2,0))</f>
        <v>1</v>
      </c>
      <c r="AW279" s="298">
        <f>IF(OR(ISBLANK(AS279),AS279=0),0,HLOOKUP(AS279,'Risk Matrices'!$D$28:$H$29,2,0))</f>
        <v>1</v>
      </c>
      <c r="AX279" s="106">
        <f t="shared" si="276"/>
        <v>3</v>
      </c>
      <c r="AY279" s="106">
        <f t="shared" si="277"/>
        <v>12</v>
      </c>
      <c r="AZ279" s="107" t="str">
        <f>IF(B279="Retired","Retired",IF(OR(ISBLANK(AY279),AY279=0),"TBD",IF(AY279&lt;='Risk Matrices'!$D$40,'Risk Matrices'!$B$40,IF(AY279&lt;='Risk Matrices'!$D$39,'Risk Matrices'!$B$39,'Risk Matrices'!$B$38))))</f>
        <v>Moderate</v>
      </c>
      <c r="BA279" s="112"/>
      <c r="BB279" s="101" t="s">
        <v>366</v>
      </c>
      <c r="BC279" s="109">
        <f t="shared" si="239"/>
        <v>250</v>
      </c>
      <c r="BD279" s="929">
        <v>45316</v>
      </c>
      <c r="BE279" s="114"/>
      <c r="BF279" s="104"/>
      <c r="BG279" s="115"/>
      <c r="BH279" s="115"/>
      <c r="BI279" s="115"/>
      <c r="BJ279" s="874">
        <f t="shared" si="255"/>
        <v>266.66666666666669</v>
      </c>
      <c r="BK279" s="101"/>
      <c r="BL279" s="101"/>
      <c r="BM279" s="116">
        <v>44012</v>
      </c>
      <c r="BN279" s="330">
        <v>44134</v>
      </c>
      <c r="BO279" s="332"/>
      <c r="BP279" s="94">
        <f>AI279*((AJ279+4*AK279+AL279)/6)</f>
        <v>258.33333333333331</v>
      </c>
      <c r="BQ279" s="97" t="str">
        <f t="shared" si="241"/>
        <v>100 - 500 - 1000</v>
      </c>
      <c r="BR279" s="97" t="str">
        <f t="shared" si="278"/>
        <v>0 - 0 - 1</v>
      </c>
      <c r="BS279" s="715">
        <f t="shared" si="279"/>
        <v>266.66666666666669</v>
      </c>
      <c r="BT279" s="736">
        <f t="shared" si="280"/>
        <v>0.16666666666666666</v>
      </c>
      <c r="BU279" s="735" t="s">
        <v>1861</v>
      </c>
      <c r="BV279" s="873">
        <v>45382</v>
      </c>
      <c r="BW279">
        <f t="shared" si="283"/>
        <v>1248</v>
      </c>
    </row>
    <row r="280" spans="2:75" customFormat="1" ht="39" hidden="1" customHeight="1" x14ac:dyDescent="0.2">
      <c r="B280" s="101" t="str">
        <f t="shared" si="245"/>
        <v>Retired</v>
      </c>
      <c r="C280" s="781" t="s">
        <v>1862</v>
      </c>
      <c r="D280" s="101" t="s">
        <v>151</v>
      </c>
      <c r="E280" s="171" t="s">
        <v>1835</v>
      </c>
      <c r="F280" s="102" t="s">
        <v>124</v>
      </c>
      <c r="G280" s="106" t="s">
        <v>1863</v>
      </c>
      <c r="H280" s="106"/>
      <c r="I280" s="106" t="s">
        <v>1864</v>
      </c>
      <c r="J280" s="106" t="s">
        <v>1837</v>
      </c>
      <c r="K280" s="101" t="s">
        <v>1865</v>
      </c>
      <c r="L280" s="104" t="s">
        <v>1866</v>
      </c>
      <c r="M280" s="103" t="s">
        <v>141</v>
      </c>
      <c r="N280" s="105">
        <v>30000</v>
      </c>
      <c r="O280" s="106" t="str" cm="1">
        <f t="array" ref="O280">_xlfn.IFS(N280="","",ABS(N280)&lt;='Risk Matrices'!$E$7,'Risk Matrices'!$E$5,ABS(N280)&lt;='Risk Matrices'!$F$7,'Risk Matrices'!$F$5,ABS(N280)&lt;='Risk Matrices'!$G$7,'Risk Matrices'!$G$5,ABS(N280)&lt;='Risk Matrices'!$H$7,'Risk Matrices'!$H$5,ABS(N280)&gt;'Risk Matrices'!$H$7,'Risk Matrices'!$I$5)</f>
        <v>Critical</v>
      </c>
      <c r="P280" s="106">
        <v>6</v>
      </c>
      <c r="Q280" s="102" t="s">
        <v>307</v>
      </c>
      <c r="R280" s="102"/>
      <c r="S280" s="106">
        <f t="shared" si="229"/>
        <v>3</v>
      </c>
      <c r="T280" s="106" cm="1">
        <f t="array" ref="T280">_xlfn.IFS(O280='Risk Matrices'!$D$28,'Risk Matrices'!$D$29,O280='Risk Matrices'!$E$28,'Risk Matrices'!$E$29,O280='Risk Matrices'!$F$28,'Risk Matrices'!$F$29,O280='Risk Matrices'!$G$28,'Risk Matrices'!$G$29,O280='Risk Matrices'!$H$28,'Risk Matrices'!$H$29)</f>
        <v>4</v>
      </c>
      <c r="U280" s="106">
        <f t="shared" si="246"/>
        <v>3</v>
      </c>
      <c r="V280" s="106">
        <f t="shared" si="275"/>
        <v>0</v>
      </c>
      <c r="W280" s="106">
        <f t="shared" si="248"/>
        <v>4</v>
      </c>
      <c r="X280" s="106">
        <f t="shared" si="249"/>
        <v>12</v>
      </c>
      <c r="Y280" s="107" t="str">
        <f t="shared" si="250"/>
        <v>Moderate</v>
      </c>
      <c r="Z280" s="104"/>
      <c r="AA280" s="108">
        <f t="shared" si="251"/>
        <v>0.32</v>
      </c>
      <c r="AB280" s="109">
        <f t="shared" si="252"/>
        <v>9600</v>
      </c>
      <c r="AC280" s="109" t="s">
        <v>155</v>
      </c>
      <c r="AD280" s="104" t="s">
        <v>1867</v>
      </c>
      <c r="AE280" s="104"/>
      <c r="AF280" s="110"/>
      <c r="AG280" s="110"/>
      <c r="AH280" s="104"/>
      <c r="AI280" s="112"/>
      <c r="AJ280" s="105"/>
      <c r="AK280" s="105"/>
      <c r="AL280" s="105"/>
      <c r="AM280" s="106"/>
      <c r="AN280" s="106"/>
      <c r="AO280" s="106"/>
      <c r="AP280" s="112" t="str">
        <f>IF(OR(ISBLANK(AI280),AI280=0),"INSERT LIKELIHOOD",IF(ABS(AI280)&lt;='Risk Matrices'!$D$22,'Risk Matrices'!$C$21,IF(ABS(AI280)&lt;='Risk Matrices'!$D$19,'Risk Matrices'!$C$18,IF(ABS(AI280)&lt;='Risk Matrices'!$D$16,'Risk Matrices'!$C$15,IF(ABS(AI280)&lt;='Risk Matrices'!$D$13,'Risk Matrices'!$C$12,'Risk Matrices'!$C$10)))))</f>
        <v>INSERT LIKELIHOOD</v>
      </c>
      <c r="AQ280" s="112" t="str">
        <f>IF(OR(ISBLANK(AK280),AK280=0),"None",IF(ABS(AK280)&lt;='Risk Matrices'!$E$7,'Risk Matrices'!$E$5,IF(ABS(AK280)&lt;='Risk Matrices'!$G$7,'Risk Matrices'!$G$5,IF(ABS(AK280)&lt;='Risk Matrices'!$H$7,'Risk Matrices'!$H$5,'Risk Matrices'!$I$5))))</f>
        <v>None</v>
      </c>
      <c r="AR280" s="112" t="str">
        <f>IF(AN280="","",IF(ABS(AN280)&lt;='Risk Matrices'!$E$8,"Negligible",IF(ABS(AN280)&lt;='Risk Matrices'!$F$8,"Marginal",IF(ABS(AN280)&lt;='Risk Matrices'!$G$8,"Significant",IF(ABS(AN280)&lt;='Risk Matrices'!$H$8,"Critical","Crisis")))))</f>
        <v/>
      </c>
      <c r="AS280" s="103" t="s">
        <v>130</v>
      </c>
      <c r="AT280" s="298">
        <f>IF(OR(ISBLANK(AI280),AI280=0),0,VLOOKUP(AP280,'Risk Matrices'!$B$30:$C$34,2,0))</f>
        <v>0</v>
      </c>
      <c r="AU280" s="298">
        <f>IF(OR(ISBLANK(AK280),AK280=0),0,HLOOKUP(AQ280,'Risk Matrices'!$D$28:$H$29,2,0))</f>
        <v>0</v>
      </c>
      <c r="AV280" s="298" t="e">
        <f>IF(OR(ISBLANK(AR280),AR280=0),0,HLOOKUP(AR280,'Risk Matrices'!$D$28:$H$29,2,0))</f>
        <v>#N/A</v>
      </c>
      <c r="AW280" s="298">
        <f>IF(AS280="None",0,HLOOKUP(AS280,'Risk Matrices'!$D$28:$H$29,2,0))</f>
        <v>0</v>
      </c>
      <c r="AX280" s="106" t="e">
        <f t="shared" si="276"/>
        <v>#N/A</v>
      </c>
      <c r="AY280" s="106" t="e">
        <f t="shared" si="277"/>
        <v>#N/A</v>
      </c>
      <c r="AZ280" s="107" t="str">
        <f>IF(B280="Retired","Retired",IF(OR(ISBLANK(AY280),AY280=0),"TBD",IF(AY280&lt;='Risk Matrices'!$D$40,'Risk Matrices'!$B$40,IF(AY280&lt;='Risk Matrices'!$D$39,'Risk Matrices'!$B$39,'Risk Matrices'!$B$38))))</f>
        <v>Retired</v>
      </c>
      <c r="BA280" s="112"/>
      <c r="BB280" s="113"/>
      <c r="BC280" s="109" t="str">
        <f t="shared" si="239"/>
        <v>Retired</v>
      </c>
      <c r="BD280" s="113"/>
      <c r="BE280" s="114"/>
      <c r="BF280" s="104"/>
      <c r="BG280" s="115" t="s">
        <v>1868</v>
      </c>
      <c r="BH280" s="115"/>
      <c r="BI280" s="115"/>
      <c r="BJ280" s="874">
        <f t="shared" si="255"/>
        <v>0</v>
      </c>
      <c r="BK280" s="101" t="s">
        <v>311</v>
      </c>
      <c r="BL280" s="116">
        <v>44460</v>
      </c>
      <c r="BM280" s="116">
        <v>44012</v>
      </c>
      <c r="BN280" s="330">
        <v>44134</v>
      </c>
      <c r="BO280" s="332"/>
      <c r="BP280" s="94">
        <f>AI280*((2*AJ280+4*AK280+2*AL280)/6)</f>
        <v>0</v>
      </c>
      <c r="BQ280" s="97" t="str">
        <f t="shared" si="241"/>
        <v xml:space="preserve"> -  - </v>
      </c>
      <c r="BR280" s="97" t="str">
        <f t="shared" si="278"/>
        <v xml:space="preserve"> -  - </v>
      </c>
      <c r="BS280" s="715">
        <f t="shared" si="279"/>
        <v>0</v>
      </c>
      <c r="BT280" s="736">
        <f t="shared" si="280"/>
        <v>0</v>
      </c>
      <c r="BU280" s="735" t="s">
        <v>1862</v>
      </c>
    </row>
    <row r="281" spans="2:75" ht="49" hidden="1" customHeight="1" x14ac:dyDescent="0.2">
      <c r="B281" s="101" t="str">
        <f t="shared" si="245"/>
        <v>Retired</v>
      </c>
      <c r="C281" s="110" t="s">
        <v>1869</v>
      </c>
      <c r="D281" s="101" t="s">
        <v>151</v>
      </c>
      <c r="E281" s="171" t="s">
        <v>1835</v>
      </c>
      <c r="F281" s="102" t="s">
        <v>124</v>
      </c>
      <c r="G281" s="106" t="s">
        <v>1863</v>
      </c>
      <c r="H281" s="106"/>
      <c r="I281" s="101" t="s">
        <v>1870</v>
      </c>
      <c r="J281" s="101"/>
      <c r="K281" s="101" t="s">
        <v>1871</v>
      </c>
      <c r="L281" s="104" t="s">
        <v>1872</v>
      </c>
      <c r="M281" s="103" t="s">
        <v>141</v>
      </c>
      <c r="N281" s="105">
        <v>250</v>
      </c>
      <c r="O281" s="106" t="str" cm="1">
        <f t="array" ref="O281">_xlfn.IFS(N281="","",ABS(N281)&lt;='Risk Matrices'!$E$7,'Risk Matrices'!$E$5,ABS(N281)&lt;='Risk Matrices'!$F$7,'Risk Matrices'!$F$5,ABS(N281)&lt;='Risk Matrices'!$G$7,'Risk Matrices'!$G$5,ABS(N281)&lt;='Risk Matrices'!$H$7,'Risk Matrices'!$H$5,ABS(N281)&gt;'Risk Matrices'!$H$7,'Risk Matrices'!$I$5)</f>
        <v>Negligible</v>
      </c>
      <c r="P281" s="101"/>
      <c r="Q281" s="104"/>
      <c r="R281" s="104"/>
      <c r="S281" s="106">
        <f t="shared" si="229"/>
        <v>3</v>
      </c>
      <c r="T281" s="106" cm="1">
        <f t="array" ref="T281">_xlfn.IFS(O281='Risk Matrices'!$D$28,'Risk Matrices'!$D$29,O281='Risk Matrices'!$E$28,'Risk Matrices'!$E$29,O281='Risk Matrices'!$F$28,'Risk Matrices'!$F$29,O281='Risk Matrices'!$G$28,'Risk Matrices'!$G$29,O281='Risk Matrices'!$H$28,'Risk Matrices'!$H$29)</f>
        <v>1</v>
      </c>
      <c r="U281" s="106">
        <f t="shared" si="246"/>
        <v>0</v>
      </c>
      <c r="V281" s="106">
        <f t="shared" si="275"/>
        <v>0</v>
      </c>
      <c r="W281" s="106">
        <f t="shared" si="248"/>
        <v>1</v>
      </c>
      <c r="X281" s="106">
        <f t="shared" si="249"/>
        <v>3</v>
      </c>
      <c r="Y281" s="107" t="str">
        <f t="shared" si="250"/>
        <v>Low</v>
      </c>
      <c r="Z281" s="104"/>
      <c r="AA281" s="108">
        <f t="shared" si="251"/>
        <v>0.32</v>
      </c>
      <c r="AB281" s="109">
        <f t="shared" si="252"/>
        <v>80</v>
      </c>
      <c r="AC281" s="109" t="s">
        <v>155</v>
      </c>
      <c r="AD281" s="189"/>
      <c r="AE281" s="189"/>
      <c r="AF281" s="104"/>
      <c r="AG281" s="104"/>
      <c r="AH281" s="104"/>
      <c r="AI281" s="112"/>
      <c r="AJ281" s="101"/>
      <c r="AK281" s="101"/>
      <c r="AL281" s="101"/>
      <c r="AM281" s="101"/>
      <c r="AN281" s="101"/>
      <c r="AO281" s="104"/>
      <c r="AP281" s="112" t="str">
        <f>IF(OR(ISBLANK(AI281),AI281=0),"INSERT LIKELIHOOD",IF(ABS(AI281)&lt;='Risk Matrices'!$D$22,'Risk Matrices'!$C$21,IF(ABS(AI281)&lt;='Risk Matrices'!$D$19,'Risk Matrices'!$C$18,IF(ABS(AI281)&lt;='Risk Matrices'!$D$16,'Risk Matrices'!$C$15,IF(ABS(AI281)&lt;='Risk Matrices'!$D$13,'Risk Matrices'!$C$12,'Risk Matrices'!$C$10)))))</f>
        <v>INSERT LIKELIHOOD</v>
      </c>
      <c r="AQ281" s="112" t="str">
        <f>IF(OR(ISBLANK(AK281),AK281=0),"None",IF(ABS(AK281)&lt;='Risk Matrices'!$E$7,'Risk Matrices'!$E$5,IF(ABS(AK281)&lt;='Risk Matrices'!$G$7,'Risk Matrices'!$G$5,IF(ABS(AK281)&lt;='Risk Matrices'!$H$7,'Risk Matrices'!$H$5,'Risk Matrices'!$I$5))))</f>
        <v>None</v>
      </c>
      <c r="AR281" s="112" t="str">
        <f>IF(AN281="","",IF(ABS(AN281)&lt;='Risk Matrices'!$E$8,"Negligible",IF(ABS(AN281)&lt;='Risk Matrices'!$F$8,"Marginal",IF(ABS(AN281)&lt;='Risk Matrices'!$G$8,"Significant",IF(ABS(AN281)&lt;='Risk Matrices'!$H$8,"Critical","Crisis")))))</f>
        <v/>
      </c>
      <c r="AS281" s="103" t="s">
        <v>130</v>
      </c>
      <c r="AT281" s="298">
        <f>IF(OR(ISBLANK(AI281),AI281=0),0,VLOOKUP(AP281,'Risk Matrices'!$B$30:$C$34,2,0))</f>
        <v>0</v>
      </c>
      <c r="AU281" s="298">
        <f>IF(OR(ISBLANK(AK281),AK281=0),0,HLOOKUP(AQ281,'Risk Matrices'!$D$28:$H$29,2,0))</f>
        <v>0</v>
      </c>
      <c r="AV281" s="298" t="e">
        <f>IF(OR(ISBLANK(AR281),AR281=0),0,HLOOKUP(AR281,'Risk Matrices'!$D$28:$H$29,2,0))</f>
        <v>#N/A</v>
      </c>
      <c r="AW281" s="298">
        <f>IF(AS281="None",0,HLOOKUP(AS281,'Risk Matrices'!$D$28:$H$29,2,0))</f>
        <v>0</v>
      </c>
      <c r="AX281" s="106" t="e">
        <f t="shared" si="276"/>
        <v>#N/A</v>
      </c>
      <c r="AY281" s="106" t="e">
        <f t="shared" si="277"/>
        <v>#N/A</v>
      </c>
      <c r="AZ281" s="107" t="str">
        <f>IF(B281="Retired","Retired",IF(OR(ISBLANK(AY281),AY281=0),"TBD",IF(AY281&lt;='Risk Matrices'!$D$40,'Risk Matrices'!$B$40,IF(AY281&lt;='Risk Matrices'!$D$39,'Risk Matrices'!$B$39,'Risk Matrices'!$B$38))))</f>
        <v>Retired</v>
      </c>
      <c r="BA281" s="104"/>
      <c r="BB281" s="104"/>
      <c r="BC281" s="109" t="str">
        <f t="shared" si="239"/>
        <v>Retired</v>
      </c>
      <c r="BD281" s="212"/>
      <c r="BE281" s="212"/>
      <c r="BF281" s="212"/>
      <c r="BG281" s="115" t="s">
        <v>1873</v>
      </c>
      <c r="BH281" s="212"/>
      <c r="BI281" s="212"/>
      <c r="BJ281" s="874">
        <f t="shared" si="255"/>
        <v>0</v>
      </c>
      <c r="BK281" s="101" t="s">
        <v>311</v>
      </c>
      <c r="BL281" s="116">
        <v>44460</v>
      </c>
      <c r="BM281" s="116">
        <v>44012</v>
      </c>
      <c r="BN281" s="330">
        <v>44134</v>
      </c>
      <c r="BO281" s="1000"/>
      <c r="BP281" s="94">
        <f>AI281*((2*AJ281+4*AK281+2*AL281)/6)</f>
        <v>0</v>
      </c>
      <c r="BQ281" s="97" t="str">
        <f t="shared" si="241"/>
        <v xml:space="preserve"> -  - </v>
      </c>
      <c r="BR281" s="97" t="str">
        <f t="shared" si="278"/>
        <v xml:space="preserve"> -  - </v>
      </c>
      <c r="BS281" s="715">
        <f t="shared" si="279"/>
        <v>0</v>
      </c>
      <c r="BT281" s="736">
        <f t="shared" si="280"/>
        <v>0</v>
      </c>
      <c r="BU281" s="735" t="s">
        <v>1869</v>
      </c>
    </row>
    <row r="282" spans="2:75" x14ac:dyDescent="0.2">
      <c r="BO282" s="1004"/>
      <c r="BP282" s="1004"/>
      <c r="BQ282" s="737"/>
      <c r="BR282" s="737"/>
      <c r="BS282" s="737"/>
      <c r="BT282" s="737"/>
      <c r="BU282" s="2"/>
    </row>
    <row r="283" spans="2:75" ht="16" x14ac:dyDescent="0.2">
      <c r="AF283" s="925"/>
      <c r="AG283" s="925"/>
      <c r="BO283" s="347"/>
      <c r="BP283" s="347"/>
      <c r="BQ283" s="2"/>
      <c r="BR283" s="2"/>
      <c r="BS283" s="2"/>
      <c r="BT283" s="2"/>
      <c r="BU283" s="2"/>
    </row>
    <row r="284" spans="2:75" x14ac:dyDescent="0.2">
      <c r="BO284" s="347"/>
      <c r="BP284" s="347"/>
      <c r="BQ284" s="2"/>
      <c r="BR284" s="2"/>
      <c r="BS284" s="2"/>
      <c r="BT284" s="2"/>
      <c r="BU284" s="2"/>
    </row>
    <row r="285" spans="2:75" x14ac:dyDescent="0.2">
      <c r="BO285" s="347"/>
      <c r="BP285" s="347"/>
      <c r="BQ285" s="2"/>
      <c r="BR285" s="2"/>
      <c r="BS285" s="2"/>
      <c r="BT285" s="2"/>
      <c r="BU285" s="2"/>
    </row>
    <row r="286" spans="2:75" x14ac:dyDescent="0.2">
      <c r="BO286" s="347"/>
      <c r="BP286" s="347"/>
      <c r="BQ286" s="2"/>
      <c r="BR286" s="2"/>
      <c r="BS286" s="2"/>
      <c r="BT286" s="2"/>
      <c r="BU286" s="2"/>
    </row>
    <row r="287" spans="2:75" x14ac:dyDescent="0.2">
      <c r="BO287" s="347"/>
      <c r="BP287" s="347"/>
      <c r="BQ287" s="2"/>
      <c r="BR287" s="2"/>
      <c r="BS287" s="2"/>
      <c r="BT287" s="2"/>
      <c r="BU287" s="2"/>
    </row>
    <row r="288" spans="2:75" x14ac:dyDescent="0.2">
      <c r="BO288" s="347"/>
      <c r="BP288" s="347"/>
      <c r="BQ288" s="2"/>
      <c r="BR288" s="2"/>
      <c r="BS288" s="2"/>
      <c r="BT288" s="2"/>
      <c r="BU288" s="2"/>
    </row>
    <row r="289" spans="67:73" x14ac:dyDescent="0.2">
      <c r="BO289" s="347"/>
      <c r="BP289" s="347"/>
      <c r="BQ289" s="2"/>
      <c r="BR289" s="2"/>
      <c r="BS289" s="2"/>
      <c r="BT289" s="2"/>
      <c r="BU289" s="2"/>
    </row>
    <row r="290" spans="67:73" x14ac:dyDescent="0.2">
      <c r="BO290" s="347"/>
      <c r="BP290" s="347"/>
      <c r="BQ290" s="2"/>
      <c r="BR290" s="2"/>
      <c r="BS290" s="2"/>
      <c r="BT290" s="2"/>
      <c r="BU290" s="2"/>
    </row>
    <row r="291" spans="67:73" x14ac:dyDescent="0.2">
      <c r="BO291" s="347"/>
      <c r="BP291" s="347"/>
      <c r="BQ291" s="2"/>
      <c r="BR291" s="2"/>
      <c r="BS291" s="2"/>
      <c r="BT291" s="2"/>
      <c r="BU291" s="2"/>
    </row>
    <row r="292" spans="67:73" x14ac:dyDescent="0.2">
      <c r="BO292" s="347"/>
      <c r="BP292" s="347"/>
      <c r="BQ292" s="2"/>
      <c r="BR292" s="2"/>
      <c r="BS292" s="2"/>
      <c r="BT292" s="2"/>
      <c r="BU292" s="2"/>
    </row>
    <row r="293" spans="67:73" x14ac:dyDescent="0.2">
      <c r="BO293" s="347"/>
      <c r="BP293" s="347"/>
      <c r="BQ293" s="2"/>
      <c r="BR293" s="2"/>
      <c r="BS293" s="2"/>
      <c r="BT293" s="2"/>
      <c r="BU293" s="2"/>
    </row>
    <row r="294" spans="67:73" x14ac:dyDescent="0.2">
      <c r="BO294" s="347"/>
      <c r="BP294" s="347"/>
      <c r="BQ294" s="2"/>
      <c r="BR294" s="2"/>
      <c r="BS294" s="2"/>
      <c r="BT294" s="2"/>
      <c r="BU294" s="2"/>
    </row>
    <row r="295" spans="67:73" x14ac:dyDescent="0.2">
      <c r="BO295" s="347"/>
      <c r="BP295" s="347"/>
      <c r="BQ295" s="2"/>
      <c r="BR295" s="2"/>
      <c r="BS295" s="2"/>
      <c r="BT295" s="2"/>
      <c r="BU295" s="2"/>
    </row>
    <row r="296" spans="67:73" x14ac:dyDescent="0.2">
      <c r="BO296" s="347"/>
      <c r="BP296" s="347"/>
      <c r="BQ296" s="2"/>
      <c r="BR296" s="2"/>
      <c r="BS296" s="2"/>
      <c r="BT296" s="2"/>
      <c r="BU296" s="2"/>
    </row>
    <row r="297" spans="67:73" x14ac:dyDescent="0.2">
      <c r="BO297" s="347"/>
      <c r="BP297" s="347"/>
      <c r="BQ297" s="2"/>
      <c r="BR297" s="2"/>
      <c r="BS297" s="2"/>
      <c r="BT297" s="2"/>
      <c r="BU297" s="2"/>
    </row>
    <row r="298" spans="67:73" x14ac:dyDescent="0.2">
      <c r="BO298" s="347"/>
      <c r="BP298" s="347"/>
      <c r="BQ298" s="2"/>
      <c r="BR298" s="2"/>
      <c r="BS298" s="2"/>
      <c r="BT298" s="2"/>
      <c r="BU298" s="2"/>
    </row>
    <row r="299" spans="67:73" x14ac:dyDescent="0.2">
      <c r="BO299" s="347"/>
      <c r="BP299" s="347"/>
      <c r="BQ299" s="2"/>
      <c r="BR299" s="2"/>
      <c r="BS299" s="2"/>
      <c r="BT299" s="2"/>
      <c r="BU299" s="2"/>
    </row>
    <row r="300" spans="67:73" x14ac:dyDescent="0.2">
      <c r="BO300" s="347"/>
      <c r="BP300" s="347"/>
      <c r="BQ300" s="2"/>
      <c r="BR300" s="2"/>
      <c r="BS300" s="2"/>
      <c r="BT300" s="2"/>
      <c r="BU300" s="2"/>
    </row>
    <row r="301" spans="67:73" x14ac:dyDescent="0.2">
      <c r="BO301" s="347"/>
      <c r="BP301" s="347"/>
      <c r="BQ301" s="2"/>
      <c r="BR301" s="2"/>
      <c r="BS301" s="2"/>
      <c r="BT301" s="2"/>
      <c r="BU301" s="2"/>
    </row>
    <row r="302" spans="67:73" x14ac:dyDescent="0.2">
      <c r="BO302" s="347"/>
      <c r="BP302" s="347"/>
      <c r="BQ302" s="2"/>
      <c r="BR302" s="2"/>
      <c r="BS302" s="2"/>
      <c r="BT302" s="2"/>
      <c r="BU302" s="2"/>
    </row>
    <row r="303" spans="67:73" x14ac:dyDescent="0.2">
      <c r="BO303" s="347"/>
      <c r="BP303" s="347"/>
      <c r="BQ303" s="2"/>
      <c r="BR303" s="2"/>
      <c r="BS303" s="2"/>
      <c r="BT303" s="2"/>
      <c r="BU303" s="2"/>
    </row>
    <row r="304" spans="67:73" x14ac:dyDescent="0.2">
      <c r="BO304" s="347"/>
      <c r="BP304" s="347"/>
      <c r="BQ304" s="2"/>
      <c r="BR304" s="2"/>
      <c r="BS304" s="2"/>
      <c r="BT304" s="2"/>
      <c r="BU304" s="2"/>
    </row>
    <row r="305" spans="67:73" x14ac:dyDescent="0.2">
      <c r="BO305" s="347"/>
      <c r="BP305" s="347"/>
      <c r="BQ305" s="2"/>
      <c r="BR305" s="2"/>
      <c r="BS305" s="2"/>
      <c r="BT305" s="2"/>
      <c r="BU305" s="2"/>
    </row>
    <row r="306" spans="67:73" x14ac:dyDescent="0.2">
      <c r="BO306" s="347"/>
      <c r="BP306" s="347"/>
      <c r="BQ306" s="2"/>
      <c r="BR306" s="2"/>
      <c r="BS306" s="2"/>
      <c r="BT306" s="2"/>
      <c r="BU306" s="2"/>
    </row>
    <row r="307" spans="67:73" x14ac:dyDescent="0.2">
      <c r="BO307" s="347"/>
      <c r="BP307" s="347"/>
      <c r="BQ307" s="2"/>
      <c r="BR307" s="2"/>
      <c r="BS307" s="2"/>
      <c r="BT307" s="2"/>
      <c r="BU307" s="2"/>
    </row>
    <row r="308" spans="67:73" x14ac:dyDescent="0.2">
      <c r="BO308" s="347"/>
      <c r="BP308" s="347"/>
      <c r="BQ308" s="2"/>
      <c r="BR308" s="2"/>
      <c r="BS308" s="2"/>
      <c r="BT308" s="2"/>
      <c r="BU308" s="2"/>
    </row>
    <row r="309" spans="67:73" x14ac:dyDescent="0.2">
      <c r="BO309" s="347"/>
      <c r="BP309" s="347"/>
      <c r="BQ309" s="2"/>
      <c r="BR309" s="2"/>
      <c r="BS309" s="2"/>
      <c r="BT309" s="2"/>
      <c r="BU309" s="2"/>
    </row>
    <row r="310" spans="67:73" x14ac:dyDescent="0.2">
      <c r="BO310" s="347"/>
      <c r="BP310" s="347"/>
      <c r="BQ310" s="2"/>
      <c r="BR310" s="2"/>
      <c r="BS310" s="2"/>
      <c r="BT310" s="2"/>
      <c r="BU310" s="2"/>
    </row>
    <row r="311" spans="67:73" x14ac:dyDescent="0.2">
      <c r="BO311" s="347"/>
      <c r="BP311" s="347"/>
      <c r="BQ311" s="2"/>
      <c r="BR311" s="2"/>
      <c r="BS311" s="2"/>
      <c r="BT311" s="2"/>
      <c r="BU311" s="2"/>
    </row>
    <row r="312" spans="67:73" x14ac:dyDescent="0.2">
      <c r="BO312" s="347"/>
      <c r="BP312" s="347"/>
      <c r="BQ312" s="2"/>
      <c r="BR312" s="2"/>
      <c r="BS312" s="2"/>
      <c r="BT312" s="2"/>
      <c r="BU312" s="2"/>
    </row>
    <row r="313" spans="67:73" x14ac:dyDescent="0.2">
      <c r="BO313" s="347"/>
      <c r="BP313" s="347"/>
      <c r="BQ313" s="2"/>
      <c r="BR313" s="2"/>
      <c r="BS313" s="2"/>
      <c r="BT313" s="2"/>
      <c r="BU313" s="2"/>
    </row>
    <row r="314" spans="67:73" x14ac:dyDescent="0.2">
      <c r="BO314" s="347"/>
      <c r="BP314" s="347"/>
      <c r="BQ314" s="2"/>
      <c r="BR314" s="2"/>
      <c r="BS314" s="2"/>
      <c r="BT314" s="2"/>
      <c r="BU314" s="2"/>
    </row>
    <row r="315" spans="67:73" x14ac:dyDescent="0.2">
      <c r="BO315" s="347"/>
      <c r="BP315" s="347"/>
      <c r="BQ315" s="2"/>
      <c r="BR315" s="2"/>
      <c r="BS315" s="2"/>
      <c r="BT315" s="2"/>
      <c r="BU315" s="2"/>
    </row>
    <row r="316" spans="67:73" x14ac:dyDescent="0.2">
      <c r="BO316" s="347"/>
      <c r="BP316" s="347"/>
      <c r="BQ316" s="2"/>
      <c r="BR316" s="2"/>
      <c r="BS316" s="2"/>
      <c r="BT316" s="2"/>
      <c r="BU316" s="2"/>
    </row>
    <row r="317" spans="67:73" x14ac:dyDescent="0.2">
      <c r="BO317" s="347"/>
      <c r="BP317" s="347"/>
      <c r="BQ317" s="2"/>
      <c r="BR317" s="2"/>
      <c r="BS317" s="2"/>
      <c r="BT317" s="2"/>
      <c r="BU317" s="2"/>
    </row>
    <row r="318" spans="67:73" x14ac:dyDescent="0.2">
      <c r="BO318" s="347"/>
      <c r="BP318" s="347"/>
      <c r="BQ318" s="2"/>
      <c r="BR318" s="2"/>
      <c r="BS318" s="2"/>
      <c r="BT318" s="2"/>
      <c r="BU318" s="2"/>
    </row>
    <row r="319" spans="67:73" x14ac:dyDescent="0.2">
      <c r="BO319" s="347"/>
      <c r="BP319" s="347"/>
      <c r="BQ319" s="2"/>
      <c r="BR319" s="2"/>
      <c r="BS319" s="2"/>
      <c r="BT319" s="2"/>
      <c r="BU319" s="2"/>
    </row>
    <row r="320" spans="67:73" x14ac:dyDescent="0.2">
      <c r="BO320" s="347"/>
      <c r="BP320" s="347"/>
      <c r="BQ320" s="2"/>
      <c r="BR320" s="2"/>
      <c r="BS320" s="2"/>
      <c r="BT320" s="2"/>
      <c r="BU320" s="2"/>
    </row>
    <row r="321" spans="67:73" x14ac:dyDescent="0.2">
      <c r="BO321" s="347"/>
      <c r="BP321" s="347"/>
      <c r="BQ321" s="2"/>
      <c r="BR321" s="2"/>
      <c r="BS321" s="2"/>
      <c r="BT321" s="2"/>
      <c r="BU321" s="2"/>
    </row>
    <row r="322" spans="67:73" x14ac:dyDescent="0.2">
      <c r="BO322" s="347"/>
      <c r="BP322" s="347"/>
      <c r="BQ322" s="2"/>
      <c r="BR322" s="2"/>
      <c r="BS322" s="2"/>
      <c r="BT322" s="2"/>
      <c r="BU322" s="2"/>
    </row>
    <row r="323" spans="67:73" x14ac:dyDescent="0.2">
      <c r="BO323" s="347"/>
      <c r="BP323" s="347"/>
      <c r="BQ323" s="2"/>
      <c r="BR323" s="2"/>
      <c r="BS323" s="2"/>
      <c r="BT323" s="2"/>
      <c r="BU323" s="2"/>
    </row>
    <row r="324" spans="67:73" x14ac:dyDescent="0.2">
      <c r="BO324" s="347"/>
      <c r="BP324" s="347"/>
      <c r="BQ324" s="2"/>
      <c r="BR324" s="2"/>
      <c r="BS324" s="2"/>
      <c r="BT324" s="2"/>
      <c r="BU324" s="2"/>
    </row>
    <row r="325" spans="67:73" x14ac:dyDescent="0.2">
      <c r="BO325" s="347"/>
      <c r="BP325" s="347"/>
      <c r="BQ325" s="2"/>
      <c r="BR325" s="2"/>
      <c r="BS325" s="2"/>
      <c r="BT325" s="2"/>
      <c r="BU325" s="2"/>
    </row>
    <row r="326" spans="67:73" x14ac:dyDescent="0.2">
      <c r="BO326" s="347"/>
      <c r="BP326" s="347"/>
      <c r="BQ326" s="2"/>
      <c r="BR326" s="2"/>
      <c r="BS326" s="2"/>
      <c r="BT326" s="2"/>
      <c r="BU326" s="2"/>
    </row>
    <row r="327" spans="67:73" x14ac:dyDescent="0.2">
      <c r="BO327" s="347"/>
      <c r="BP327" s="347"/>
      <c r="BQ327" s="2"/>
      <c r="BR327" s="2"/>
      <c r="BS327" s="2"/>
      <c r="BT327" s="2"/>
      <c r="BU327" s="2"/>
    </row>
    <row r="328" spans="67:73" x14ac:dyDescent="0.2">
      <c r="BO328" s="347"/>
      <c r="BP328" s="347"/>
      <c r="BQ328" s="2"/>
      <c r="BR328" s="2"/>
      <c r="BS328" s="2"/>
      <c r="BT328" s="2"/>
      <c r="BU328" s="2"/>
    </row>
    <row r="329" spans="67:73" x14ac:dyDescent="0.2">
      <c r="BO329" s="347"/>
      <c r="BP329" s="347"/>
      <c r="BQ329" s="2"/>
      <c r="BR329" s="2"/>
      <c r="BS329" s="2"/>
      <c r="BT329" s="2"/>
      <c r="BU329" s="2"/>
    </row>
    <row r="330" spans="67:73" x14ac:dyDescent="0.2">
      <c r="BO330" s="347"/>
      <c r="BP330" s="347"/>
      <c r="BQ330" s="2"/>
      <c r="BR330" s="2"/>
      <c r="BS330" s="2"/>
      <c r="BT330" s="2"/>
      <c r="BU330" s="2"/>
    </row>
    <row r="331" spans="67:73" x14ac:dyDescent="0.2">
      <c r="BO331" s="347"/>
      <c r="BP331" s="347"/>
      <c r="BQ331" s="2"/>
      <c r="BR331" s="2"/>
      <c r="BS331" s="2"/>
      <c r="BT331" s="2"/>
      <c r="BU331" s="2"/>
    </row>
    <row r="332" spans="67:73" x14ac:dyDescent="0.2">
      <c r="BO332" s="347"/>
      <c r="BP332" s="347"/>
      <c r="BQ332" s="2"/>
      <c r="BR332" s="2"/>
      <c r="BS332" s="2"/>
      <c r="BT332" s="2"/>
      <c r="BU332" s="2"/>
    </row>
    <row r="333" spans="67:73" x14ac:dyDescent="0.2">
      <c r="BO333" s="347"/>
      <c r="BP333" s="347"/>
      <c r="BQ333" s="2"/>
      <c r="BR333" s="2"/>
      <c r="BS333" s="2"/>
      <c r="BT333" s="2"/>
      <c r="BU333" s="2"/>
    </row>
    <row r="334" spans="67:73" x14ac:dyDescent="0.2">
      <c r="BO334" s="347"/>
      <c r="BP334" s="347"/>
      <c r="BQ334" s="2"/>
      <c r="BR334" s="2"/>
      <c r="BS334" s="2"/>
      <c r="BT334" s="2"/>
      <c r="BU334" s="2"/>
    </row>
    <row r="335" spans="67:73" x14ac:dyDescent="0.2">
      <c r="BO335" s="347"/>
      <c r="BP335" s="347"/>
      <c r="BQ335" s="2"/>
      <c r="BR335" s="2"/>
      <c r="BS335" s="2"/>
      <c r="BT335" s="2"/>
      <c r="BU335" s="2"/>
    </row>
    <row r="336" spans="67:73" x14ac:dyDescent="0.2">
      <c r="BO336" s="347"/>
      <c r="BP336" s="347"/>
      <c r="BQ336" s="2"/>
      <c r="BR336" s="2"/>
      <c r="BS336" s="2"/>
      <c r="BT336" s="2"/>
      <c r="BU336" s="2"/>
    </row>
    <row r="337" spans="67:73" x14ac:dyDescent="0.2">
      <c r="BO337" s="347"/>
      <c r="BP337" s="347"/>
      <c r="BQ337" s="2"/>
      <c r="BR337" s="2"/>
      <c r="BS337" s="2"/>
      <c r="BT337" s="2"/>
      <c r="BU337" s="2"/>
    </row>
    <row r="338" spans="67:73" x14ac:dyDescent="0.2">
      <c r="BO338" s="347"/>
      <c r="BP338" s="347"/>
      <c r="BQ338" s="2"/>
      <c r="BR338" s="2"/>
      <c r="BS338" s="2"/>
      <c r="BT338" s="2"/>
      <c r="BU338" s="2"/>
    </row>
    <row r="339" spans="67:73" x14ac:dyDescent="0.2">
      <c r="BO339" s="347"/>
      <c r="BP339" s="347"/>
      <c r="BQ339" s="2"/>
      <c r="BR339" s="2"/>
      <c r="BS339" s="2"/>
      <c r="BT339" s="2"/>
      <c r="BU339" s="2"/>
    </row>
    <row r="340" spans="67:73" x14ac:dyDescent="0.2">
      <c r="BO340" s="347"/>
      <c r="BP340" s="347"/>
      <c r="BQ340" s="2"/>
      <c r="BR340" s="2"/>
      <c r="BS340" s="2"/>
      <c r="BT340" s="2"/>
      <c r="BU340" s="2"/>
    </row>
    <row r="341" spans="67:73" x14ac:dyDescent="0.2">
      <c r="BO341" s="347"/>
      <c r="BP341" s="347"/>
      <c r="BQ341" s="2"/>
      <c r="BR341" s="2"/>
      <c r="BS341" s="2"/>
      <c r="BT341" s="2"/>
      <c r="BU341" s="2"/>
    </row>
    <row r="342" spans="67:73" x14ac:dyDescent="0.2">
      <c r="BO342" s="347"/>
      <c r="BP342" s="347"/>
      <c r="BQ342" s="2"/>
      <c r="BR342" s="2"/>
      <c r="BS342" s="2"/>
      <c r="BT342" s="2"/>
      <c r="BU342" s="2"/>
    </row>
    <row r="343" spans="67:73" x14ac:dyDescent="0.2">
      <c r="BO343" s="347"/>
      <c r="BP343" s="347"/>
      <c r="BQ343" s="2"/>
      <c r="BR343" s="2"/>
      <c r="BS343" s="2"/>
      <c r="BT343" s="2"/>
      <c r="BU343" s="2"/>
    </row>
    <row r="344" spans="67:73" x14ac:dyDescent="0.2">
      <c r="BO344" s="347"/>
      <c r="BP344" s="347"/>
      <c r="BQ344" s="2"/>
      <c r="BR344" s="2"/>
      <c r="BS344" s="2"/>
      <c r="BT344" s="2"/>
      <c r="BU344" s="2"/>
    </row>
    <row r="345" spans="67:73" x14ac:dyDescent="0.2">
      <c r="BO345" s="347"/>
      <c r="BP345" s="347"/>
      <c r="BQ345" s="2"/>
      <c r="BR345" s="2"/>
      <c r="BS345" s="2"/>
      <c r="BT345" s="2"/>
      <c r="BU345" s="2"/>
    </row>
    <row r="346" spans="67:73" x14ac:dyDescent="0.2">
      <c r="BO346" s="347"/>
      <c r="BP346" s="347"/>
      <c r="BQ346" s="2"/>
      <c r="BR346" s="2"/>
      <c r="BS346" s="2"/>
      <c r="BT346" s="2"/>
      <c r="BU346" s="2"/>
    </row>
    <row r="347" spans="67:73" x14ac:dyDescent="0.2">
      <c r="BO347" s="347"/>
      <c r="BP347" s="347"/>
      <c r="BQ347" s="2"/>
      <c r="BR347" s="2"/>
      <c r="BS347" s="2"/>
      <c r="BT347" s="2"/>
      <c r="BU347" s="2"/>
    </row>
    <row r="348" spans="67:73" x14ac:dyDescent="0.2">
      <c r="BO348" s="347"/>
      <c r="BP348" s="347"/>
      <c r="BQ348" s="2"/>
      <c r="BR348" s="2"/>
      <c r="BS348" s="2"/>
      <c r="BT348" s="2"/>
      <c r="BU348" s="2"/>
    </row>
    <row r="349" spans="67:73" x14ac:dyDescent="0.2">
      <c r="BO349" s="347"/>
      <c r="BP349" s="347"/>
      <c r="BQ349" s="2"/>
      <c r="BR349" s="2"/>
      <c r="BS349" s="2"/>
      <c r="BT349" s="2"/>
      <c r="BU349" s="2"/>
    </row>
    <row r="350" spans="67:73" x14ac:dyDescent="0.2">
      <c r="BO350" s="347"/>
      <c r="BP350" s="347"/>
      <c r="BQ350" s="2"/>
      <c r="BR350" s="2"/>
      <c r="BS350" s="2"/>
      <c r="BT350" s="2"/>
      <c r="BU350" s="2"/>
    </row>
    <row r="351" spans="67:73" x14ac:dyDescent="0.2">
      <c r="BO351" s="347"/>
      <c r="BP351" s="347"/>
      <c r="BQ351" s="2"/>
      <c r="BR351" s="2"/>
      <c r="BS351" s="2"/>
      <c r="BT351" s="2"/>
      <c r="BU351" s="2"/>
    </row>
    <row r="352" spans="67:73" x14ac:dyDescent="0.2">
      <c r="BO352" s="347"/>
      <c r="BP352" s="347"/>
      <c r="BQ352" s="2"/>
      <c r="BR352" s="2"/>
      <c r="BS352" s="2"/>
      <c r="BT352" s="2"/>
      <c r="BU352" s="2"/>
    </row>
    <row r="353" spans="67:73" x14ac:dyDescent="0.2">
      <c r="BO353" s="347"/>
      <c r="BP353" s="347"/>
      <c r="BQ353" s="2"/>
      <c r="BR353" s="2"/>
      <c r="BS353" s="2"/>
      <c r="BT353" s="2"/>
      <c r="BU353" s="2"/>
    </row>
    <row r="354" spans="67:73" x14ac:dyDescent="0.2">
      <c r="BO354" s="347"/>
      <c r="BP354" s="347"/>
      <c r="BQ354" s="2"/>
      <c r="BR354" s="2"/>
      <c r="BS354" s="2"/>
      <c r="BT354" s="2"/>
      <c r="BU354" s="2"/>
    </row>
    <row r="355" spans="67:73" x14ac:dyDescent="0.2">
      <c r="BO355" s="347"/>
      <c r="BP355" s="347"/>
      <c r="BQ355" s="2"/>
      <c r="BR355" s="2"/>
      <c r="BS355" s="2"/>
      <c r="BT355" s="2"/>
      <c r="BU355" s="2"/>
    </row>
    <row r="356" spans="67:73" x14ac:dyDescent="0.2">
      <c r="BO356" s="347"/>
      <c r="BP356" s="347"/>
      <c r="BQ356" s="2"/>
      <c r="BR356" s="2"/>
      <c r="BS356" s="2"/>
      <c r="BT356" s="2"/>
      <c r="BU356" s="2"/>
    </row>
    <row r="357" spans="67:73" x14ac:dyDescent="0.2">
      <c r="BO357" s="347"/>
      <c r="BP357" s="347"/>
      <c r="BQ357" s="2"/>
      <c r="BR357" s="2"/>
      <c r="BS357" s="2"/>
      <c r="BT357" s="2"/>
      <c r="BU357" s="2"/>
    </row>
    <row r="358" spans="67:73" x14ac:dyDescent="0.2">
      <c r="BO358" s="347"/>
      <c r="BP358" s="347"/>
      <c r="BQ358" s="2"/>
      <c r="BR358" s="2"/>
      <c r="BS358" s="2"/>
      <c r="BT358" s="2"/>
      <c r="BU358" s="2"/>
    </row>
    <row r="359" spans="67:73" x14ac:dyDescent="0.2">
      <c r="BO359" s="347"/>
      <c r="BP359" s="347"/>
      <c r="BQ359" s="2"/>
      <c r="BR359" s="2"/>
      <c r="BS359" s="2"/>
      <c r="BT359" s="2"/>
      <c r="BU359" s="2"/>
    </row>
    <row r="360" spans="67:73" x14ac:dyDescent="0.2">
      <c r="BO360" s="347"/>
      <c r="BP360" s="347"/>
      <c r="BQ360" s="2"/>
      <c r="BR360" s="2"/>
      <c r="BS360" s="2"/>
      <c r="BT360" s="2"/>
      <c r="BU360" s="2"/>
    </row>
    <row r="361" spans="67:73" x14ac:dyDescent="0.2">
      <c r="BO361" s="347"/>
      <c r="BP361" s="347"/>
      <c r="BQ361" s="2"/>
      <c r="BR361" s="2"/>
      <c r="BS361" s="2"/>
      <c r="BT361" s="2"/>
      <c r="BU361" s="2"/>
    </row>
    <row r="362" spans="67:73" x14ac:dyDescent="0.2">
      <c r="BO362" s="347"/>
      <c r="BP362" s="347"/>
      <c r="BQ362" s="2"/>
      <c r="BR362" s="2"/>
      <c r="BS362" s="2"/>
      <c r="BT362" s="2"/>
      <c r="BU362" s="2"/>
    </row>
    <row r="363" spans="67:73" x14ac:dyDescent="0.2">
      <c r="BO363" s="347"/>
      <c r="BP363" s="347"/>
      <c r="BQ363" s="2"/>
      <c r="BR363" s="2"/>
      <c r="BS363" s="2"/>
      <c r="BT363" s="2"/>
      <c r="BU363" s="2"/>
    </row>
    <row r="364" spans="67:73" x14ac:dyDescent="0.2">
      <c r="BO364" s="347"/>
      <c r="BP364" s="347"/>
      <c r="BQ364" s="2"/>
      <c r="BR364" s="2"/>
      <c r="BS364" s="2"/>
      <c r="BT364" s="2"/>
      <c r="BU364" s="2"/>
    </row>
    <row r="365" spans="67:73" x14ac:dyDescent="0.2">
      <c r="BO365" s="347"/>
      <c r="BP365" s="347"/>
      <c r="BQ365" s="2"/>
      <c r="BR365" s="2"/>
      <c r="BS365" s="2"/>
      <c r="BT365" s="2"/>
      <c r="BU365" s="2"/>
    </row>
    <row r="366" spans="67:73" x14ac:dyDescent="0.2">
      <c r="BO366" s="347"/>
      <c r="BP366" s="347"/>
      <c r="BQ366" s="2"/>
      <c r="BR366" s="2"/>
      <c r="BS366" s="2"/>
      <c r="BT366" s="2"/>
      <c r="BU366" s="2"/>
    </row>
    <row r="367" spans="67:73" x14ac:dyDescent="0.2">
      <c r="BO367" s="1005"/>
      <c r="BP367" s="1005"/>
      <c r="BQ367" s="738"/>
      <c r="BR367" s="738"/>
      <c r="BS367" s="738"/>
      <c r="BT367" s="738"/>
      <c r="BU367" s="2"/>
    </row>
    <row r="368" spans="67:73" x14ac:dyDescent="0.2">
      <c r="BU368" s="2"/>
    </row>
    <row r="369" spans="73:73" x14ac:dyDescent="0.2">
      <c r="BU369" s="2"/>
    </row>
    <row r="370" spans="73:73" x14ac:dyDescent="0.2">
      <c r="BU370" s="2"/>
    </row>
    <row r="371" spans="73:73" x14ac:dyDescent="0.2">
      <c r="BU371" s="2"/>
    </row>
    <row r="372" spans="73:73" x14ac:dyDescent="0.2">
      <c r="BU372" s="2"/>
    </row>
    <row r="373" spans="73:73" x14ac:dyDescent="0.2">
      <c r="BU373" s="2"/>
    </row>
    <row r="374" spans="73:73" x14ac:dyDescent="0.2">
      <c r="BU374" s="2"/>
    </row>
    <row r="375" spans="73:73" x14ac:dyDescent="0.2">
      <c r="BU375" s="2"/>
    </row>
    <row r="376" spans="73:73" x14ac:dyDescent="0.2">
      <c r="BU376" s="2"/>
    </row>
    <row r="377" spans="73:73" x14ac:dyDescent="0.2">
      <c r="BU377" s="2"/>
    </row>
    <row r="378" spans="73:73" x14ac:dyDescent="0.2">
      <c r="BU378" s="2"/>
    </row>
    <row r="379" spans="73:73" x14ac:dyDescent="0.2">
      <c r="BU379" s="2"/>
    </row>
    <row r="380" spans="73:73" x14ac:dyDescent="0.2">
      <c r="BU380" s="2"/>
    </row>
    <row r="381" spans="73:73" x14ac:dyDescent="0.2">
      <c r="BU381" s="2"/>
    </row>
    <row r="382" spans="73:73" x14ac:dyDescent="0.2">
      <c r="BU382" s="2"/>
    </row>
    <row r="383" spans="73:73" x14ac:dyDescent="0.2">
      <c r="BU383" s="2"/>
    </row>
    <row r="384" spans="73:73" x14ac:dyDescent="0.2">
      <c r="BU384" s="2"/>
    </row>
    <row r="385" spans="73:73" x14ac:dyDescent="0.2">
      <c r="BU385" s="2"/>
    </row>
    <row r="386" spans="73:73" x14ac:dyDescent="0.2">
      <c r="BU386" s="2"/>
    </row>
    <row r="387" spans="73:73" x14ac:dyDescent="0.2">
      <c r="BU387" s="2"/>
    </row>
    <row r="388" spans="73:73" x14ac:dyDescent="0.2">
      <c r="BU388" s="2"/>
    </row>
    <row r="389" spans="73:73" x14ac:dyDescent="0.2">
      <c r="BU389" s="2"/>
    </row>
    <row r="390" spans="73:73" x14ac:dyDescent="0.2">
      <c r="BU390" s="2"/>
    </row>
    <row r="391" spans="73:73" x14ac:dyDescent="0.2">
      <c r="BU391" s="2"/>
    </row>
    <row r="392" spans="73:73" x14ac:dyDescent="0.2">
      <c r="BU392" s="2"/>
    </row>
    <row r="393" spans="73:73" x14ac:dyDescent="0.2">
      <c r="BU393" s="2"/>
    </row>
    <row r="394" spans="73:73" x14ac:dyDescent="0.2">
      <c r="BU394" s="2"/>
    </row>
    <row r="395" spans="73:73" x14ac:dyDescent="0.2">
      <c r="BU395" s="2"/>
    </row>
    <row r="396" spans="73:73" x14ac:dyDescent="0.2">
      <c r="BU396" s="2"/>
    </row>
    <row r="397" spans="73:73" x14ac:dyDescent="0.2">
      <c r="BU397" s="2"/>
    </row>
    <row r="398" spans="73:73" x14ac:dyDescent="0.2">
      <c r="BU398" s="2"/>
    </row>
    <row r="399" spans="73:73" x14ac:dyDescent="0.2">
      <c r="BU399" s="2"/>
    </row>
    <row r="400" spans="73:73" x14ac:dyDescent="0.2">
      <c r="BU400" s="2"/>
    </row>
    <row r="401" spans="73:73" x14ac:dyDescent="0.2">
      <c r="BU401" s="2"/>
    </row>
    <row r="402" spans="73:73" x14ac:dyDescent="0.2">
      <c r="BU402" s="2"/>
    </row>
    <row r="403" spans="73:73" x14ac:dyDescent="0.2">
      <c r="BU403" s="2"/>
    </row>
    <row r="404" spans="73:73" x14ac:dyDescent="0.2">
      <c r="BU404" s="2"/>
    </row>
    <row r="405" spans="73:73" x14ac:dyDescent="0.2">
      <c r="BU405" s="2"/>
    </row>
    <row r="406" spans="73:73" x14ac:dyDescent="0.2">
      <c r="BU406" s="2"/>
    </row>
    <row r="407" spans="73:73" x14ac:dyDescent="0.2">
      <c r="BU407" s="2"/>
    </row>
    <row r="408" spans="73:73" x14ac:dyDescent="0.2">
      <c r="BU408" s="2"/>
    </row>
    <row r="409" spans="73:73" x14ac:dyDescent="0.2">
      <c r="BU409" s="2"/>
    </row>
    <row r="410" spans="73:73" x14ac:dyDescent="0.2">
      <c r="BU410" s="2"/>
    </row>
    <row r="411" spans="73:73" x14ac:dyDescent="0.2">
      <c r="BU411" s="2"/>
    </row>
    <row r="412" spans="73:73" x14ac:dyDescent="0.2">
      <c r="BU412" s="2"/>
    </row>
    <row r="413" spans="73:73" x14ac:dyDescent="0.2">
      <c r="BU413" s="2"/>
    </row>
    <row r="414" spans="73:73" x14ac:dyDescent="0.2">
      <c r="BU414" s="2"/>
    </row>
    <row r="415" spans="73:73" x14ac:dyDescent="0.2">
      <c r="BU415" s="2"/>
    </row>
    <row r="416" spans="73:73" x14ac:dyDescent="0.2">
      <c r="BU416" s="2"/>
    </row>
    <row r="417" spans="73:73" x14ac:dyDescent="0.2">
      <c r="BU417" s="2"/>
    </row>
    <row r="418" spans="73:73" x14ac:dyDescent="0.2">
      <c r="BU418" s="2"/>
    </row>
    <row r="419" spans="73:73" x14ac:dyDescent="0.2">
      <c r="BU419" s="2"/>
    </row>
    <row r="420" spans="73:73" x14ac:dyDescent="0.2">
      <c r="BU420" s="2"/>
    </row>
    <row r="421" spans="73:73" x14ac:dyDescent="0.2">
      <c r="BU421" s="2"/>
    </row>
    <row r="422" spans="73:73" x14ac:dyDescent="0.2">
      <c r="BU422" s="2"/>
    </row>
    <row r="423" spans="73:73" x14ac:dyDescent="0.2">
      <c r="BU423" s="2"/>
    </row>
    <row r="424" spans="73:73" x14ac:dyDescent="0.2">
      <c r="BU424" s="2"/>
    </row>
    <row r="425" spans="73:73" x14ac:dyDescent="0.2">
      <c r="BU425" s="2"/>
    </row>
    <row r="426" spans="73:73" x14ac:dyDescent="0.2">
      <c r="BU426" s="2"/>
    </row>
    <row r="427" spans="73:73" x14ac:dyDescent="0.2">
      <c r="BU427" s="2"/>
    </row>
    <row r="428" spans="73:73" x14ac:dyDescent="0.2">
      <c r="BU428" s="2"/>
    </row>
    <row r="429" spans="73:73" x14ac:dyDescent="0.2">
      <c r="BU429" s="2"/>
    </row>
    <row r="430" spans="73:73" x14ac:dyDescent="0.2">
      <c r="BU430" s="2"/>
    </row>
    <row r="431" spans="73:73" x14ac:dyDescent="0.2">
      <c r="BU431" s="2"/>
    </row>
    <row r="432" spans="73:73" x14ac:dyDescent="0.2">
      <c r="BU432" s="2"/>
    </row>
    <row r="433" spans="73:73" x14ac:dyDescent="0.2">
      <c r="BU433" s="2"/>
    </row>
    <row r="434" spans="73:73" x14ac:dyDescent="0.2">
      <c r="BU434" s="2"/>
    </row>
    <row r="435" spans="73:73" x14ac:dyDescent="0.2">
      <c r="BU435" s="2"/>
    </row>
    <row r="436" spans="73:73" x14ac:dyDescent="0.2">
      <c r="BU436" s="2"/>
    </row>
    <row r="437" spans="73:73" x14ac:dyDescent="0.2">
      <c r="BU437" s="2"/>
    </row>
    <row r="438" spans="73:73" x14ac:dyDescent="0.2">
      <c r="BU438" s="2"/>
    </row>
    <row r="439" spans="73:73" x14ac:dyDescent="0.2">
      <c r="BU439" s="2"/>
    </row>
    <row r="440" spans="73:73" x14ac:dyDescent="0.2">
      <c r="BU440" s="2"/>
    </row>
    <row r="441" spans="73:73" x14ac:dyDescent="0.2">
      <c r="BU441" s="2"/>
    </row>
    <row r="442" spans="73:73" x14ac:dyDescent="0.2">
      <c r="BU442" s="2"/>
    </row>
    <row r="443" spans="73:73" x14ac:dyDescent="0.2">
      <c r="BU443" s="2"/>
    </row>
    <row r="444" spans="73:73" x14ac:dyDescent="0.2">
      <c r="BU444" s="2"/>
    </row>
    <row r="445" spans="73:73" x14ac:dyDescent="0.2">
      <c r="BU445" s="2"/>
    </row>
    <row r="446" spans="73:73" x14ac:dyDescent="0.2">
      <c r="BU446" s="2"/>
    </row>
    <row r="447" spans="73:73" x14ac:dyDescent="0.2">
      <c r="BU447" s="2"/>
    </row>
    <row r="448" spans="73:73" x14ac:dyDescent="0.2">
      <c r="BU448" s="2"/>
    </row>
    <row r="449" spans="73:73" x14ac:dyDescent="0.2">
      <c r="BU449" s="2"/>
    </row>
    <row r="450" spans="73:73" x14ac:dyDescent="0.2">
      <c r="BU450" s="2"/>
    </row>
    <row r="451" spans="73:73" x14ac:dyDescent="0.2">
      <c r="BU451" s="2"/>
    </row>
    <row r="452" spans="73:73" x14ac:dyDescent="0.2">
      <c r="BU452" s="2"/>
    </row>
    <row r="453" spans="73:73" x14ac:dyDescent="0.2">
      <c r="BU453" s="2"/>
    </row>
    <row r="454" spans="73:73" x14ac:dyDescent="0.2">
      <c r="BU454" s="2"/>
    </row>
    <row r="455" spans="73:73" x14ac:dyDescent="0.2">
      <c r="BU455" s="2"/>
    </row>
    <row r="456" spans="73:73" x14ac:dyDescent="0.2">
      <c r="BU456" s="2"/>
    </row>
    <row r="457" spans="73:73" x14ac:dyDescent="0.2">
      <c r="BU457" s="2"/>
    </row>
    <row r="458" spans="73:73" x14ac:dyDescent="0.2">
      <c r="BU458" s="2"/>
    </row>
    <row r="459" spans="73:73" x14ac:dyDescent="0.2">
      <c r="BU459" s="2"/>
    </row>
    <row r="460" spans="73:73" x14ac:dyDescent="0.2">
      <c r="BU460" s="2"/>
    </row>
    <row r="461" spans="73:73" x14ac:dyDescent="0.2">
      <c r="BU461" s="2"/>
    </row>
    <row r="462" spans="73:73" x14ac:dyDescent="0.2">
      <c r="BU462" s="2"/>
    </row>
    <row r="463" spans="73:73" x14ac:dyDescent="0.2">
      <c r="BU463" s="2"/>
    </row>
    <row r="464" spans="73:73" x14ac:dyDescent="0.2">
      <c r="BU464" s="2"/>
    </row>
    <row r="465" spans="73:73" x14ac:dyDescent="0.2">
      <c r="BU465" s="2"/>
    </row>
    <row r="466" spans="73:73" x14ac:dyDescent="0.2">
      <c r="BU466" s="2"/>
    </row>
    <row r="467" spans="73:73" x14ac:dyDescent="0.2">
      <c r="BU467" s="2"/>
    </row>
    <row r="468" spans="73:73" x14ac:dyDescent="0.2">
      <c r="BU468" s="2"/>
    </row>
    <row r="469" spans="73:73" x14ac:dyDescent="0.2">
      <c r="BU469" s="2"/>
    </row>
    <row r="470" spans="73:73" x14ac:dyDescent="0.2">
      <c r="BU470" s="2"/>
    </row>
    <row r="471" spans="73:73" x14ac:dyDescent="0.2">
      <c r="BU471" s="2"/>
    </row>
    <row r="472" spans="73:73" x14ac:dyDescent="0.2">
      <c r="BU472" s="2"/>
    </row>
    <row r="473" spans="73:73" x14ac:dyDescent="0.2">
      <c r="BU473" s="2"/>
    </row>
    <row r="474" spans="73:73" x14ac:dyDescent="0.2">
      <c r="BU474" s="2"/>
    </row>
    <row r="475" spans="73:73" x14ac:dyDescent="0.2">
      <c r="BU475" s="2"/>
    </row>
    <row r="476" spans="73:73" x14ac:dyDescent="0.2">
      <c r="BU476" s="2"/>
    </row>
    <row r="477" spans="73:73" x14ac:dyDescent="0.2">
      <c r="BU477" s="2"/>
    </row>
    <row r="478" spans="73:73" x14ac:dyDescent="0.2">
      <c r="BU478" s="2"/>
    </row>
    <row r="479" spans="73:73" x14ac:dyDescent="0.2">
      <c r="BU479" s="2"/>
    </row>
    <row r="480" spans="73:73" x14ac:dyDescent="0.2">
      <c r="BU480" s="2"/>
    </row>
    <row r="481" spans="73:73" x14ac:dyDescent="0.2">
      <c r="BU481" s="2"/>
    </row>
    <row r="482" spans="73:73" x14ac:dyDescent="0.2">
      <c r="BU482" s="2"/>
    </row>
  </sheetData>
  <autoFilter ref="B3:BX281" xr:uid="{AA1CB3E6-5CB6-4A20-8BDC-70F96D7BAADA}">
    <filterColumn colId="0">
      <filters>
        <filter val="Active"/>
      </filters>
    </filterColumn>
    <filterColumn colId="3">
      <filters>
        <filter val="6.10 Detector"/>
      </filters>
    </filterColumn>
  </autoFilter>
  <mergeCells count="5">
    <mergeCell ref="C2:L2"/>
    <mergeCell ref="M2:AB2"/>
    <mergeCell ref="AD2:AG2"/>
    <mergeCell ref="AH2:BC2"/>
    <mergeCell ref="BD2:BH2"/>
  </mergeCells>
  <conditionalFormatting sqref="C5:C14 C16:C22 C26:C281">
    <cfRule type="duplicateValues" dxfId="489" priority="2137"/>
  </conditionalFormatting>
  <conditionalFormatting sqref="C15">
    <cfRule type="duplicateValues" dxfId="488" priority="823"/>
  </conditionalFormatting>
  <conditionalFormatting sqref="C23:C25">
    <cfRule type="duplicateValues" dxfId="487" priority="1306"/>
  </conditionalFormatting>
  <conditionalFormatting sqref="D5:D6 D221">
    <cfRule type="containsText" dxfId="486" priority="835" operator="containsText" text="Opportunity">
      <formula>NOT(ISERROR(SEARCH("Opportunity",D5)))</formula>
    </cfRule>
  </conditionalFormatting>
  <conditionalFormatting sqref="D29:D30">
    <cfRule type="containsText" dxfId="485" priority="1061" operator="containsText" text="Opportunity">
      <formula>NOT(ISERROR(SEARCH("Opportunity",D29)))</formula>
    </cfRule>
  </conditionalFormatting>
  <conditionalFormatting sqref="D39">
    <cfRule type="containsText" dxfId="484" priority="895" operator="containsText" text="Opportunity">
      <formula>NOT(ISERROR(SEARCH("Opportunity",D39)))</formula>
    </cfRule>
  </conditionalFormatting>
  <conditionalFormatting sqref="D49">
    <cfRule type="containsText" dxfId="483" priority="820" operator="containsText" text="Opportunity">
      <formula>NOT(ISERROR(SEARCH("Opportunity",D49)))</formula>
    </cfRule>
  </conditionalFormatting>
  <conditionalFormatting sqref="D59">
    <cfRule type="containsText" dxfId="482" priority="877" operator="containsText" text="Opportunity">
      <formula>NOT(ISERROR(SEARCH("Opportunity",D59)))</formula>
    </cfRule>
  </conditionalFormatting>
  <conditionalFormatting sqref="D79">
    <cfRule type="containsText" dxfId="481" priority="1" operator="containsText" text="Opportunity">
      <formula>NOT(ISERROR(SEARCH("Opportunity",D79)))</formula>
    </cfRule>
  </conditionalFormatting>
  <conditionalFormatting sqref="D89">
    <cfRule type="containsText" dxfId="480" priority="3" operator="containsText" text="Opportunity">
      <formula>NOT(ISERROR(SEARCH("Opportunity",D89)))</formula>
    </cfRule>
  </conditionalFormatting>
  <conditionalFormatting sqref="D98">
    <cfRule type="containsText" dxfId="479" priority="843" operator="containsText" text="Opportunity">
      <formula>NOT(ISERROR(SEARCH("Opportunity",D98)))</formula>
    </cfRule>
  </conditionalFormatting>
  <conditionalFormatting sqref="D108:D109">
    <cfRule type="containsText" dxfId="478" priority="768" operator="containsText" text="Opportunity">
      <formula>NOT(ISERROR(SEARCH("Opportunity",D108)))</formula>
    </cfRule>
  </conditionalFormatting>
  <conditionalFormatting sqref="D198:D202">
    <cfRule type="containsText" dxfId="477" priority="730" operator="containsText" text="Opportunity">
      <formula>NOT(ISERROR(SEARCH("Opportunity",D198)))</formula>
    </cfRule>
  </conditionalFormatting>
  <conditionalFormatting sqref="D227">
    <cfRule type="containsText" dxfId="476" priority="328" operator="containsText" text="Opportunity">
      <formula>NOT(ISERROR(SEARCH("Opportunity",D227)))</formula>
    </cfRule>
  </conditionalFormatting>
  <conditionalFormatting sqref="D235">
    <cfRule type="containsText" dxfId="475" priority="718" operator="containsText" text="Opportunity">
      <formula>NOT(ISERROR(SEARCH("Opportunity",D235)))</formula>
    </cfRule>
  </conditionalFormatting>
  <conditionalFormatting sqref="D238">
    <cfRule type="containsText" dxfId="474" priority="603" operator="containsText" text="Opportunity">
      <formula>NOT(ISERROR(SEARCH("Opportunity",D238)))</formula>
    </cfRule>
  </conditionalFormatting>
  <conditionalFormatting sqref="D271">
    <cfRule type="containsText" dxfId="473" priority="2" operator="containsText" text="Opportunity">
      <formula>NOT(ISERROR(SEARCH("Opportunity",D271)))</formula>
    </cfRule>
  </conditionalFormatting>
  <conditionalFormatting sqref="D274">
    <cfRule type="containsText" dxfId="472" priority="620" operator="containsText" text="Opportunity">
      <formula>NOT(ISERROR(SEARCH("Opportunity",D274)))</formula>
    </cfRule>
  </conditionalFormatting>
  <conditionalFormatting sqref="M4:M6">
    <cfRule type="cellIs" dxfId="471" priority="833" stopIfTrue="1" operator="equal">
      <formula>#REF!</formula>
    </cfRule>
    <cfRule type="cellIs" dxfId="470" priority="832" stopIfTrue="1" operator="equal">
      <formula>#REF!</formula>
    </cfRule>
    <cfRule type="cellIs" dxfId="469" priority="834" stopIfTrue="1" operator="equal">
      <formula>#REF!</formula>
    </cfRule>
    <cfRule type="cellIs" dxfId="468" priority="831" stopIfTrue="1" operator="equal">
      <formula>#REF!</formula>
    </cfRule>
  </conditionalFormatting>
  <conditionalFormatting sqref="M8">
    <cfRule type="cellIs" dxfId="467" priority="829" stopIfTrue="1" operator="equal">
      <formula>#REF!</formula>
    </cfRule>
    <cfRule type="cellIs" dxfId="466" priority="828" stopIfTrue="1" operator="equal">
      <formula>#REF!</formula>
    </cfRule>
    <cfRule type="cellIs" dxfId="465" priority="827" stopIfTrue="1" operator="equal">
      <formula>#REF!</formula>
    </cfRule>
    <cfRule type="cellIs" dxfId="464" priority="826" stopIfTrue="1" operator="equal">
      <formula>#REF!</formula>
    </cfRule>
  </conditionalFormatting>
  <conditionalFormatting sqref="M10:M26">
    <cfRule type="cellIs" dxfId="463" priority="233" stopIfTrue="1" operator="equal">
      <formula>#REF!</formula>
    </cfRule>
    <cfRule type="cellIs" dxfId="462" priority="236" stopIfTrue="1" operator="equal">
      <formula>#REF!</formula>
    </cfRule>
    <cfRule type="cellIs" dxfId="461" priority="235" stopIfTrue="1" operator="equal">
      <formula>#REF!</formula>
    </cfRule>
    <cfRule type="cellIs" dxfId="460" priority="234" stopIfTrue="1" operator="equal">
      <formula>#REF!</formula>
    </cfRule>
  </conditionalFormatting>
  <conditionalFormatting sqref="M28:M70 M72:M78">
    <cfRule type="cellIs" dxfId="459" priority="693" stopIfTrue="1" operator="equal">
      <formula>#REF!</formula>
    </cfRule>
    <cfRule type="cellIs" dxfId="458" priority="692" stopIfTrue="1" operator="equal">
      <formula>#REF!</formula>
    </cfRule>
    <cfRule type="cellIs" dxfId="457" priority="691" stopIfTrue="1" operator="equal">
      <formula>#REF!</formula>
    </cfRule>
    <cfRule type="cellIs" dxfId="456" priority="690" stopIfTrue="1" operator="equal">
      <formula>#REF!</formula>
    </cfRule>
  </conditionalFormatting>
  <conditionalFormatting sqref="M68:M79 M101:M143">
    <cfRule type="cellIs" dxfId="455" priority="351" stopIfTrue="1" operator="equal">
      <formula>#REF!</formula>
    </cfRule>
  </conditionalFormatting>
  <conditionalFormatting sqref="M68:M79">
    <cfRule type="cellIs" dxfId="454" priority="354" stopIfTrue="1" operator="equal">
      <formula>#REF!</formula>
    </cfRule>
    <cfRule type="cellIs" dxfId="453" priority="353" stopIfTrue="1" operator="equal">
      <formula>#REF!</formula>
    </cfRule>
    <cfRule type="cellIs" dxfId="452" priority="352" stopIfTrue="1" operator="equal">
      <formula>#REF!</formula>
    </cfRule>
  </conditionalFormatting>
  <conditionalFormatting sqref="M71:M78">
    <cfRule type="cellIs" dxfId="451" priority="350" stopIfTrue="1" operator="equal">
      <formula>#REF!</formula>
    </cfRule>
    <cfRule type="cellIs" dxfId="450" priority="347" stopIfTrue="1" operator="equal">
      <formula>#REF!</formula>
    </cfRule>
    <cfRule type="cellIs" dxfId="449" priority="348" stopIfTrue="1" operator="equal">
      <formula>#REF!</formula>
    </cfRule>
    <cfRule type="cellIs" dxfId="448" priority="349" stopIfTrue="1" operator="equal">
      <formula>#REF!</formula>
    </cfRule>
  </conditionalFormatting>
  <conditionalFormatting sqref="M80:M100 M102:M107 M117:M119 M131:M137 M155:M161 M164:M172 M180:M187 M227:M237 M239:M252 M216:M224">
    <cfRule type="cellIs" dxfId="447" priority="1087" stopIfTrue="1" operator="equal">
      <formula>#REF!</formula>
    </cfRule>
  </conditionalFormatting>
  <conditionalFormatting sqref="M80:M100 M102:M142 M144:M162 M164:M170 M172:M178 M180:M187 M227:M237">
    <cfRule type="cellIs" dxfId="446" priority="1086" stopIfTrue="1" operator="equal">
      <formula>#REF!</formula>
    </cfRule>
  </conditionalFormatting>
  <conditionalFormatting sqref="M80:M100 M144:M162 M164:M170 M172:M178 M180:M187 M102:M142 M227:M237">
    <cfRule type="cellIs" dxfId="445" priority="1085" stopIfTrue="1" operator="equal">
      <formula>#REF!</formula>
    </cfRule>
  </conditionalFormatting>
  <conditionalFormatting sqref="M81:M83">
    <cfRule type="cellIs" dxfId="444" priority="1135" stopIfTrue="1" operator="equal">
      <formula>#REF!</formula>
    </cfRule>
    <cfRule type="cellIs" dxfId="443" priority="1136" stopIfTrue="1" operator="equal">
      <formula>#REF!</formula>
    </cfRule>
    <cfRule type="cellIs" dxfId="442" priority="1137" stopIfTrue="1" operator="equal">
      <formula>#REF!</formula>
    </cfRule>
  </conditionalFormatting>
  <conditionalFormatting sqref="M84">
    <cfRule type="cellIs" dxfId="441" priority="876" stopIfTrue="1" operator="equal">
      <formula>#REF!</formula>
    </cfRule>
    <cfRule type="cellIs" dxfId="440" priority="865" stopIfTrue="1" operator="equal">
      <formula>#REF!</formula>
    </cfRule>
    <cfRule type="cellIs" dxfId="439" priority="875" stopIfTrue="1" operator="equal">
      <formula>#REF!</formula>
    </cfRule>
    <cfRule type="cellIs" dxfId="438" priority="873" stopIfTrue="1" operator="equal">
      <formula>#REF!</formula>
    </cfRule>
    <cfRule type="cellIs" dxfId="437" priority="872" stopIfTrue="1" operator="equal">
      <formula>#REF!</formula>
    </cfRule>
    <cfRule type="cellIs" dxfId="436" priority="871" stopIfTrue="1" operator="equal">
      <formula>#REF!</formula>
    </cfRule>
    <cfRule type="cellIs" dxfId="435" priority="870" stopIfTrue="1" operator="equal">
      <formula>#REF!</formula>
    </cfRule>
    <cfRule type="cellIs" dxfId="434" priority="869" stopIfTrue="1" operator="equal">
      <formula>#REF!</formula>
    </cfRule>
    <cfRule type="cellIs" dxfId="433" priority="868" stopIfTrue="1" operator="equal">
      <formula>#REF!</formula>
    </cfRule>
    <cfRule type="cellIs" dxfId="432" priority="867" stopIfTrue="1" operator="equal">
      <formula>#REF!</formula>
    </cfRule>
    <cfRule type="cellIs" dxfId="431" priority="866" stopIfTrue="1" operator="equal">
      <formula>#REF!</formula>
    </cfRule>
    <cfRule type="cellIs" dxfId="430" priority="863" stopIfTrue="1" operator="equal">
      <formula>#REF!</formula>
    </cfRule>
    <cfRule type="cellIs" dxfId="429" priority="864" stopIfTrue="1" operator="equal">
      <formula>#REF!</formula>
    </cfRule>
    <cfRule type="cellIs" dxfId="428" priority="874" stopIfTrue="1" operator="equal">
      <formula>#REF!</formula>
    </cfRule>
  </conditionalFormatting>
  <conditionalFormatting sqref="M97">
    <cfRule type="cellIs" dxfId="427" priority="1018" stopIfTrue="1" operator="equal">
      <formula>#REF!</formula>
    </cfRule>
    <cfRule type="cellIs" dxfId="426" priority="1019" stopIfTrue="1" operator="equal">
      <formula>#REF!</formula>
    </cfRule>
    <cfRule type="cellIs" dxfId="425" priority="1017" stopIfTrue="1" operator="equal">
      <formula>#REF!</formula>
    </cfRule>
    <cfRule type="cellIs" dxfId="424" priority="1016" stopIfTrue="1" operator="equal">
      <formula>#REF!</formula>
    </cfRule>
    <cfRule type="cellIs" dxfId="423" priority="1015" stopIfTrue="1" operator="equal">
      <formula>#REF!</formula>
    </cfRule>
    <cfRule type="cellIs" dxfId="422" priority="1004" stopIfTrue="1" operator="equal">
      <formula>#REF!</formula>
    </cfRule>
    <cfRule type="cellIs" dxfId="421" priority="954" stopIfTrue="1" operator="equal">
      <formula>#REF!</formula>
    </cfRule>
    <cfRule type="cellIs" dxfId="420" priority="955" stopIfTrue="1" operator="equal">
      <formula>#REF!</formula>
    </cfRule>
    <cfRule type="cellIs" dxfId="419" priority="956" stopIfTrue="1" operator="equal">
      <formula>#REF!</formula>
    </cfRule>
    <cfRule type="cellIs" dxfId="418" priority="1020" stopIfTrue="1" operator="equal">
      <formula>#REF!</formula>
    </cfRule>
    <cfRule type="cellIs" dxfId="417" priority="1021" stopIfTrue="1" operator="equal">
      <formula>#REF!</formula>
    </cfRule>
  </conditionalFormatting>
  <conditionalFormatting sqref="M101">
    <cfRule type="cellIs" dxfId="416" priority="584" stopIfTrue="1" operator="equal">
      <formula>#REF!</formula>
    </cfRule>
    <cfRule type="cellIs" dxfId="415" priority="583" stopIfTrue="1" operator="equal">
      <formula>#REF!</formula>
    </cfRule>
    <cfRule type="cellIs" dxfId="414" priority="582" stopIfTrue="1" operator="equal">
      <formula>#REF!</formula>
    </cfRule>
  </conditionalFormatting>
  <conditionalFormatting sqref="M109">
    <cfRule type="cellIs" dxfId="413" priority="767" stopIfTrue="1" operator="equal">
      <formula>#REF!</formula>
    </cfRule>
  </conditionalFormatting>
  <conditionalFormatting sqref="M110:M111">
    <cfRule type="cellIs" dxfId="412" priority="932" stopIfTrue="1" operator="equal">
      <formula>#REF!</formula>
    </cfRule>
    <cfRule type="cellIs" dxfId="411" priority="940" stopIfTrue="1" operator="equal">
      <formula>#REF!</formula>
    </cfRule>
    <cfRule type="cellIs" dxfId="410" priority="937" stopIfTrue="1" operator="equal">
      <formula>#REF!</formula>
    </cfRule>
    <cfRule type="cellIs" dxfId="409" priority="936" stopIfTrue="1" operator="equal">
      <formula>#REF!</formula>
    </cfRule>
    <cfRule type="cellIs" dxfId="408" priority="881" stopIfTrue="1" operator="equal">
      <formula>#REF!</formula>
    </cfRule>
    <cfRule type="cellIs" dxfId="407" priority="928" stopIfTrue="1" operator="equal">
      <formula>#REF!</formula>
    </cfRule>
    <cfRule type="cellIs" dxfId="406" priority="929" stopIfTrue="1" operator="equal">
      <formula>#REF!</formula>
    </cfRule>
    <cfRule type="cellIs" dxfId="405" priority="938" stopIfTrue="1" operator="equal">
      <formula>#REF!</formula>
    </cfRule>
    <cfRule type="cellIs" dxfId="404" priority="935" stopIfTrue="1" operator="equal">
      <formula>#REF!</formula>
    </cfRule>
    <cfRule type="cellIs" dxfId="403" priority="934" stopIfTrue="1" operator="equal">
      <formula>#REF!</formula>
    </cfRule>
    <cfRule type="cellIs" dxfId="402" priority="942" stopIfTrue="1" operator="equal">
      <formula>#REF!</formula>
    </cfRule>
    <cfRule type="cellIs" dxfId="401" priority="941" stopIfTrue="1" operator="equal">
      <formula>#REF!</formula>
    </cfRule>
    <cfRule type="cellIs" dxfId="400" priority="933" stopIfTrue="1" operator="equal">
      <formula>#REF!</formula>
    </cfRule>
    <cfRule type="cellIs" dxfId="399" priority="939" stopIfTrue="1" operator="equal">
      <formula>#REF!</formula>
    </cfRule>
    <cfRule type="cellIs" dxfId="398" priority="882" stopIfTrue="1" operator="equal">
      <formula>#REF!</formula>
    </cfRule>
    <cfRule type="cellIs" dxfId="397" priority="880" stopIfTrue="1" operator="equal">
      <formula>#REF!</formula>
    </cfRule>
    <cfRule type="cellIs" dxfId="396" priority="931" stopIfTrue="1" operator="equal">
      <formula>#REF!</formula>
    </cfRule>
    <cfRule type="cellIs" dxfId="395" priority="930" stopIfTrue="1" operator="equal">
      <formula>#REF!</formula>
    </cfRule>
  </conditionalFormatting>
  <conditionalFormatting sqref="M112 M116">
    <cfRule type="cellIs" dxfId="394" priority="1131" stopIfTrue="1" operator="equal">
      <formula>#REF!</formula>
    </cfRule>
    <cfRule type="cellIs" dxfId="393" priority="1130" stopIfTrue="1" operator="equal">
      <formula>#REF!</formula>
    </cfRule>
    <cfRule type="cellIs" dxfId="392" priority="1129" stopIfTrue="1" operator="equal">
      <formula>#REF!</formula>
    </cfRule>
    <cfRule type="cellIs" dxfId="391" priority="1128" stopIfTrue="1" operator="equal">
      <formula>#REF!</formula>
    </cfRule>
  </conditionalFormatting>
  <conditionalFormatting sqref="M113:M115">
    <cfRule type="cellIs" dxfId="390" priority="781" stopIfTrue="1" operator="equal">
      <formula>#REF!</formula>
    </cfRule>
  </conditionalFormatting>
  <conditionalFormatting sqref="M114">
    <cfRule type="cellIs" dxfId="389" priority="779" stopIfTrue="1" operator="equal">
      <formula>#REF!</formula>
    </cfRule>
    <cfRule type="cellIs" dxfId="388" priority="780" stopIfTrue="1" operator="equal">
      <formula>#REF!</formula>
    </cfRule>
  </conditionalFormatting>
  <conditionalFormatting sqref="M117">
    <cfRule type="cellIs" dxfId="387" priority="785" stopIfTrue="1" operator="equal">
      <formula>#REF!</formula>
    </cfRule>
    <cfRule type="cellIs" dxfId="386" priority="783" stopIfTrue="1" operator="equal">
      <formula>#REF!</formula>
    </cfRule>
    <cfRule type="cellIs" dxfId="385" priority="784" stopIfTrue="1" operator="equal">
      <formula>#REF!</formula>
    </cfRule>
  </conditionalFormatting>
  <conditionalFormatting sqref="M119">
    <cfRule type="cellIs" dxfId="384" priority="811" stopIfTrue="1" operator="equal">
      <formula>#REF!</formula>
    </cfRule>
    <cfRule type="cellIs" dxfId="383" priority="809" stopIfTrue="1" operator="equal">
      <formula>#REF!</formula>
    </cfRule>
    <cfRule type="cellIs" dxfId="382" priority="819" stopIfTrue="1" operator="equal">
      <formula>#REF!</formula>
    </cfRule>
    <cfRule type="cellIs" dxfId="381" priority="818" stopIfTrue="1" operator="equal">
      <formula>#REF!</formula>
    </cfRule>
    <cfRule type="cellIs" dxfId="380" priority="817" stopIfTrue="1" operator="equal">
      <formula>#REF!</formula>
    </cfRule>
    <cfRule type="cellIs" dxfId="379" priority="816" stopIfTrue="1" operator="equal">
      <formula>#REF!</formula>
    </cfRule>
    <cfRule type="cellIs" dxfId="378" priority="815" stopIfTrue="1" operator="equal">
      <formula>#REF!</formula>
    </cfRule>
    <cfRule type="cellIs" dxfId="377" priority="814" stopIfTrue="1" operator="equal">
      <formula>#REF!</formula>
    </cfRule>
    <cfRule type="cellIs" dxfId="376" priority="813" stopIfTrue="1" operator="equal">
      <formula>#REF!</formula>
    </cfRule>
    <cfRule type="cellIs" dxfId="375" priority="807" stopIfTrue="1" operator="equal">
      <formula>#REF!</formula>
    </cfRule>
    <cfRule type="cellIs" dxfId="374" priority="794" stopIfTrue="1" operator="equal">
      <formula>#REF!</formula>
    </cfRule>
    <cfRule type="cellIs" dxfId="373" priority="795" stopIfTrue="1" operator="equal">
      <formula>#REF!</formula>
    </cfRule>
    <cfRule type="cellIs" dxfId="372" priority="796" stopIfTrue="1" operator="equal">
      <formula>#REF!</formula>
    </cfRule>
    <cfRule type="cellIs" dxfId="371" priority="808" stopIfTrue="1" operator="equal">
      <formula>#REF!</formula>
    </cfRule>
    <cfRule type="cellIs" dxfId="370" priority="797" stopIfTrue="1" operator="equal">
      <formula>#REF!</formula>
    </cfRule>
    <cfRule type="cellIs" dxfId="369" priority="798" stopIfTrue="1" operator="equal">
      <formula>#REF!</formula>
    </cfRule>
    <cfRule type="cellIs" dxfId="368" priority="799" stopIfTrue="1" operator="equal">
      <formula>#REF!</formula>
    </cfRule>
    <cfRule type="cellIs" dxfId="367" priority="800" stopIfTrue="1" operator="equal">
      <formula>#REF!</formula>
    </cfRule>
    <cfRule type="cellIs" dxfId="366" priority="801" stopIfTrue="1" operator="equal">
      <formula>#REF!</formula>
    </cfRule>
    <cfRule type="cellIs" dxfId="365" priority="802" stopIfTrue="1" operator="equal">
      <formula>#REF!</formula>
    </cfRule>
    <cfRule type="cellIs" dxfId="364" priority="803" stopIfTrue="1" operator="equal">
      <formula>#REF!</formula>
    </cfRule>
    <cfRule type="cellIs" dxfId="363" priority="804" stopIfTrue="1" operator="equal">
      <formula>#REF!</formula>
    </cfRule>
    <cfRule type="cellIs" dxfId="362" priority="812" stopIfTrue="1" operator="equal">
      <formula>#REF!</formula>
    </cfRule>
    <cfRule type="cellIs" dxfId="361" priority="805" stopIfTrue="1" operator="equal">
      <formula>#REF!</formula>
    </cfRule>
    <cfRule type="cellIs" dxfId="360" priority="810" stopIfTrue="1" operator="equal">
      <formula>#REF!</formula>
    </cfRule>
    <cfRule type="cellIs" dxfId="359" priority="806" stopIfTrue="1" operator="equal">
      <formula>#REF!</formula>
    </cfRule>
  </conditionalFormatting>
  <conditionalFormatting sqref="M120:M128">
    <cfRule type="cellIs" dxfId="358" priority="1127" stopIfTrue="1" operator="equal">
      <formula>#REF!</formula>
    </cfRule>
  </conditionalFormatting>
  <conditionalFormatting sqref="M127:M128">
    <cfRule type="cellIs" dxfId="357" priority="661" stopIfTrue="1" operator="equal">
      <formula>#REF!</formula>
    </cfRule>
  </conditionalFormatting>
  <conditionalFormatting sqref="M129:M130">
    <cfRule type="cellIs" dxfId="356" priority="776" stopIfTrue="1" operator="equal">
      <formula>#REF!</formula>
    </cfRule>
    <cfRule type="cellIs" dxfId="355" priority="775" stopIfTrue="1" operator="equal">
      <formula>#REF!</formula>
    </cfRule>
    <cfRule type="cellIs" dxfId="354" priority="777" stopIfTrue="1" operator="equal">
      <formula>#REF!</formula>
    </cfRule>
  </conditionalFormatting>
  <conditionalFormatting sqref="M142:M143">
    <cfRule type="cellIs" dxfId="353" priority="592" stopIfTrue="1" operator="equal">
      <formula>#REF!</formula>
    </cfRule>
    <cfRule type="cellIs" dxfId="352" priority="591" stopIfTrue="1" operator="equal">
      <formula>#REF!</formula>
    </cfRule>
    <cfRule type="cellIs" dxfId="351" priority="590" stopIfTrue="1" operator="equal">
      <formula>#REF!</formula>
    </cfRule>
  </conditionalFormatting>
  <conditionalFormatting sqref="M145">
    <cfRule type="cellIs" dxfId="350" priority="760" stopIfTrue="1" operator="equal">
      <formula>#REF!</formula>
    </cfRule>
    <cfRule type="cellIs" dxfId="349" priority="759" stopIfTrue="1" operator="equal">
      <formula>#REF!</formula>
    </cfRule>
    <cfRule type="cellIs" dxfId="348" priority="758" stopIfTrue="1" operator="equal">
      <formula>#REF!</formula>
    </cfRule>
    <cfRule type="cellIs" dxfId="347" priority="757" stopIfTrue="1" operator="equal">
      <formula>#REF!</formula>
    </cfRule>
  </conditionalFormatting>
  <conditionalFormatting sqref="M161">
    <cfRule type="cellIs" dxfId="346" priority="1006" stopIfTrue="1" operator="equal">
      <formula>#REF!</formula>
    </cfRule>
    <cfRule type="cellIs" dxfId="345" priority="1005" stopIfTrue="1" operator="equal">
      <formula>#REF!</formula>
    </cfRule>
    <cfRule type="cellIs" dxfId="344" priority="1007" stopIfTrue="1" operator="equal">
      <formula>#REF!</formula>
    </cfRule>
    <cfRule type="cellIs" dxfId="343" priority="1008" stopIfTrue="1" operator="equal">
      <formula>#REF!</formula>
    </cfRule>
    <cfRule type="cellIs" dxfId="342" priority="1025" stopIfTrue="1" operator="equal">
      <formula>#REF!</formula>
    </cfRule>
    <cfRule type="cellIs" dxfId="341" priority="1024" stopIfTrue="1" operator="equal">
      <formula>#REF!</formula>
    </cfRule>
    <cfRule type="cellIs" dxfId="340" priority="1022" stopIfTrue="1" operator="equal">
      <formula>#REF!</formula>
    </cfRule>
    <cfRule type="cellIs" dxfId="339" priority="1023" stopIfTrue="1" operator="equal">
      <formula>#REF!</formula>
    </cfRule>
  </conditionalFormatting>
  <conditionalFormatting sqref="M163">
    <cfRule type="cellIs" dxfId="338" priority="148" stopIfTrue="1" operator="equal">
      <formula>#REF!</formula>
    </cfRule>
    <cfRule type="cellIs" dxfId="337" priority="145" stopIfTrue="1" operator="equal">
      <formula>#REF!</formula>
    </cfRule>
    <cfRule type="cellIs" dxfId="336" priority="146" stopIfTrue="1" operator="equal">
      <formula>#REF!</formula>
    </cfRule>
    <cfRule type="cellIs" dxfId="335" priority="147" stopIfTrue="1" operator="equal">
      <formula>#REF!</formula>
    </cfRule>
  </conditionalFormatting>
  <conditionalFormatting sqref="M167:M168">
    <cfRule type="cellIs" dxfId="334" priority="1044" stopIfTrue="1" operator="equal">
      <formula>#REF!</formula>
    </cfRule>
    <cfRule type="cellIs" dxfId="333" priority="1043" stopIfTrue="1" operator="equal">
      <formula>#REF!</formula>
    </cfRule>
    <cfRule type="cellIs" dxfId="332" priority="1042" stopIfTrue="1" operator="equal">
      <formula>#REF!</formula>
    </cfRule>
    <cfRule type="cellIs" dxfId="331" priority="1041" stopIfTrue="1" operator="equal">
      <formula>#REF!</formula>
    </cfRule>
  </conditionalFormatting>
  <conditionalFormatting sqref="M170">
    <cfRule type="cellIs" dxfId="330" priority="756" stopIfTrue="1" operator="equal">
      <formula>#REF!</formula>
    </cfRule>
  </conditionalFormatting>
  <conditionalFormatting sqref="M170:M172">
    <cfRule type="cellIs" dxfId="329" priority="750" stopIfTrue="1" operator="equal">
      <formula>#REF!</formula>
    </cfRule>
    <cfRule type="cellIs" dxfId="328" priority="751" stopIfTrue="1" operator="equal">
      <formula>#REF!</formula>
    </cfRule>
    <cfRule type="cellIs" dxfId="327" priority="749" stopIfTrue="1" operator="equal">
      <formula>#REF!</formula>
    </cfRule>
  </conditionalFormatting>
  <conditionalFormatting sqref="M172 M180:M181">
    <cfRule type="cellIs" dxfId="326" priority="1065" stopIfTrue="1" operator="equal">
      <formula>#REF!</formula>
    </cfRule>
  </conditionalFormatting>
  <conditionalFormatting sqref="M172">
    <cfRule type="cellIs" dxfId="325" priority="1003" stopIfTrue="1" operator="equal">
      <formula>#REF!</formula>
    </cfRule>
    <cfRule type="cellIs" dxfId="324" priority="1064" stopIfTrue="1" operator="equal">
      <formula>#REF!</formula>
    </cfRule>
    <cfRule type="cellIs" dxfId="323" priority="1063" stopIfTrue="1" operator="equal">
      <formula>#REF!</formula>
    </cfRule>
    <cfRule type="cellIs" dxfId="322" priority="1062" stopIfTrue="1" operator="equal">
      <formula>#REF!</formula>
    </cfRule>
    <cfRule type="cellIs" dxfId="321" priority="1029" stopIfTrue="1" operator="equal">
      <formula>#REF!</formula>
    </cfRule>
    <cfRule type="cellIs" dxfId="320" priority="1030" stopIfTrue="1" operator="equal">
      <formula>#REF!</formula>
    </cfRule>
    <cfRule type="cellIs" dxfId="319" priority="1031" stopIfTrue="1" operator="equal">
      <formula>#REF!</formula>
    </cfRule>
  </conditionalFormatting>
  <conditionalFormatting sqref="M172:M178 M180:M187 M164:M170 M144:M162 M80:M100">
    <cfRule type="cellIs" dxfId="318" priority="1084" stopIfTrue="1" operator="equal">
      <formula>#REF!</formula>
    </cfRule>
  </conditionalFormatting>
  <conditionalFormatting sqref="M174:M179">
    <cfRule type="cellIs" dxfId="317" priority="747" stopIfTrue="1" operator="equal">
      <formula>#REF!</formula>
    </cfRule>
    <cfRule type="cellIs" dxfId="316" priority="746" stopIfTrue="1" operator="equal">
      <formula>#REF!</formula>
    </cfRule>
    <cfRule type="cellIs" dxfId="315" priority="745" stopIfTrue="1" operator="equal">
      <formula>#REF!</formula>
    </cfRule>
    <cfRule type="cellIs" dxfId="314" priority="748" stopIfTrue="1" operator="equal">
      <formula>#REF!</formula>
    </cfRule>
  </conditionalFormatting>
  <conditionalFormatting sqref="M177:M178">
    <cfRule type="cellIs" dxfId="313" priority="744" stopIfTrue="1" operator="equal">
      <formula>#REF!</formula>
    </cfRule>
  </conditionalFormatting>
  <conditionalFormatting sqref="M179:M181">
    <cfRule type="cellIs" dxfId="312" priority="962" stopIfTrue="1" operator="equal">
      <formula>#REF!</formula>
    </cfRule>
    <cfRule type="cellIs" dxfId="311" priority="961" stopIfTrue="1" operator="equal">
      <formula>#REF!</formula>
    </cfRule>
    <cfRule type="cellIs" dxfId="310" priority="963" stopIfTrue="1" operator="equal">
      <formula>#REF!</formula>
    </cfRule>
  </conditionalFormatting>
  <conditionalFormatting sqref="M180:M196 M216:M218">
    <cfRule type="cellIs" dxfId="309" priority="968" stopIfTrue="1" operator="equal">
      <formula>#REF!</formula>
    </cfRule>
  </conditionalFormatting>
  <conditionalFormatting sqref="M185:M187">
    <cfRule type="cellIs" dxfId="308" priority="1120" stopIfTrue="1" operator="equal">
      <formula>#REF!</formula>
    </cfRule>
  </conditionalFormatting>
  <conditionalFormatting sqref="M188:M190 M192:M194">
    <cfRule type="cellIs" dxfId="307" priority="967" stopIfTrue="1" operator="equal">
      <formula>#REF!</formula>
    </cfRule>
  </conditionalFormatting>
  <conditionalFormatting sqref="M188:M190 M192:M196">
    <cfRule type="cellIs" dxfId="306" priority="970" stopIfTrue="1" operator="equal">
      <formula>#REF!</formula>
    </cfRule>
    <cfRule type="cellIs" dxfId="305" priority="969" stopIfTrue="1" operator="equal">
      <formula>#REF!</formula>
    </cfRule>
  </conditionalFormatting>
  <conditionalFormatting sqref="M188:M190">
    <cfRule type="cellIs" dxfId="304" priority="964" stopIfTrue="1" operator="equal">
      <formula>#REF!</formula>
    </cfRule>
    <cfRule type="cellIs" dxfId="303" priority="965" stopIfTrue="1" operator="equal">
      <formula>#REF!</formula>
    </cfRule>
    <cfRule type="cellIs" dxfId="302" priority="966" stopIfTrue="1" operator="equal">
      <formula>#REF!</formula>
    </cfRule>
  </conditionalFormatting>
  <conditionalFormatting sqref="M191">
    <cfRule type="cellIs" dxfId="301" priority="743" stopIfTrue="1" operator="equal">
      <formula>#REF!</formula>
    </cfRule>
    <cfRule type="cellIs" dxfId="300" priority="741" stopIfTrue="1" operator="equal">
      <formula>#REF!</formula>
    </cfRule>
    <cfRule type="cellIs" dxfId="299" priority="742" stopIfTrue="1" operator="equal">
      <formula>#REF!</formula>
    </cfRule>
  </conditionalFormatting>
  <conditionalFormatting sqref="M191:M196 M203:M204">
    <cfRule type="cellIs" dxfId="298" priority="1104" stopIfTrue="1" operator="equal">
      <formula>#REF!</formula>
    </cfRule>
    <cfRule type="cellIs" dxfId="297" priority="1105" stopIfTrue="1" operator="equal">
      <formula>#REF!</formula>
    </cfRule>
  </conditionalFormatting>
  <conditionalFormatting sqref="M191:M196">
    <cfRule type="cellIs" dxfId="296" priority="1103" stopIfTrue="1" operator="equal">
      <formula>#REF!</formula>
    </cfRule>
  </conditionalFormatting>
  <conditionalFormatting sqref="M193:M194">
    <cfRule type="cellIs" dxfId="295" priority="904" stopIfTrue="1" operator="equal">
      <formula>#REF!</formula>
    </cfRule>
    <cfRule type="cellIs" dxfId="294" priority="902" stopIfTrue="1" operator="equal">
      <formula>#REF!</formula>
    </cfRule>
    <cfRule type="cellIs" dxfId="293" priority="903" stopIfTrue="1" operator="equal">
      <formula>#REF!</formula>
    </cfRule>
  </conditionalFormatting>
  <conditionalFormatting sqref="M195:M196 M180:M187 M216 M219:M224 M239:M241 M246:M248 AH120:AI120">
    <cfRule type="cellIs" dxfId="292" priority="1100" stopIfTrue="1" operator="equal">
      <formula>#REF!</formula>
    </cfRule>
  </conditionalFormatting>
  <conditionalFormatting sqref="M195:M196">
    <cfRule type="cellIs" dxfId="291" priority="1095" stopIfTrue="1" operator="equal">
      <formula>#REF!</formula>
    </cfRule>
  </conditionalFormatting>
  <conditionalFormatting sqref="M197">
    <cfRule type="cellIs" dxfId="290" priority="734" stopIfTrue="1" operator="equal">
      <formula>#REF!</formula>
    </cfRule>
    <cfRule type="cellIs" dxfId="289" priority="735" stopIfTrue="1" operator="equal">
      <formula>#REF!</formula>
    </cfRule>
    <cfRule type="cellIs" dxfId="288" priority="736" stopIfTrue="1" operator="equal">
      <formula>#REF!</formula>
    </cfRule>
    <cfRule type="cellIs" dxfId="287" priority="737" stopIfTrue="1" operator="equal">
      <formula>#REF!</formula>
    </cfRule>
    <cfRule type="cellIs" dxfId="286" priority="738" stopIfTrue="1" operator="equal">
      <formula>#REF!</formula>
    </cfRule>
    <cfRule type="cellIs" dxfId="285" priority="739" stopIfTrue="1" operator="equal">
      <formula>#REF!</formula>
    </cfRule>
    <cfRule type="cellIs" dxfId="284" priority="740" stopIfTrue="1" operator="equal">
      <formula>#REF!</formula>
    </cfRule>
  </conditionalFormatting>
  <conditionalFormatting sqref="M198:M200">
    <cfRule type="cellIs" dxfId="283" priority="731" stopIfTrue="1" operator="equal">
      <formula>#REF!</formula>
    </cfRule>
    <cfRule type="cellIs" dxfId="282" priority="732" stopIfTrue="1" operator="equal">
      <formula>#REF!</formula>
    </cfRule>
    <cfRule type="cellIs" dxfId="281" priority="733" stopIfTrue="1" operator="equal">
      <formula>#REF!</formula>
    </cfRule>
  </conditionalFormatting>
  <conditionalFormatting sqref="M201 M195:M196">
    <cfRule type="cellIs" dxfId="280" priority="1066" stopIfTrue="1" operator="equal">
      <formula>#REF!</formula>
    </cfRule>
  </conditionalFormatting>
  <conditionalFormatting sqref="M201">
    <cfRule type="cellIs" dxfId="279" priority="912" stopIfTrue="1" operator="equal">
      <formula>#REF!</formula>
    </cfRule>
    <cfRule type="cellIs" dxfId="278" priority="913" stopIfTrue="1" operator="equal">
      <formula>#REF!</formula>
    </cfRule>
    <cfRule type="cellIs" dxfId="277" priority="911" stopIfTrue="1" operator="equal">
      <formula>#REF!</formula>
    </cfRule>
    <cfRule type="cellIs" dxfId="276" priority="914" stopIfTrue="1" operator="equal">
      <formula>#REF!</formula>
    </cfRule>
    <cfRule type="cellIs" dxfId="275" priority="915" stopIfTrue="1" operator="equal">
      <formula>#REF!</formula>
    </cfRule>
    <cfRule type="cellIs" dxfId="274" priority="916" stopIfTrue="1" operator="equal">
      <formula>#REF!</formula>
    </cfRule>
    <cfRule type="cellIs" dxfId="273" priority="917" stopIfTrue="1" operator="equal">
      <formula>#REF!</formula>
    </cfRule>
    <cfRule type="cellIs" dxfId="272" priority="918" stopIfTrue="1" operator="equal">
      <formula>#REF!</formula>
    </cfRule>
    <cfRule type="cellIs" dxfId="271" priority="1027" stopIfTrue="1" operator="equal">
      <formula>#REF!</formula>
    </cfRule>
    <cfRule type="cellIs" dxfId="270" priority="1028" stopIfTrue="1" operator="equal">
      <formula>#REF!</formula>
    </cfRule>
    <cfRule type="cellIs" dxfId="269" priority="924" stopIfTrue="1" operator="equal">
      <formula>#REF!</formula>
    </cfRule>
    <cfRule type="cellIs" dxfId="268" priority="923" stopIfTrue="1" operator="equal">
      <formula>#REF!</formula>
    </cfRule>
    <cfRule type="cellIs" dxfId="267" priority="922" stopIfTrue="1" operator="equal">
      <formula>#REF!</formula>
    </cfRule>
    <cfRule type="cellIs" dxfId="266" priority="921" stopIfTrue="1" operator="equal">
      <formula>#REF!</formula>
    </cfRule>
    <cfRule type="cellIs" dxfId="265" priority="920" stopIfTrue="1" operator="equal">
      <formula>#REF!</formula>
    </cfRule>
    <cfRule type="cellIs" dxfId="264" priority="919" stopIfTrue="1" operator="equal">
      <formula>#REF!</formula>
    </cfRule>
    <cfRule type="cellIs" dxfId="263" priority="1026" stopIfTrue="1" operator="equal">
      <formula>#REF!</formula>
    </cfRule>
  </conditionalFormatting>
  <conditionalFormatting sqref="M201:M202">
    <cfRule type="cellIs" dxfId="262" priority="927" stopIfTrue="1" operator="equal">
      <formula>#REF!</formula>
    </cfRule>
    <cfRule type="cellIs" dxfId="261" priority="1000" stopIfTrue="1" operator="equal">
      <formula>#REF!</formula>
    </cfRule>
    <cfRule type="cellIs" dxfId="260" priority="926" stopIfTrue="1" operator="equal">
      <formula>#REF!</formula>
    </cfRule>
  </conditionalFormatting>
  <conditionalFormatting sqref="M201:M208">
    <cfRule type="cellIs" dxfId="259" priority="925" stopIfTrue="1" operator="equal">
      <formula>#REF!</formula>
    </cfRule>
  </conditionalFormatting>
  <conditionalFormatting sqref="M201:M214">
    <cfRule type="cellIs" dxfId="258" priority="1002" stopIfTrue="1" operator="equal">
      <formula>#REF!</formula>
    </cfRule>
    <cfRule type="cellIs" dxfId="257" priority="1001" stopIfTrue="1" operator="equal">
      <formula>#REF!</formula>
    </cfRule>
  </conditionalFormatting>
  <conditionalFormatting sqref="M202:M214">
    <cfRule type="cellIs" dxfId="256" priority="999" stopIfTrue="1" operator="equal">
      <formula>#REF!</formula>
    </cfRule>
  </conditionalFormatting>
  <conditionalFormatting sqref="M209">
    <cfRule type="cellIs" dxfId="255" priority="710" stopIfTrue="1" operator="equal">
      <formula>#REF!</formula>
    </cfRule>
  </conditionalFormatting>
  <conditionalFormatting sqref="M209:M218">
    <cfRule type="cellIs" dxfId="254" priority="675" stopIfTrue="1" operator="equal">
      <formula>#REF!</formula>
    </cfRule>
  </conditionalFormatting>
  <conditionalFormatting sqref="M215">
    <cfRule type="cellIs" dxfId="253" priority="685" stopIfTrue="1" operator="equal">
      <formula>#REF!</formula>
    </cfRule>
    <cfRule type="cellIs" dxfId="252" priority="684" stopIfTrue="1" operator="equal">
      <formula>#REF!</formula>
    </cfRule>
    <cfRule type="cellIs" dxfId="251" priority="683" stopIfTrue="1" operator="equal">
      <formula>#REF!</formula>
    </cfRule>
  </conditionalFormatting>
  <conditionalFormatting sqref="M216">
    <cfRule type="cellIs" dxfId="250" priority="676" stopIfTrue="1" operator="equal">
      <formula>#REF!</formula>
    </cfRule>
  </conditionalFormatting>
  <conditionalFormatting sqref="M217:M218">
    <cfRule type="cellIs" dxfId="249" priority="695" stopIfTrue="1" operator="equal">
      <formula>#REF!</formula>
    </cfRule>
    <cfRule type="cellIs" dxfId="248" priority="697" stopIfTrue="1" operator="equal">
      <formula>#REF!</formula>
    </cfRule>
    <cfRule type="cellIs" dxfId="247" priority="698" stopIfTrue="1" operator="equal">
      <formula>#REF!</formula>
    </cfRule>
    <cfRule type="cellIs" dxfId="246" priority="696" stopIfTrue="1" operator="equal">
      <formula>#REF!</formula>
    </cfRule>
  </conditionalFormatting>
  <conditionalFormatting sqref="M222">
    <cfRule type="cellIs" dxfId="245" priority="673" stopIfTrue="1" operator="equal">
      <formula>#REF!</formula>
    </cfRule>
    <cfRule type="cellIs" dxfId="244" priority="674" stopIfTrue="1" operator="equal">
      <formula>#REF!</formula>
    </cfRule>
  </conditionalFormatting>
  <conditionalFormatting sqref="M222:M224">
    <cfRule type="cellIs" dxfId="243" priority="704" stopIfTrue="1" operator="equal">
      <formula>#REF!</formula>
    </cfRule>
  </conditionalFormatting>
  <conditionalFormatting sqref="M223:M224">
    <cfRule type="cellIs" dxfId="242" priority="705" stopIfTrue="1" operator="equal">
      <formula>#REF!</formula>
    </cfRule>
    <cfRule type="cellIs" dxfId="241" priority="706" stopIfTrue="1" operator="equal">
      <formula>#REF!</formula>
    </cfRule>
    <cfRule type="cellIs" dxfId="240" priority="707" stopIfTrue="1" operator="equal">
      <formula>#REF!</formula>
    </cfRule>
  </conditionalFormatting>
  <conditionalFormatting sqref="M225:M226">
    <cfRule type="cellIs" dxfId="239" priority="332" stopIfTrue="1" operator="equal">
      <formula>#REF!</formula>
    </cfRule>
    <cfRule type="cellIs" dxfId="238" priority="330" stopIfTrue="1" operator="equal">
      <formula>#REF!</formula>
    </cfRule>
    <cfRule type="cellIs" dxfId="237" priority="329" stopIfTrue="1" operator="equal">
      <formula>#REF!</formula>
    </cfRule>
    <cfRule type="cellIs" dxfId="236" priority="331" stopIfTrue="1" operator="equal">
      <formula>#REF!</formula>
    </cfRule>
  </conditionalFormatting>
  <conditionalFormatting sqref="M225:M227">
    <cfRule type="cellIs" dxfId="235" priority="333" stopIfTrue="1" operator="equal">
      <formula>#REF!</formula>
    </cfRule>
    <cfRule type="cellIs" dxfId="234" priority="334" stopIfTrue="1" operator="equal">
      <formula>#REF!</formula>
    </cfRule>
    <cfRule type="cellIs" dxfId="233" priority="335" stopIfTrue="1" operator="equal">
      <formula>#REF!</formula>
    </cfRule>
    <cfRule type="cellIs" dxfId="232" priority="336" stopIfTrue="1" operator="equal">
      <formula>#REF!</formula>
    </cfRule>
  </conditionalFormatting>
  <conditionalFormatting sqref="M227">
    <cfRule type="cellIs" dxfId="231" priority="569" stopIfTrue="1" operator="equal">
      <formula>#REF!</formula>
    </cfRule>
    <cfRule type="cellIs" dxfId="230" priority="562" stopIfTrue="1" operator="equal">
      <formula>#REF!</formula>
    </cfRule>
    <cfRule type="cellIs" dxfId="229" priority="563" stopIfTrue="1" operator="equal">
      <formula>#REF!</formula>
    </cfRule>
    <cfRule type="cellIs" dxfId="228" priority="564" stopIfTrue="1" operator="equal">
      <formula>#REF!</formula>
    </cfRule>
    <cfRule type="cellIs" dxfId="227" priority="565" stopIfTrue="1" operator="equal">
      <formula>#REF!</formula>
    </cfRule>
    <cfRule type="cellIs" dxfId="226" priority="566" stopIfTrue="1" operator="equal">
      <formula>#REF!</formula>
    </cfRule>
    <cfRule type="cellIs" dxfId="225" priority="567" stopIfTrue="1" operator="equal">
      <formula>#REF!</formula>
    </cfRule>
    <cfRule type="cellIs" dxfId="224" priority="568" stopIfTrue="1" operator="equal">
      <formula>#REF!</formula>
    </cfRule>
    <cfRule type="cellIs" dxfId="223" priority="561" stopIfTrue="1" operator="equal">
      <formula>#REF!</formula>
    </cfRule>
    <cfRule type="cellIs" dxfId="222" priority="576" stopIfTrue="1" operator="equal">
      <formula>#REF!</formula>
    </cfRule>
    <cfRule type="cellIs" dxfId="221" priority="575" stopIfTrue="1" operator="equal">
      <formula>#REF!</formula>
    </cfRule>
    <cfRule type="cellIs" dxfId="220" priority="574" stopIfTrue="1" operator="equal">
      <formula>#REF!</formula>
    </cfRule>
    <cfRule type="cellIs" dxfId="219" priority="573" stopIfTrue="1" operator="equal">
      <formula>#REF!</formula>
    </cfRule>
    <cfRule type="cellIs" dxfId="218" priority="572" stopIfTrue="1" operator="equal">
      <formula>#REF!</formula>
    </cfRule>
    <cfRule type="cellIs" dxfId="217" priority="571" stopIfTrue="1" operator="equal">
      <formula>#REF!</formula>
    </cfRule>
    <cfRule type="cellIs" dxfId="216" priority="570" stopIfTrue="1" operator="equal">
      <formula>#REF!</formula>
    </cfRule>
  </conditionalFormatting>
  <conditionalFormatting sqref="M227:M233">
    <cfRule type="cellIs" dxfId="215" priority="577" stopIfTrue="1" operator="equal">
      <formula>#REF!</formula>
    </cfRule>
    <cfRule type="cellIs" dxfId="214" priority="578" stopIfTrue="1" operator="equal">
      <formula>#REF!</formula>
    </cfRule>
    <cfRule type="cellIs" dxfId="213" priority="579" stopIfTrue="1" operator="equal">
      <formula>#REF!</formula>
    </cfRule>
    <cfRule type="cellIs" dxfId="212" priority="580" stopIfTrue="1" operator="equal">
      <formula>#REF!</formula>
    </cfRule>
  </conditionalFormatting>
  <conditionalFormatting sqref="M235">
    <cfRule type="cellIs" dxfId="211" priority="724" stopIfTrue="1" operator="equal">
      <formula>#REF!</formula>
    </cfRule>
    <cfRule type="cellIs" dxfId="210" priority="721" stopIfTrue="1" operator="equal">
      <formula>#REF!</formula>
    </cfRule>
    <cfRule type="cellIs" dxfId="209" priority="720" stopIfTrue="1" operator="equal">
      <formula>#REF!</formula>
    </cfRule>
  </conditionalFormatting>
  <conditionalFormatting sqref="M235:M236">
    <cfRule type="cellIs" dxfId="208" priority="727" stopIfTrue="1" operator="equal">
      <formula>#REF!</formula>
    </cfRule>
    <cfRule type="cellIs" dxfId="207" priority="726" stopIfTrue="1" operator="equal">
      <formula>#REF!</formula>
    </cfRule>
    <cfRule type="cellIs" dxfId="206" priority="719" stopIfTrue="1" operator="equal">
      <formula>#REF!</formula>
    </cfRule>
  </conditionalFormatting>
  <conditionalFormatting sqref="M235:M237">
    <cfRule type="cellIs" dxfId="205" priority="725" stopIfTrue="1" operator="equal">
      <formula>#REF!</formula>
    </cfRule>
  </conditionalFormatting>
  <conditionalFormatting sqref="M239 M246:M248">
    <cfRule type="cellIs" dxfId="204" priority="641" stopIfTrue="1" operator="equal">
      <formula>#REF!</formula>
    </cfRule>
  </conditionalFormatting>
  <conditionalFormatting sqref="M239:M241">
    <cfRule type="cellIs" dxfId="203" priority="624" stopIfTrue="1" operator="equal">
      <formula>#REF!</formula>
    </cfRule>
  </conditionalFormatting>
  <conditionalFormatting sqref="M241">
    <cfRule type="cellIs" dxfId="202" priority="621" stopIfTrue="1" operator="equal">
      <formula>#REF!</formula>
    </cfRule>
  </conditionalFormatting>
  <conditionalFormatting sqref="M246:M248 M239">
    <cfRule type="cellIs" dxfId="201" priority="640" stopIfTrue="1" operator="equal">
      <formula>#REF!</formula>
    </cfRule>
  </conditionalFormatting>
  <conditionalFormatting sqref="M246:M248">
    <cfRule type="cellIs" dxfId="200" priority="639" stopIfTrue="1" operator="equal">
      <formula>#REF!</formula>
    </cfRule>
  </conditionalFormatting>
  <conditionalFormatting sqref="M252">
    <cfRule type="cellIs" dxfId="199" priority="1081" stopIfTrue="1" operator="equal">
      <formula>#REF!</formula>
    </cfRule>
    <cfRule type="cellIs" dxfId="198" priority="1082" stopIfTrue="1" operator="equal">
      <formula>#REF!</formula>
    </cfRule>
    <cfRule type="cellIs" dxfId="197" priority="1083" stopIfTrue="1" operator="equal">
      <formula>#REF!</formula>
    </cfRule>
  </conditionalFormatting>
  <conditionalFormatting sqref="M262">
    <cfRule type="cellIs" dxfId="196" priority="596" stopIfTrue="1" operator="equal">
      <formula>#REF!</formula>
    </cfRule>
    <cfRule type="cellIs" dxfId="195" priority="597" stopIfTrue="1" operator="equal">
      <formula>#REF!</formula>
    </cfRule>
    <cfRule type="cellIs" dxfId="194" priority="598" stopIfTrue="1" operator="equal">
      <formula>#REF!</formula>
    </cfRule>
    <cfRule type="cellIs" dxfId="193" priority="599" stopIfTrue="1" operator="equal">
      <formula>#REF!</formula>
    </cfRule>
  </conditionalFormatting>
  <conditionalFormatting sqref="M262:M263">
    <cfRule type="cellIs" dxfId="192" priority="600" stopIfTrue="1" operator="equal">
      <formula>#REF!</formula>
    </cfRule>
    <cfRule type="cellIs" dxfId="191" priority="601" stopIfTrue="1" operator="equal">
      <formula>#REF!</formula>
    </cfRule>
    <cfRule type="cellIs" dxfId="190" priority="602" stopIfTrue="1" operator="equal">
      <formula>#REF!</formula>
    </cfRule>
  </conditionalFormatting>
  <conditionalFormatting sqref="M265">
    <cfRule type="cellIs" dxfId="189" priority="680" stopIfTrue="1" operator="equal">
      <formula>#REF!</formula>
    </cfRule>
    <cfRule type="cellIs" dxfId="188" priority="681" stopIfTrue="1" operator="equal">
      <formula>#REF!</formula>
    </cfRule>
    <cfRule type="cellIs" dxfId="187" priority="677" stopIfTrue="1" operator="equal">
      <formula>#REF!</formula>
    </cfRule>
    <cfRule type="cellIs" dxfId="186" priority="678" stopIfTrue="1" operator="equal">
      <formula>#REF!</formula>
    </cfRule>
  </conditionalFormatting>
  <conditionalFormatting sqref="M268:M269">
    <cfRule type="cellIs" dxfId="185" priority="128" stopIfTrue="1" operator="equal">
      <formula>#REF!</formula>
    </cfRule>
    <cfRule type="cellIs" dxfId="184" priority="127" stopIfTrue="1" operator="equal">
      <formula>#REF!</formula>
    </cfRule>
    <cfRule type="cellIs" dxfId="183" priority="129" stopIfTrue="1" operator="equal">
      <formula>#REF!</formula>
    </cfRule>
  </conditionalFormatting>
  <conditionalFormatting sqref="M270">
    <cfRule type="cellIs" dxfId="182" priority="616" stopIfTrue="1" operator="equal">
      <formula>#REF!</formula>
    </cfRule>
    <cfRule type="cellIs" dxfId="181" priority="614" stopIfTrue="1" operator="equal">
      <formula>#REF!</formula>
    </cfRule>
    <cfRule type="cellIs" dxfId="180" priority="615" stopIfTrue="1" operator="equal">
      <formula>#REF!</formula>
    </cfRule>
  </conditionalFormatting>
  <conditionalFormatting sqref="M271">
    <cfRule type="cellIs" dxfId="179" priority="196" stopIfTrue="1" operator="equal">
      <formula>#REF!</formula>
    </cfRule>
    <cfRule type="cellIs" dxfId="178" priority="194" stopIfTrue="1" operator="equal">
      <formula>#REF!</formula>
    </cfRule>
    <cfRule type="cellIs" dxfId="177" priority="195" stopIfTrue="1" operator="equal">
      <formula>#REF!</formula>
    </cfRule>
  </conditionalFormatting>
  <conditionalFormatting sqref="M272">
    <cfRule type="cellIs" dxfId="176" priority="607" stopIfTrue="1" operator="equal">
      <formula>#REF!</formula>
    </cfRule>
    <cfRule type="cellIs" dxfId="175" priority="604" stopIfTrue="1" operator="equal">
      <formula>#REF!</formula>
    </cfRule>
  </conditionalFormatting>
  <conditionalFormatting sqref="M272:M273">
    <cfRule type="cellIs" dxfId="174" priority="609" stopIfTrue="1" operator="equal">
      <formula>#REF!</formula>
    </cfRule>
    <cfRule type="cellIs" dxfId="173" priority="608" stopIfTrue="1" operator="equal">
      <formula>#REF!</formula>
    </cfRule>
    <cfRule type="cellIs" dxfId="172" priority="610" stopIfTrue="1" operator="equal">
      <formula>#REF!</formula>
    </cfRule>
  </conditionalFormatting>
  <conditionalFormatting sqref="M279">
    <cfRule type="cellIs" dxfId="171" priority="1094" stopIfTrue="1" operator="equal">
      <formula>#REF!</formula>
    </cfRule>
    <cfRule type="cellIs" dxfId="170" priority="1093" stopIfTrue="1" operator="equal">
      <formula>#REF!</formula>
    </cfRule>
    <cfRule type="cellIs" dxfId="169" priority="1092" stopIfTrue="1" operator="equal">
      <formula>#REF!</formula>
    </cfRule>
    <cfRule type="cellIs" dxfId="168" priority="1091" stopIfTrue="1" operator="equal">
      <formula>#REF!</formula>
    </cfRule>
  </conditionalFormatting>
  <conditionalFormatting sqref="M115:N115 P115 R115:S115 U115 W115:X115 AI115">
    <cfRule type="cellIs" dxfId="167" priority="790" stopIfTrue="1" operator="equal">
      <formula>#REF!</formula>
    </cfRule>
    <cfRule type="cellIs" dxfId="166" priority="791" stopIfTrue="1" operator="equal">
      <formula>#REF!</formula>
    </cfRule>
  </conditionalFormatting>
  <conditionalFormatting sqref="M120:N120 P120 R120:S120 U120 W120:X120 Z120:AE120">
    <cfRule type="cellIs" dxfId="165" priority="1126" stopIfTrue="1" operator="equal">
      <formula>#REF!</formula>
    </cfRule>
  </conditionalFormatting>
  <conditionalFormatting sqref="W120:X120 M120:N120 P120 R120:S120 U120 Z120:AE120">
    <cfRule type="cellIs" dxfId="164" priority="1125" stopIfTrue="1" operator="equal">
      <formula>#REF!</formula>
    </cfRule>
  </conditionalFormatting>
  <conditionalFormatting sqref="X71:X78">
    <cfRule type="containsText" dxfId="163" priority="310" stopIfTrue="1" operator="containsText" text="Low">
      <formula>NOT(ISERROR(SEARCH("Low",X71)))</formula>
    </cfRule>
    <cfRule type="containsText" dxfId="162" priority="311" stopIfTrue="1" operator="containsText" text="Negligible">
      <formula>NOT(ISERROR(SEARCH("Negligible",X71)))</formula>
    </cfRule>
  </conditionalFormatting>
  <conditionalFormatting sqref="X71:X79">
    <cfRule type="containsText" dxfId="161" priority="345" stopIfTrue="1" operator="containsText" text="Low">
      <formula>NOT(ISERROR(SEARCH("Low",X71)))</formula>
    </cfRule>
    <cfRule type="containsText" dxfId="160" priority="346" stopIfTrue="1" operator="containsText" text="Negligible">
      <formula>NOT(ISERROR(SEARCH("Negligible",X71)))</formula>
    </cfRule>
  </conditionalFormatting>
  <conditionalFormatting sqref="X97">
    <cfRule type="containsText" dxfId="159" priority="1014" stopIfTrue="1" operator="containsText" text="Low">
      <formula>NOT(ISERROR(SEARCH("Low",X97)))</formula>
    </cfRule>
    <cfRule type="containsText" dxfId="158" priority="1013" stopIfTrue="1" operator="containsText" text="Negligible">
      <formula>NOT(ISERROR(SEARCH("Negligible",X97)))</formula>
    </cfRule>
  </conditionalFormatting>
  <conditionalFormatting sqref="X111:X118 X188:X194 X203:X209 Z211:AB216 Z222 X211 X213:X216 Z188:AC192 AC195:AC197">
    <cfRule type="containsText" dxfId="157" priority="1056" stopIfTrue="1" operator="containsText" text="Negligible">
      <formula>NOT(ISERROR(SEARCH("Negligible",X111)))</formula>
    </cfRule>
  </conditionalFormatting>
  <conditionalFormatting sqref="X120:X125 X196">
    <cfRule type="containsText" dxfId="156" priority="1089" stopIfTrue="1" operator="containsText" text="Negligible">
      <formula>NOT(ISERROR(SEARCH("Negligible",X120)))</formula>
    </cfRule>
    <cfRule type="containsText" dxfId="155" priority="1088" stopIfTrue="1" operator="containsText" text="Low">
      <formula>NOT(ISERROR(SEARCH("Low",X120)))</formula>
    </cfRule>
  </conditionalFormatting>
  <conditionalFormatting sqref="X120:X141 AZ5:AZ281">
    <cfRule type="containsText" dxfId="154" priority="1119" stopIfTrue="1" operator="containsText" text="Negligible">
      <formula>NOT(ISERROR(SEARCH("Negligible",X5)))</formula>
    </cfRule>
  </conditionalFormatting>
  <conditionalFormatting sqref="X126:X128 X131:X136 Z131:AC136">
    <cfRule type="containsText" dxfId="153" priority="1134" stopIfTrue="1" operator="containsText" text="Negligible">
      <formula>NOT(ISERROR(SEARCH("Negligible",X126)))</formula>
    </cfRule>
    <cfRule type="containsText" dxfId="152" priority="1133" stopIfTrue="1" operator="containsText" text="Low">
      <formula>NOT(ISERROR(SEARCH("Low",X126)))</formula>
    </cfRule>
  </conditionalFormatting>
  <conditionalFormatting sqref="X129:X130">
    <cfRule type="containsText" dxfId="151" priority="772" stopIfTrue="1" operator="containsText" text="Low">
      <formula>NOT(ISERROR(SEARCH("Low",X129)))</formula>
    </cfRule>
    <cfRule type="containsText" dxfId="150" priority="773" stopIfTrue="1" operator="containsText" text="Negligible">
      <formula>NOT(ISERROR(SEARCH("Negligible",X129)))</formula>
    </cfRule>
  </conditionalFormatting>
  <conditionalFormatting sqref="X142:X178">
    <cfRule type="containsText" dxfId="149" priority="587" stopIfTrue="1" operator="containsText" text="Low">
      <formula>NOT(ISERROR(SEARCH("Low",X142)))</formula>
    </cfRule>
    <cfRule type="containsText" dxfId="148" priority="588" stopIfTrue="1" operator="containsText" text="Negligible">
      <formula>NOT(ISERROR(SEARCH("Negligible",X142)))</formula>
    </cfRule>
  </conditionalFormatting>
  <conditionalFormatting sqref="X180:X187 X120:X128">
    <cfRule type="containsText" dxfId="147" priority="1117" stopIfTrue="1" operator="containsText" text="Low">
      <formula>NOT(ISERROR(SEARCH("Low",X120)))</formula>
    </cfRule>
  </conditionalFormatting>
  <conditionalFormatting sqref="X180:X194">
    <cfRule type="containsText" dxfId="146" priority="860" stopIfTrue="1" operator="containsText" text="Low">
      <formula>NOT(ISERROR(SEARCH("Low",X180)))</formula>
    </cfRule>
    <cfRule type="containsText" dxfId="145" priority="861" stopIfTrue="1" operator="containsText" text="Negligible">
      <formula>NOT(ISERROR(SEARCH("Negligible",X180)))</formula>
    </cfRule>
  </conditionalFormatting>
  <conditionalFormatting sqref="X183">
    <cfRule type="containsText" dxfId="144" priority="1116" stopIfTrue="1" operator="containsText" text="Negligible">
      <formula>NOT(ISERROR(SEARCH("Negligible",X183)))</formula>
    </cfRule>
    <cfRule type="containsText" dxfId="143" priority="1115" stopIfTrue="1" operator="containsText" text="Low">
      <formula>NOT(ISERROR(SEARCH("Low",X183)))</formula>
    </cfRule>
  </conditionalFormatting>
  <conditionalFormatting sqref="X184:X187">
    <cfRule type="containsText" dxfId="142" priority="1118" stopIfTrue="1" operator="containsText" text="Negligible">
      <formula>NOT(ISERROR(SEARCH("Negligible",X184)))</formula>
    </cfRule>
  </conditionalFormatting>
  <conditionalFormatting sqref="X188:X194 X111:X118 X129:X142 X203:X209 X79 X97 Z211:AB216 Z222">
    <cfRule type="containsText" dxfId="141" priority="1012" stopIfTrue="1" operator="containsText" text="Low">
      <formula>NOT(ISERROR(SEARCH("Low",X79)))</formula>
    </cfRule>
  </conditionalFormatting>
  <conditionalFormatting sqref="X196">
    <cfRule type="containsText" dxfId="140" priority="1106" stopIfTrue="1" operator="containsText" text="Low">
      <formula>NOT(ISERROR(SEARCH("Low",X196)))</formula>
    </cfRule>
    <cfRule type="containsText" dxfId="139" priority="1108" stopIfTrue="1" operator="containsText" text="Negligible">
      <formula>NOT(ISERROR(SEARCH("Negligible",X196)))</formula>
    </cfRule>
  </conditionalFormatting>
  <conditionalFormatting sqref="X209 Z209:AB209">
    <cfRule type="containsText" dxfId="138" priority="711" stopIfTrue="1" operator="containsText" text="Low">
      <formula>NOT(ISERROR(SEARCH("Low",X209)))</formula>
    </cfRule>
    <cfRule type="containsText" dxfId="137" priority="712" stopIfTrue="1" operator="containsText" text="Negligible">
      <formula>NOT(ISERROR(SEARCH("Negligible",X209)))</formula>
    </cfRule>
  </conditionalFormatting>
  <conditionalFormatting sqref="X213:X217 X211">
    <cfRule type="containsText" dxfId="136" priority="701" stopIfTrue="1" operator="containsText" text="Low">
      <formula>NOT(ISERROR(SEARCH("Low",X211)))</formula>
    </cfRule>
  </conditionalFormatting>
  <conditionalFormatting sqref="X217">
    <cfRule type="containsText" dxfId="135" priority="700" stopIfTrue="1" operator="containsText" text="Negligible">
      <formula>NOT(ISERROR(SEARCH("Negligible",X217)))</formula>
    </cfRule>
    <cfRule type="containsText" dxfId="134" priority="699" stopIfTrue="1" operator="containsText" text="Low">
      <formula>NOT(ISERROR(SEARCH("Low",X217)))</formula>
    </cfRule>
  </conditionalFormatting>
  <conditionalFormatting sqref="X235:X236">
    <cfRule type="containsText" dxfId="133" priority="723" stopIfTrue="1" operator="containsText" text="Negligible">
      <formula>NOT(ISERROR(SEARCH("Negligible",X235)))</formula>
    </cfRule>
    <cfRule type="containsText" dxfId="132" priority="722" stopIfTrue="1" operator="containsText" text="Low">
      <formula>NOT(ISERROR(SEARCH("Low",X235)))</formula>
    </cfRule>
  </conditionalFormatting>
  <conditionalFormatting sqref="X235:X237">
    <cfRule type="containsText" dxfId="131" priority="728" stopIfTrue="1" operator="containsText" text="Low">
      <formula>NOT(ISERROR(SEARCH("Low",X235)))</formula>
    </cfRule>
  </conditionalFormatting>
  <conditionalFormatting sqref="X236:X237">
    <cfRule type="containsText" dxfId="130" priority="729" stopIfTrue="1" operator="containsText" text="Negligible">
      <formula>NOT(ISERROR(SEARCH("Negligible",X236)))</formula>
    </cfRule>
  </conditionalFormatting>
  <conditionalFormatting sqref="X241">
    <cfRule type="containsText" dxfId="129" priority="623" stopIfTrue="1" operator="containsText" text="Negligible">
      <formula>NOT(ISERROR(SEARCH("Negligible",X241)))</formula>
    </cfRule>
    <cfRule type="containsText" dxfId="128" priority="622" stopIfTrue="1" operator="containsText" text="Low">
      <formula>NOT(ISERROR(SEARCH("Low",X241)))</formula>
    </cfRule>
  </conditionalFormatting>
  <conditionalFormatting sqref="X272">
    <cfRule type="containsText" dxfId="127" priority="606" stopIfTrue="1" operator="containsText" text="Negligible">
      <formula>NOT(ISERROR(SEARCH("Negligible",X272)))</formula>
    </cfRule>
    <cfRule type="containsText" dxfId="126" priority="605" stopIfTrue="1" operator="containsText" text="Low">
      <formula>NOT(ISERROR(SEARCH("Low",X272)))</formula>
    </cfRule>
  </conditionalFormatting>
  <conditionalFormatting sqref="X4:Y4">
    <cfRule type="containsText" dxfId="125" priority="1076" stopIfTrue="1" operator="containsText" text="Negligible">
      <formula>NOT(ISERROR(SEARCH("Negligible",X4)))</formula>
    </cfRule>
    <cfRule type="containsText" dxfId="124" priority="1075" stopIfTrue="1" operator="containsText" text="Low">
      <formula>NOT(ISERROR(SEARCH("Low",X4)))</formula>
    </cfRule>
  </conditionalFormatting>
  <conditionalFormatting sqref="X26:Y26">
    <cfRule type="containsText" dxfId="123" priority="824" stopIfTrue="1" operator="containsText" text="Low">
      <formula>NOT(ISERROR(SEARCH("Low",X26)))</formula>
    </cfRule>
    <cfRule type="containsText" dxfId="122" priority="825" stopIfTrue="1" operator="containsText" text="Negligible">
      <formula>NOT(ISERROR(SEARCH("Negligible",X26)))</formula>
    </cfRule>
  </conditionalFormatting>
  <conditionalFormatting sqref="X45:AC48 X53:AC53 X55:AC59 X61:AC61 AC54 Z62:AC62">
    <cfRule type="containsText" dxfId="121" priority="1057" stopIfTrue="1" operator="containsText" text="Low">
      <formula>NOT(ISERROR(SEARCH("Low",X45)))</formula>
    </cfRule>
  </conditionalFormatting>
  <conditionalFormatting sqref="X45:AC48 X53:AC53 AC54 X55:AC59 X61:AC61 Z62:AC62">
    <cfRule type="containsText" dxfId="120" priority="1058" stopIfTrue="1" operator="containsText" text="Negligible">
      <formula>NOT(ISERROR(SEARCH("Negligible",X45)))</formula>
    </cfRule>
  </conditionalFormatting>
  <conditionalFormatting sqref="X64:AC64 Z63:AB63">
    <cfRule type="containsText" dxfId="119" priority="1138" stopIfTrue="1" operator="containsText" text="Low">
      <formula>NOT(ISERROR(SEARCH("Low",X63)))</formula>
    </cfRule>
  </conditionalFormatting>
  <conditionalFormatting sqref="X170:AC171">
    <cfRule type="containsText" dxfId="118" priority="512" stopIfTrue="1" operator="containsText" text="Low">
      <formula>NOT(ISERROR(SEARCH("Low",X170)))</formula>
    </cfRule>
    <cfRule type="containsText" dxfId="117" priority="514" stopIfTrue="1" operator="containsText" text="Negligible">
      <formula>NOT(ISERROR(SEARCH("Negligible",X170)))</formula>
    </cfRule>
  </conditionalFormatting>
  <conditionalFormatting sqref="Y5:Y25 Y39:Y40 Y50:Y52 X62:Y63 Y65:Y67 Y69:Y78 Y80:Y83 Y86:Y91">
    <cfRule type="containsText" dxfId="116" priority="7" stopIfTrue="1" operator="containsText" text="Low">
      <formula>NOT(ISERROR(SEARCH("Low",X5)))</formula>
    </cfRule>
    <cfRule type="containsText" dxfId="115" priority="9" stopIfTrue="1" operator="containsText" text="Negligible">
      <formula>NOT(ISERROR(SEARCH("Negligible",X5)))</formula>
    </cfRule>
  </conditionalFormatting>
  <conditionalFormatting sqref="Y5:Y25 Y39:Y40 Y50:Y52 Y62:Y63 Y65:Y67 Y69:Y78 Y80:Y83 Y86:Y91">
    <cfRule type="containsText" dxfId="114" priority="8" stopIfTrue="1" operator="containsText" text="High">
      <formula>NOT(ISERROR(SEARCH("High",Y5)))</formula>
    </cfRule>
  </conditionalFormatting>
  <conditionalFormatting sqref="Y26:Y38 Y41:Y49 Y53 Y55:Y59 Y61 Y64 Y68 Y79 Y84:Y85 Y92:Y94 Y97 Y100 Y102:Y107 Y109 Y111 Y116 Y125 Y129:Y136 Y144:Y152 Y172:Y190 Y206 Y209 Y211 Y214 Y234:Y236 Y245 Y258 Y260:Y261 Y268 Y272:Y275">
    <cfRule type="containsText" dxfId="113" priority="595" operator="containsText" text="High">
      <formula>NOT(ISERROR(SEARCH("High",Y26)))</formula>
    </cfRule>
    <cfRule type="containsText" dxfId="112" priority="594" operator="containsText" text="Moderate">
      <formula>NOT(ISERROR(SEARCH("Moderate",Y26)))</formula>
    </cfRule>
  </conditionalFormatting>
  <conditionalFormatting sqref="Y54">
    <cfRule type="containsText" dxfId="111" priority="398" stopIfTrue="1" operator="containsText" text="High">
      <formula>NOT(ISERROR(SEARCH("High",Y54)))</formula>
    </cfRule>
  </conditionalFormatting>
  <conditionalFormatting sqref="Y60">
    <cfRule type="containsText" dxfId="110" priority="401" stopIfTrue="1" operator="containsText" text="High">
      <formula>NOT(ISERROR(SEARCH("High",Y60)))</formula>
    </cfRule>
  </conditionalFormatting>
  <conditionalFormatting sqref="Y84 Y105:Y107 Y109 Y234:Y236 Y245 Y258 Y260:Y261 Y268 Y272:Y274">
    <cfRule type="containsText" dxfId="109" priority="862" operator="containsText" text="Low">
      <formula>NOT(ISERROR(SEARCH("Low",Y84)))</formula>
    </cfRule>
  </conditionalFormatting>
  <conditionalFormatting sqref="Y84:Y85 Y102:Y107 Y109 Y234:Y236 Y245 Y258 Y260:Y261 Y268 Y272:Y275 Y111 Y116 Y125 Y129:Y136 Y144:Y152 Y172:Y190 Y206 Y209 Y211 Y214 Y26:Y38 Y41:Y49 Y53 Y55:Y59 Y61 Y64 Y68 Y79 Y92:Y94 Y97 Y100 Y280:Y286">
    <cfRule type="containsText" dxfId="108" priority="878" operator="containsText" text="High">
      <formula>NOT(ISERROR(SEARCH("High",Y26)))</formula>
    </cfRule>
  </conditionalFormatting>
  <conditionalFormatting sqref="Y92:Y94 Y97 Y100 Y102:Y103">
    <cfRule type="containsText" dxfId="107" priority="971" operator="containsText" text="Low">
      <formula>NOT(ISERROR(SEARCH("Low",Y92)))</formula>
    </cfRule>
  </conditionalFormatting>
  <conditionalFormatting sqref="Y92:Y94">
    <cfRule type="containsText" dxfId="106" priority="433" operator="containsText" text="Low">
      <formula>NOT(ISERROR(SEARCH("Low",Y92)))</formula>
    </cfRule>
  </conditionalFormatting>
  <conditionalFormatting sqref="Y95:Y96">
    <cfRule type="containsText" dxfId="105" priority="305" stopIfTrue="1" operator="containsText" text="High">
      <formula>NOT(ISERROR(SEARCH("High",Y95)))</formula>
    </cfRule>
    <cfRule type="containsText" dxfId="104" priority="304" stopIfTrue="1" operator="containsText" text="Low">
      <formula>NOT(ISERROR(SEARCH("Low",Y95)))</formula>
    </cfRule>
    <cfRule type="containsText" dxfId="103" priority="306" stopIfTrue="1" operator="containsText" text="Negligible">
      <formula>NOT(ISERROR(SEARCH("Negligible",Y95)))</formula>
    </cfRule>
  </conditionalFormatting>
  <conditionalFormatting sqref="Y98:Y99">
    <cfRule type="containsText" dxfId="102" priority="444" stopIfTrue="1" operator="containsText" text="Negligible">
      <formula>NOT(ISERROR(SEARCH("Negligible",Y98)))</formula>
    </cfRule>
    <cfRule type="containsText" dxfId="101" priority="442" stopIfTrue="1" operator="containsText" text="Low">
      <formula>NOT(ISERROR(SEARCH("Low",Y98)))</formula>
    </cfRule>
    <cfRule type="containsText" dxfId="100" priority="443" stopIfTrue="1" operator="containsText" text="High">
      <formula>NOT(ISERROR(SEARCH("High",Y98)))</formula>
    </cfRule>
  </conditionalFormatting>
  <conditionalFormatting sqref="Y100 Y92:Y94 Y26:Y38 Y41:Y49 Y53 Y55:Y59 Y61 Y64 Y68 Y79 Y84:Y85 Y97 Y102:Y107 Y109 Y111 Y116 Y125 Y129:Y136 Y144:Y152 Y172:Y190 Y206 Y209 Y211 Y214 Y234:Y236 Y245 Y258 Y260:Y261 Y268 Y272:Y275">
    <cfRule type="containsText" dxfId="99" priority="593" operator="containsText" text="Low">
      <formula>NOT(ISERROR(SEARCH("Low",Y26)))</formula>
    </cfRule>
  </conditionalFormatting>
  <conditionalFormatting sqref="Y100">
    <cfRule type="containsText" dxfId="98" priority="448" operator="containsText" text="Low">
      <formula>NOT(ISERROR(SEARCH("Low",Y100)))</formula>
    </cfRule>
  </conditionalFormatting>
  <conditionalFormatting sqref="Y101 Y117:Y124 Y126:Y128 Y137:Y143 Y153:Y169 Y191:Y196 Y199:Y205 Y207:Y208 Y212:Y213 Y215:Y233 Y238:Y244 Y259 Y262:Y267 Y276:Y279">
    <cfRule type="containsText" dxfId="97" priority="5" stopIfTrue="1" operator="containsText" text="High">
      <formula>NOT(ISERROR(SEARCH("High",Y101)))</formula>
    </cfRule>
  </conditionalFormatting>
  <conditionalFormatting sqref="Y101 Y117:Y124 Y126:AC128 Y137:Y143 Y153:Y169 Y191:Y194 Y196 Y199:Y205 Y207:Y208 Y212:Y213 Y215:Y233 Y238:Y244 Y259 Y262:Y267 Y276:Y279">
    <cfRule type="containsText" dxfId="96" priority="6" stopIfTrue="1" operator="containsText" text="Negligible">
      <formula>NOT(ISERROR(SEARCH("Negligible",Y101)))</formula>
    </cfRule>
  </conditionalFormatting>
  <conditionalFormatting sqref="Y101 Y117:Y124 Y126:AC128 Y137:Y143 Y153:Y169 Y191:Y196 Y199:Y205 Y207:Y208 Y212:Y213 Y215:Y233 Y238:Y244 Y259 Y262:Y267 Y276:Y279">
    <cfRule type="containsText" dxfId="95" priority="4" stopIfTrue="1" operator="containsText" text="Low">
      <formula>NOT(ISERROR(SEARCH("Low",Y101)))</formula>
    </cfRule>
  </conditionalFormatting>
  <conditionalFormatting sqref="Y108">
    <cfRule type="containsText" dxfId="94" priority="103" stopIfTrue="1" operator="containsText" text="Low">
      <formula>NOT(ISERROR(SEARCH("Low",Y108)))</formula>
    </cfRule>
    <cfRule type="containsText" dxfId="93" priority="104" stopIfTrue="1" operator="containsText" text="High">
      <formula>NOT(ISERROR(SEARCH("High",Y108)))</formula>
    </cfRule>
    <cfRule type="containsText" dxfId="92" priority="105" stopIfTrue="1" operator="containsText" text="Negligible">
      <formula>NOT(ISERROR(SEARCH("Negligible",Y108)))</formula>
    </cfRule>
  </conditionalFormatting>
  <conditionalFormatting sqref="Y110">
    <cfRule type="containsText" dxfId="91" priority="450" stopIfTrue="1" operator="containsText" text="High">
      <formula>NOT(ISERROR(SEARCH("High",Y110)))</formula>
    </cfRule>
    <cfRule type="containsText" dxfId="90" priority="449" stopIfTrue="1" operator="containsText" text="Low">
      <formula>NOT(ISERROR(SEARCH("Low",Y110)))</formula>
    </cfRule>
  </conditionalFormatting>
  <conditionalFormatting sqref="Y111 Y116 Y125 Y129:Y136 Y144:Y152 Y172:Y190 Y206 Y209 Y211 Y214">
    <cfRule type="containsText" dxfId="89" priority="859" operator="containsText" text="Low">
      <formula>NOT(ISERROR(SEARCH("Low",Y111)))</formula>
    </cfRule>
  </conditionalFormatting>
  <conditionalFormatting sqref="Y112:Y115">
    <cfRule type="containsText" dxfId="88" priority="96" stopIfTrue="1" operator="containsText" text="Negligible">
      <formula>NOT(ISERROR(SEARCH("Negligible",Y112)))</formula>
    </cfRule>
    <cfRule type="containsText" dxfId="87" priority="95" stopIfTrue="1" operator="containsText" text="High">
      <formula>NOT(ISERROR(SEARCH("High",Y112)))</formula>
    </cfRule>
    <cfRule type="containsText" dxfId="86" priority="94" stopIfTrue="1" operator="containsText" text="Low">
      <formula>NOT(ISERROR(SEARCH("Low",Y112)))</formula>
    </cfRule>
  </conditionalFormatting>
  <conditionalFormatting sqref="Y170:Y171">
    <cfRule type="containsText" dxfId="85" priority="513" stopIfTrue="1" operator="containsText" text="High">
      <formula>NOT(ISERROR(SEARCH("High",Y170)))</formula>
    </cfRule>
  </conditionalFormatting>
  <conditionalFormatting sqref="Y197:Y198">
    <cfRule type="containsText" dxfId="84" priority="221" operator="containsText" text="Low">
      <formula>NOT(ISERROR(SEARCH("Low",Y197)))</formula>
    </cfRule>
    <cfRule type="containsText" dxfId="83" priority="222" operator="containsText" text="High">
      <formula>NOT(ISERROR(SEARCH("High",Y197)))</formula>
    </cfRule>
    <cfRule type="containsText" dxfId="82" priority="218" operator="containsText" text="Low">
      <formula>NOT(ISERROR(SEARCH("Low",Y197)))</formula>
    </cfRule>
    <cfRule type="containsText" dxfId="81" priority="219" operator="containsText" text="Moderate">
      <formula>NOT(ISERROR(SEARCH("Moderate",Y197)))</formula>
    </cfRule>
    <cfRule type="containsText" dxfId="80" priority="220" operator="containsText" text="High">
      <formula>NOT(ISERROR(SEARCH("High",Y197)))</formula>
    </cfRule>
  </conditionalFormatting>
  <conditionalFormatting sqref="Y210">
    <cfRule type="containsText" dxfId="79" priority="538" stopIfTrue="1" operator="containsText" text="Negligible">
      <formula>NOT(ISERROR(SEARCH("Negligible",Y210)))</formula>
    </cfRule>
    <cfRule type="containsText" dxfId="78" priority="537" stopIfTrue="1" operator="containsText" text="High">
      <formula>NOT(ISERROR(SEARCH("High",Y210)))</formula>
    </cfRule>
    <cfRule type="containsText" dxfId="77" priority="536" stopIfTrue="1" operator="containsText" text="Low">
      <formula>NOT(ISERROR(SEARCH("Low",Y210)))</formula>
    </cfRule>
  </conditionalFormatting>
  <conditionalFormatting sqref="Y237">
    <cfRule type="containsText" dxfId="76" priority="241" stopIfTrue="1" operator="containsText" text="High">
      <formula>NOT(ISERROR(SEARCH("High",Y237)))</formula>
    </cfRule>
  </conditionalFormatting>
  <conditionalFormatting sqref="Y246:Y257">
    <cfRule type="containsText" dxfId="75" priority="135" stopIfTrue="1" operator="containsText" text="Negligible">
      <formula>NOT(ISERROR(SEARCH("Negligible",Y246)))</formula>
    </cfRule>
    <cfRule type="containsText" dxfId="74" priority="134" stopIfTrue="1" operator="containsText" text="High">
      <formula>NOT(ISERROR(SEARCH("High",Y246)))</formula>
    </cfRule>
    <cfRule type="containsText" dxfId="73" priority="133" stopIfTrue="1" operator="containsText" text="Low">
      <formula>NOT(ISERROR(SEARCH("Low",Y246)))</formula>
    </cfRule>
  </conditionalFormatting>
  <conditionalFormatting sqref="Y269:Y271">
    <cfRule type="containsText" dxfId="72" priority="75" stopIfTrue="1" operator="containsText" text="Negligible">
      <formula>NOT(ISERROR(SEARCH("Negligible",Y269)))</formula>
    </cfRule>
    <cfRule type="containsText" dxfId="71" priority="74" stopIfTrue="1" operator="containsText" text="High">
      <formula>NOT(ISERROR(SEARCH("High",Y269)))</formula>
    </cfRule>
    <cfRule type="containsText" dxfId="70" priority="73" stopIfTrue="1" operator="containsText" text="Low">
      <formula>NOT(ISERROR(SEARCH("Low",Y269)))</formula>
    </cfRule>
  </conditionalFormatting>
  <conditionalFormatting sqref="Y275">
    <cfRule type="containsText" dxfId="69" priority="1132" stopIfTrue="1" operator="containsText" text="Negligible">
      <formula>NOT(ISERROR(SEARCH("Negligible",Y275)))</formula>
    </cfRule>
  </conditionalFormatting>
  <conditionalFormatting sqref="Y54:Z54">
    <cfRule type="containsText" dxfId="68" priority="399" stopIfTrue="1" operator="containsText" text="Negligible">
      <formula>NOT(ISERROR(SEARCH("Negligible",Y54)))</formula>
    </cfRule>
    <cfRule type="containsText" dxfId="67" priority="397" stopIfTrue="1" operator="containsText" text="Low">
      <formula>NOT(ISERROR(SEARCH("Low",Y54)))</formula>
    </cfRule>
  </conditionalFormatting>
  <conditionalFormatting sqref="Y195:Z195">
    <cfRule type="containsText" dxfId="66" priority="523" stopIfTrue="1" operator="containsText" text="Negligible">
      <formula>NOT(ISERROR(SEARCH("Negligible",Y195)))</formula>
    </cfRule>
  </conditionalFormatting>
  <conditionalFormatting sqref="Y237:AB237">
    <cfRule type="containsText" dxfId="65" priority="240" stopIfTrue="1" operator="containsText" text="Low">
      <formula>NOT(ISERROR(SEARCH("Low",Y237)))</formula>
    </cfRule>
    <cfRule type="containsText" dxfId="64" priority="242" stopIfTrue="1" operator="containsText" text="Negligible">
      <formula>NOT(ISERROR(SEARCH("Negligible",Y237)))</formula>
    </cfRule>
  </conditionalFormatting>
  <conditionalFormatting sqref="Y60:AC60">
    <cfRule type="containsText" dxfId="63" priority="400" stopIfTrue="1" operator="containsText" text="Low">
      <formula>NOT(ISERROR(SEARCH("Low",Y60)))</formula>
    </cfRule>
    <cfRule type="containsText" dxfId="62" priority="402" stopIfTrue="1" operator="containsText" text="Negligible">
      <formula>NOT(ISERROR(SEARCH("Negligible",Y60)))</formula>
    </cfRule>
  </conditionalFormatting>
  <conditionalFormatting sqref="Y110:AC110">
    <cfRule type="containsText" dxfId="61" priority="451" stopIfTrue="1" operator="containsText" text="Negligible">
      <formula>NOT(ISERROR(SEARCH("Negligible",Y110)))</formula>
    </cfRule>
  </conditionalFormatting>
  <conditionalFormatting sqref="Z109">
    <cfRule type="containsText" dxfId="60" priority="770" stopIfTrue="1" operator="containsText" text="Low">
      <formula>NOT(ISERROR(SEARCH("Low",Z109)))</formula>
    </cfRule>
    <cfRule type="containsText" dxfId="59" priority="771" stopIfTrue="1" operator="containsText" text="Negligible">
      <formula>NOT(ISERROR(SEARCH("Negligible",Z109)))</formula>
    </cfRule>
  </conditionalFormatting>
  <conditionalFormatting sqref="Z197">
    <cfRule type="containsText" dxfId="58" priority="905" stopIfTrue="1" operator="containsText" text="Negligible">
      <formula>NOT(ISERROR(SEARCH("Negligible",Z197)))</formula>
    </cfRule>
  </conditionalFormatting>
  <conditionalFormatting sqref="Z63:AB63 X64:AC64">
    <cfRule type="containsText" dxfId="57" priority="1139" stopIfTrue="1" operator="containsText" text="Negligible">
      <formula>NOT(ISERROR(SEARCH("Negligible",X63)))</formula>
    </cfRule>
  </conditionalFormatting>
  <conditionalFormatting sqref="Z203:AB203">
    <cfRule type="containsText" dxfId="56" priority="526" stopIfTrue="1" operator="containsText" text="Negligible">
      <formula>NOT(ISERROR(SEARCH("Negligible",Z203)))</formula>
    </cfRule>
    <cfRule type="containsText" dxfId="55" priority="524" stopIfTrue="1" operator="containsText" text="Low">
      <formula>NOT(ISERROR(SEARCH("Low",Z203)))</formula>
    </cfRule>
  </conditionalFormatting>
  <conditionalFormatting sqref="Z49:AC49 Z50:Z51 AC50:AC51">
    <cfRule type="containsText" dxfId="54" priority="822" stopIfTrue="1" operator="containsText" text="Negligible">
      <formula>NOT(ISERROR(SEARCH("Negligible",Z49)))</formula>
    </cfRule>
    <cfRule type="containsText" dxfId="53" priority="821" stopIfTrue="1" operator="containsText" text="Low">
      <formula>NOT(ISERROR(SEARCH("Low",Z49)))</formula>
    </cfRule>
  </conditionalFormatting>
  <conditionalFormatting sqref="Z71:AC71">
    <cfRule type="containsText" dxfId="52" priority="340" stopIfTrue="1" operator="containsText" text="Low">
      <formula>NOT(ISERROR(SEARCH("Low",Z71)))</formula>
    </cfRule>
    <cfRule type="containsText" dxfId="51" priority="342" stopIfTrue="1" operator="containsText" text="Negligible">
      <formula>NOT(ISERROR(SEARCH("Negligible",Z71)))</formula>
    </cfRule>
  </conditionalFormatting>
  <conditionalFormatting sqref="Z183:AC187">
    <cfRule type="containsText" dxfId="50" priority="1113" stopIfTrue="1" operator="containsText" text="Low">
      <formula>NOT(ISERROR(SEARCH("Low",Z183)))</formula>
    </cfRule>
    <cfRule type="containsText" dxfId="49" priority="1114" stopIfTrue="1" operator="containsText" text="Negligible">
      <formula>NOT(ISERROR(SEARCH("Negligible",Z183)))</formula>
    </cfRule>
  </conditionalFormatting>
  <conditionalFormatting sqref="Z115:AE115">
    <cfRule type="cellIs" dxfId="48" priority="787" stopIfTrue="1" operator="equal">
      <formula>#REF!</formula>
    </cfRule>
    <cfRule type="cellIs" dxfId="47" priority="788" stopIfTrue="1" operator="equal">
      <formula>#REF!</formula>
    </cfRule>
  </conditionalFormatting>
  <conditionalFormatting sqref="AA72:AC79">
    <cfRule type="containsText" dxfId="46" priority="197" stopIfTrue="1" operator="containsText" text="Low">
      <formula>NOT(ISERROR(SEARCH("Low",AA72)))</formula>
    </cfRule>
    <cfRule type="containsText" dxfId="45" priority="198" stopIfTrue="1" operator="containsText" text="Negligible">
      <formula>NOT(ISERROR(SEARCH("Negligible",AA72)))</formula>
    </cfRule>
  </conditionalFormatting>
  <conditionalFormatting sqref="AA143:AC143">
    <cfRule type="containsText" dxfId="44" priority="586" stopIfTrue="1" operator="containsText" text="Negligible">
      <formula>NOT(ISERROR(SEARCH("Negligible",AA143)))</formula>
    </cfRule>
    <cfRule type="containsText" dxfId="43" priority="585" stopIfTrue="1" operator="containsText" text="Low">
      <formula>NOT(ISERROR(SEARCH("Low",AA143)))</formula>
    </cfRule>
  </conditionalFormatting>
  <conditionalFormatting sqref="AC121:AE123">
    <cfRule type="cellIs" dxfId="42" priority="1035" stopIfTrue="1" operator="equal">
      <formula>#REF!</formula>
    </cfRule>
    <cfRule type="cellIs" dxfId="41" priority="1036" stopIfTrue="1" operator="equal">
      <formula>#REF!</formula>
    </cfRule>
  </conditionalFormatting>
  <conditionalFormatting sqref="AD13:AE13">
    <cfRule type="cellIs" dxfId="40" priority="836" stopIfTrue="1" operator="equal">
      <formula>#REF!</formula>
    </cfRule>
    <cfRule type="cellIs" dxfId="39" priority="837" stopIfTrue="1" operator="equal">
      <formula>#REF!</formula>
    </cfRule>
  </conditionalFormatting>
  <conditionalFormatting sqref="AD39:AE40">
    <cfRule type="cellIs" dxfId="38" priority="973" stopIfTrue="1" operator="equal">
      <formula>#REF!</formula>
    </cfRule>
    <cfRule type="cellIs" dxfId="37" priority="972" stopIfTrue="1" operator="equal">
      <formula>#REF!</formula>
    </cfRule>
  </conditionalFormatting>
  <conditionalFormatting sqref="AD118:AE118">
    <cfRule type="cellIs" dxfId="36" priority="896" stopIfTrue="1" operator="equal">
      <formula>#REF!</formula>
    </cfRule>
    <cfRule type="cellIs" dxfId="35" priority="897" stopIfTrue="1" operator="equal">
      <formula>#REF!</formula>
    </cfRule>
  </conditionalFormatting>
  <conditionalFormatting sqref="AD179:AE179">
    <cfRule type="cellIs" dxfId="34" priority="893" stopIfTrue="1" operator="equal">
      <formula>#REF!</formula>
    </cfRule>
    <cfRule type="cellIs" dxfId="33" priority="894" stopIfTrue="1" operator="equal">
      <formula>#REF!</formula>
    </cfRule>
  </conditionalFormatting>
  <conditionalFormatting sqref="AD222:AE222">
    <cfRule type="cellIs" dxfId="32" priority="702" stopIfTrue="1" operator="equal">
      <formula>#REF!</formula>
    </cfRule>
    <cfRule type="cellIs" dxfId="31" priority="703" stopIfTrue="1" operator="equal">
      <formula>#REF!</formula>
    </cfRule>
  </conditionalFormatting>
  <conditionalFormatting sqref="AH120:AI120 M180:M187 M195:M196 M216 M219:M224 M239:M241 M246:M248">
    <cfRule type="cellIs" dxfId="30" priority="1101" stopIfTrue="1" operator="equal">
      <formula>#REF!</formula>
    </cfRule>
  </conditionalFormatting>
  <conditionalFormatting sqref="AL120">
    <cfRule type="cellIs" dxfId="29" priority="1039" stopIfTrue="1" operator="equal">
      <formula>#REF!</formula>
    </cfRule>
    <cfRule type="cellIs" dxfId="28" priority="1040" stopIfTrue="1" operator="equal">
      <formula>#REF!</formula>
    </cfRule>
  </conditionalFormatting>
  <conditionalFormatting sqref="AL122">
    <cfRule type="cellIs" dxfId="27" priority="1037" stopIfTrue="1" operator="equal">
      <formula>#REF!</formula>
    </cfRule>
    <cfRule type="cellIs" dxfId="26" priority="1038" stopIfTrue="1" operator="equal">
      <formula>#REF!</formula>
    </cfRule>
  </conditionalFormatting>
  <conditionalFormatting sqref="AZ5:AZ281 X33:X37 AC203:AC216 AC222:AC223 AC235:AC237">
    <cfRule type="containsText" dxfId="25" priority="1090" stopIfTrue="1" operator="containsText" text="High">
      <formula>NOT(ISERROR(SEARCH("High",X5)))</formula>
    </cfRule>
  </conditionalFormatting>
  <conditionalFormatting sqref="AZ5:AZ281 X117">
    <cfRule type="containsText" dxfId="24" priority="786" stopIfTrue="1" operator="containsText" text="Low">
      <formula>NOT(ISERROR(SEARCH("Low",X5)))</formula>
    </cfRule>
  </conditionalFormatting>
  <dataValidations count="15">
    <dataValidation type="list" allowBlank="1" showInputMessage="1" showErrorMessage="1" sqref="BK7 BK11 BK17 BK26:BK27 BK170:BK171 BK264:BK278 BK210:BK233 BK236:BK257 BK259:BK262 BK188:BK208" xr:uid="{CBBECC4E-EA0C-4E23-A70F-C1EAD33CA030}">
      <formula1>"Yes, No"</formula1>
    </dataValidation>
    <dataValidation type="list" allowBlank="1" showInputMessage="1" showErrorMessage="1" sqref="BA264:BA274 BA234 BA219:BA221 BA238:BA262 BA198:BA200" xr:uid="{FEE817C9-4616-4014-80E4-5A3BEC01E5E6}">
      <formula1>"Low, Moderate, High"</formula1>
    </dataValidation>
    <dataValidation type="list" allowBlank="1" showInputMessage="1" showErrorMessage="1" sqref="AC29:AC30 AC5" xr:uid="{23F3B814-7687-49F3-8568-213F2AAD5408}">
      <formula1>"Avoid, Accept, Transfer, Mitigate, Enhance"</formula1>
    </dataValidation>
    <dataValidation type="list" allowBlank="1" showInputMessage="1" showErrorMessage="1" sqref="R26 Q4:R4 O4 R280:R281 AQ4 AS4 R28:R29" xr:uid="{E6165998-9D87-4C51-BCDA-0B2A8D3983B8}">
      <formula1>"Negligible, Marginal,Significant,Critical,Crisis"</formula1>
    </dataValidation>
    <dataValidation type="list" allowBlank="1" showInputMessage="1" showErrorMessage="1" sqref="BK279:BK281 BK172:BK187 BK258 BK111 BI95 BK8:BK10 BK5:BK6 BK18:BK25 BK12:BK16 BK120 BK113:BK118 BK109 BK209 BK122:BK169 BK234:BK235 BK28:BK107" xr:uid="{B79BBC62-F9CD-49D8-A096-8F9AE62486F6}">
      <formula1>"YES,NO"</formula1>
    </dataValidation>
    <dataValidation type="list" allowBlank="1" showInputMessage="1" showErrorMessage="1" sqref="AC276:AC281 AC4 AC7 AC11 AC17 AC26:AC28" xr:uid="{A33E397B-B635-4F55-99B4-7A73E17A4489}">
      <formula1>"Avoid, Accept, Transfer, Mitigate"</formula1>
    </dataValidation>
    <dataValidation type="list" allowBlank="1" showInputMessage="1" showErrorMessage="1" sqref="BA142:BA143 BG81:BG82 BI111 BI145:BI146 BH105:BH107 BI104 BI84 BH86:BH91 BA38:BA107 BH96 BH80 BI28:BI78 BH99:BH101 BH103 BG97 BI5:BI6 BI8:BI10 BA8:BA10 BA4:BA6 BI18:BI25 BA12:BA16 BI12:BI16 BA18:BA32 BA120:BA136 BI120 BA109:BA118 BI113:BI118 BI109 BI163:BI170 BI142:BI143 BI122:BI136 BA145:BA146 BA172:BA187 BI172:BI187 BA163:BA170 BA154:BA161 BI154:BI161 BG93" xr:uid="{C2B8A688-6451-46D7-A193-FD7588A44B88}">
      <formula1>#REF!</formula1>
    </dataValidation>
    <dataValidation type="list" allowBlank="1" showInputMessage="1" showErrorMessage="1" sqref="D4 D2" xr:uid="{FCAADD07-6F43-4370-99C7-C598FEFC310F}">
      <formula1>"Risk,Opportunity"</formula1>
    </dataValidation>
    <dataValidation type="list" allowBlank="1" showInputMessage="1" showErrorMessage="1" sqref="F28:F136 F2 F145:F146 F4:F6 F163:F281 F142:F143 F138 F154:F161 F8:F25" xr:uid="{A9DF0419-B67E-44F0-93A3-6F4930DA05BB}">
      <formula1>"BNL,JLAB"</formula1>
    </dataValidation>
    <dataValidation type="list" allowBlank="1" showInputMessage="1" showErrorMessage="1" sqref="R5:R25 R30:R279" xr:uid="{8F2B5143-F34C-49FC-AE2A-AA13F21E00D2}">
      <formula1>"None,Negligible,Marginal,Significant,Critical,Crisis"</formula1>
    </dataValidation>
    <dataValidation type="list" allowBlank="1" showInputMessage="1" showErrorMessage="1" sqref="AC8:AC10 AC6 AC18:AC25 AC12:AC16 AC31:AC275" xr:uid="{08DE7A43-43B6-4B52-B03C-7DC06801B039}">
      <formula1>"Avoid,Accept,Enhance,Mitigate,Transfer"</formula1>
    </dataValidation>
    <dataValidation type="list" allowBlank="1" showInputMessage="1" showErrorMessage="1" sqref="AP4:AP281" xr:uid="{AF943E67-1FB6-4586-B3DD-09A6D360D9D9}">
      <formula1>"Very Low,Low,Moderate,High,Very High"</formula1>
    </dataValidation>
    <dataValidation type="list" allowBlank="1" showInputMessage="1" showErrorMessage="1" sqref="D5:D281" xr:uid="{7EF3F0F6-9BAA-472E-99AE-25EDD3802607}">
      <formula1>"Threat,Opportunity"</formula1>
    </dataValidation>
    <dataValidation type="list" allowBlank="1" showInputMessage="1" showErrorMessage="1" sqref="J5:J281" xr:uid="{0C70EC48-153F-4F30-BDEC-EB8EF78F7DC4}">
      <formula1>"SC_MAG,NC_MAG,CRYO,VAC,RF,DET,INF,INJ,PS,INS,CONT,INST,REM,MAP,PD,SHC,AD,PM,COM"</formula1>
    </dataValidation>
    <dataValidation type="list" allowBlank="1" showInputMessage="1" showErrorMessage="1" sqref="AS5:AS281" xr:uid="{08ECB18C-9BC3-44DC-9E48-A67F24E704AB}">
      <formula1>"None,Negligible, Marginal,Significant,Critical,Crisis"</formula1>
    </dataValidation>
  </dataValidations>
  <hyperlinks>
    <hyperlink ref="BB196" r:id="rId1" xr:uid="{82E71DA4-ED10-42C9-A0E3-E9951E72081C}"/>
    <hyperlink ref="BB89" r:id="rId2" display="https://brookhavenlab.sharepoint.com/:b:/r/sites/DOEOfficeofProjectAssessmentCD-3ALongLead-Procurement/Project Documents/Accelerator (SC1, SC2, SC3)/Review Closeouts - Strong Hadron Cooling Reviews/EIC-HDR-PLN-019-The Roadmap of Electron Cooler for EIC_update_Oct2023_final.pdf?csf=1&amp;web=1&amp;e=oRLNfj" xr:uid="{EA4DA472-E56B-40F4-BDDB-5F01DA888645}"/>
  </hyperlinks>
  <pageMargins left="0.7" right="0.7" top="0.75" bottom="0.75" header="0.3" footer="0.3"/>
  <pageSetup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F9AB7-7BEF-425C-9809-2AC30DD3CA1A}">
  <sheetPr codeName="Sheet5"/>
  <dimension ref="B2:AE68"/>
  <sheetViews>
    <sheetView topLeftCell="G14" zoomScale="72" zoomScaleNormal="72" workbookViewId="0">
      <selection activeCell="AA41" sqref="AA41"/>
    </sheetView>
  </sheetViews>
  <sheetFormatPr baseColWidth="10" defaultColWidth="8.83203125" defaultRowHeight="20.25" customHeight="1" x14ac:dyDescent="0.2"/>
  <cols>
    <col min="2" max="2" width="12.1640625" customWidth="1"/>
    <col min="3" max="3" width="37.6640625" customWidth="1"/>
    <col min="4" max="6" width="16.33203125" style="2" customWidth="1"/>
    <col min="7" max="7" width="15.5" style="2" customWidth="1"/>
    <col min="8" max="9" width="16.6640625" style="2" customWidth="1"/>
    <col min="10" max="10" width="17.1640625" style="2" customWidth="1"/>
    <col min="11" max="11" width="17" customWidth="1"/>
    <col min="15" max="21" width="12.6640625" customWidth="1"/>
    <col min="24" max="24" width="12.1640625" customWidth="1"/>
    <col min="26" max="26" width="13.6640625" customWidth="1"/>
    <col min="27" max="27" width="12.83203125" customWidth="1"/>
    <col min="28" max="28" width="16.1640625" customWidth="1"/>
    <col min="29" max="29" width="11.6640625" customWidth="1"/>
    <col min="30" max="30" width="13.33203125" customWidth="1"/>
  </cols>
  <sheetData>
    <row r="2" spans="2:22" s="10" customFormat="1" ht="20.25" customHeight="1" x14ac:dyDescent="0.2">
      <c r="B2" s="15" t="s">
        <v>1874</v>
      </c>
      <c r="C2" s="16"/>
      <c r="D2" s="16"/>
      <c r="E2" s="16"/>
      <c r="F2" s="16"/>
      <c r="G2" s="16"/>
      <c r="H2" s="16"/>
      <c r="I2" s="16"/>
      <c r="J2" s="16"/>
      <c r="K2" s="17"/>
      <c r="M2" s="712"/>
      <c r="N2" s="712"/>
      <c r="O2" s="712"/>
      <c r="P2" s="712"/>
      <c r="Q2" s="712"/>
      <c r="R2" s="712"/>
      <c r="S2" s="712"/>
      <c r="T2" s="712"/>
      <c r="U2" s="712"/>
    </row>
    <row r="3" spans="2:22" s="18" customFormat="1" ht="58.5" customHeight="1" x14ac:dyDescent="0.25">
      <c r="B3" s="12" t="s">
        <v>1875</v>
      </c>
      <c r="C3" s="12" t="s">
        <v>1876</v>
      </c>
      <c r="D3" s="19" t="s">
        <v>1877</v>
      </c>
      <c r="E3" s="20" t="s">
        <v>1878</v>
      </c>
      <c r="F3" s="21" t="s">
        <v>1879</v>
      </c>
      <c r="G3" s="12" t="s">
        <v>1880</v>
      </c>
      <c r="H3" s="12" t="s">
        <v>1881</v>
      </c>
      <c r="I3" s="12" t="s">
        <v>1882</v>
      </c>
      <c r="J3" s="334" t="s">
        <v>1883</v>
      </c>
      <c r="K3" s="12" t="s">
        <v>1884</v>
      </c>
      <c r="M3" s="10"/>
      <c r="N3" s="706"/>
      <c r="O3" s="706"/>
      <c r="P3" s="1037" t="s">
        <v>1885</v>
      </c>
      <c r="Q3" s="1037"/>
      <c r="R3" s="1037"/>
      <c r="S3" s="1038"/>
      <c r="T3" s="1038"/>
      <c r="U3" s="706"/>
    </row>
    <row r="4" spans="2:22" s="8" customFormat="1" ht="20.25" customHeight="1" x14ac:dyDescent="0.25">
      <c r="B4" s="11">
        <v>6.01</v>
      </c>
      <c r="C4" s="13" t="s">
        <v>1886</v>
      </c>
      <c r="D4" s="14">
        <f>COUNTIFS(Risks!$D:$D,"=Threat",Risks!$B:$B,"=Active",Risks!$E:$E,"*"&amp;$B4&amp;"*",Risks!$AZ:$AZ,"High")</f>
        <v>3</v>
      </c>
      <c r="E4" s="14">
        <f>COUNTIFS(Risks!$D:$D,"=Threat",Risks!$B:$B,"=Active",Risks!$E:$E,"*"&amp;$B4&amp;"*",Risks!$AZ:$AZ,"Moderate")</f>
        <v>9</v>
      </c>
      <c r="F4" s="14">
        <f>COUNTIFS(Risks!$D:$D,"=Threat",Risks!$B:$B,"=Active",Risks!$E:$E,"*"&amp;$B4&amp;"*",Risks!$AZ:$AZ,"Low")</f>
        <v>6</v>
      </c>
      <c r="G4" s="14">
        <f>SUM(D4:F4)</f>
        <v>18</v>
      </c>
      <c r="H4" s="14">
        <f>COUNTIFS(Risks!$D:$D,"=Opportunity",Risks!$B:$B,"=Active",Risks!$E:$E,"*"&amp;$B4&amp;"*")</f>
        <v>2</v>
      </c>
      <c r="I4" s="14">
        <f>G4+H4</f>
        <v>20</v>
      </c>
      <c r="J4" s="701">
        <f>COUNTIFS(Risks!$B:$B,"Retired",Risks!$E:$E,"*"&amp;$B4&amp;"*")</f>
        <v>7</v>
      </c>
      <c r="K4" s="14">
        <f>I4+J4</f>
        <v>27</v>
      </c>
      <c r="M4" s="706"/>
      <c r="N4" s="707"/>
      <c r="O4" s="708"/>
      <c r="P4" s="709"/>
      <c r="Q4" s="1035" t="s">
        <v>1887</v>
      </c>
      <c r="R4" s="1036"/>
      <c r="S4" s="1036"/>
      <c r="T4" s="1036"/>
      <c r="U4" s="1036"/>
    </row>
    <row r="5" spans="2:22" s="8" customFormat="1" ht="20.25" customHeight="1" x14ac:dyDescent="0.25">
      <c r="B5" s="89">
        <v>6.02</v>
      </c>
      <c r="C5" s="13" t="s">
        <v>1888</v>
      </c>
      <c r="D5" s="14">
        <f>COUNTIFS(Risks!$D:$D,"=Threat",Risks!$B:$B,"=Active",Risks!$E:$E,"*"&amp;$B5&amp;"*",Risks!$AZ:$AZ,"High")</f>
        <v>0</v>
      </c>
      <c r="E5" s="14">
        <f>COUNTIFS(Risks!$D:$D,"=Threat",Risks!$B:$B,"=Active",Risks!$E:$E,"*"&amp;$B5&amp;"*",Risks!$AZ:$AZ,"Moderate")</f>
        <v>2</v>
      </c>
      <c r="F5" s="14">
        <f>COUNTIFS(Risks!$D:$D,"=Threat",Risks!$B:$B,"=Active",Risks!$E:$E,"*"&amp;$B5&amp;"*",Risks!$AZ:$AZ,"Low")</f>
        <v>0</v>
      </c>
      <c r="G5" s="14">
        <f t="shared" ref="G5:G15" si="0">SUM(D5:F5)</f>
        <v>2</v>
      </c>
      <c r="H5" s="14">
        <f>COUNTIFS(Risks!$D:$D,"=Opportunity",Risks!$B:$B,"=Active",Risks!$E:$E,"*"&amp;$B5&amp;"*")</f>
        <v>0</v>
      </c>
      <c r="I5" s="14">
        <f t="shared" ref="I5:I16" si="1">G5+H5</f>
        <v>2</v>
      </c>
      <c r="J5" s="701">
        <f>COUNTIFS(Risks!$B:$B,"Retired",Risks!$E:$E,"*"&amp;$B5&amp;"*")</f>
        <v>9</v>
      </c>
      <c r="K5" s="14">
        <f t="shared" ref="K5:K16" si="2">I5+J5</f>
        <v>11</v>
      </c>
      <c r="M5" s="711"/>
      <c r="N5" s="707"/>
      <c r="O5" s="834" t="s">
        <v>101</v>
      </c>
      <c r="P5" s="823"/>
      <c r="Q5" s="822" t="s">
        <v>207</v>
      </c>
      <c r="R5" s="822" t="s">
        <v>280</v>
      </c>
      <c r="S5" s="822" t="s">
        <v>307</v>
      </c>
      <c r="T5" s="822" t="s">
        <v>406</v>
      </c>
      <c r="U5" s="822" t="s">
        <v>600</v>
      </c>
    </row>
    <row r="6" spans="2:22" s="8" customFormat="1" ht="20.25" customHeight="1" x14ac:dyDescent="0.25">
      <c r="B6" s="11">
        <v>6.03</v>
      </c>
      <c r="C6" s="13" t="s">
        <v>1889</v>
      </c>
      <c r="D6" s="14">
        <f>COUNTIFS(Risks!$D:$D,"=Threat",Risks!$B:$B,"=Active",Risks!$E:$E,"*"&amp;$B6&amp;"*",Risks!$AZ:$AZ,"High")</f>
        <v>0</v>
      </c>
      <c r="E6" s="14">
        <f>COUNTIFS(Risks!$D:$D,"=Threat",Risks!$B:$B,"=Active",Risks!$E:$E,"*"&amp;$B6&amp;"*",Risks!$AZ:$AZ,"Moderate")</f>
        <v>1</v>
      </c>
      <c r="F6" s="14">
        <f>COUNTIFS(Risks!$D:$D,"=Threat",Risks!$B:$B,"=Active",Risks!$E:$E,"*"&amp;$B6&amp;"*",Risks!$AZ:$AZ,"Low")</f>
        <v>3</v>
      </c>
      <c r="G6" s="14">
        <f t="shared" si="0"/>
        <v>4</v>
      </c>
      <c r="H6" s="14">
        <f>COUNTIFS(Risks!$D:$D,"=Opportunity",Risks!$B:$B,"=Active",Risks!$E:$E,"*"&amp;$B6&amp;"*")</f>
        <v>0</v>
      </c>
      <c r="I6" s="14">
        <f t="shared" si="1"/>
        <v>4</v>
      </c>
      <c r="J6" s="701">
        <f>COUNTIFS(Risks!$B:$B,"Retired",Risks!$E:$E,"*"&amp;$B6&amp;"*")</f>
        <v>9</v>
      </c>
      <c r="K6" s="14">
        <f t="shared" si="2"/>
        <v>13</v>
      </c>
      <c r="M6" s="711"/>
      <c r="N6" s="709"/>
      <c r="O6" s="821"/>
      <c r="P6" s="825" t="s">
        <v>1890</v>
      </c>
      <c r="Q6" s="827">
        <v>1</v>
      </c>
      <c r="R6" s="827">
        <v>2</v>
      </c>
      <c r="S6" s="827">
        <v>3</v>
      </c>
      <c r="T6" s="827">
        <v>4</v>
      </c>
      <c r="U6" s="827">
        <v>5</v>
      </c>
    </row>
    <row r="7" spans="2:22" s="8" customFormat="1" ht="20.25" customHeight="1" x14ac:dyDescent="0.25">
      <c r="B7" s="11">
        <v>6.04</v>
      </c>
      <c r="C7" s="13" t="s">
        <v>1891</v>
      </c>
      <c r="D7" s="14">
        <f>COUNTIFS(Risks!$D:$D,"=Threat",Risks!$B:$B,"=Active",Risks!$E:$E,"*"&amp;$B7&amp;"*",Risks!$AZ:$AZ,"High")</f>
        <v>0</v>
      </c>
      <c r="E7" s="14">
        <f>COUNTIFS(Risks!$D:$D,"=Threat",Risks!$B:$B,"=Active",Risks!$E:$E,"*"&amp;$B7&amp;"*",Risks!$AZ:$AZ,"Moderate")</f>
        <v>6</v>
      </c>
      <c r="F7" s="14">
        <f>COUNTIFS(Risks!$D:$D,"=Threat",Risks!$B:$B,"=Active",Risks!$E:$E,"*"&amp;$B7&amp;"*",Risks!$AZ:$AZ,"Low")</f>
        <v>10</v>
      </c>
      <c r="G7" s="14">
        <f t="shared" si="0"/>
        <v>16</v>
      </c>
      <c r="H7" s="14">
        <f>COUNTIFS(Risks!$D:$D,"=Opportunity",Risks!$B:$B,"=Active",Risks!$E:$E,"*"&amp;$B7&amp;"*")</f>
        <v>0</v>
      </c>
      <c r="I7" s="14">
        <f t="shared" si="1"/>
        <v>16</v>
      </c>
      <c r="J7" s="701">
        <f>COUNTIFS(Risks!$B:$B,"Retired",Risks!$E:$E,"*"&amp;$B7&amp;"*")</f>
        <v>4</v>
      </c>
      <c r="K7" s="14">
        <f t="shared" si="2"/>
        <v>20</v>
      </c>
      <c r="M7" s="711"/>
      <c r="N7" s="1033" t="s">
        <v>1892</v>
      </c>
      <c r="O7" s="822" t="s">
        <v>1893</v>
      </c>
      <c r="P7" s="826">
        <v>5</v>
      </c>
      <c r="Q7" s="696">
        <f>COUNTIFS(Risks!$AT:$AT,"=5",Risks!$B:$B,"=Active",Risks!$AX:$AX,"1")</f>
        <v>0</v>
      </c>
      <c r="R7" s="697">
        <f>COUNTIFS(Risks!$AT:$AT,"=5",Risks!$B:$B,"=Active",Risks!$AX:$AX,"2")</f>
        <v>0</v>
      </c>
      <c r="S7" s="820">
        <f>COUNTIFS(Risks!$AT:$AT,"=5",Risks!$B:$B,"=Active",Risks!$AX:$AX,"3")</f>
        <v>0</v>
      </c>
      <c r="T7" s="820">
        <f>COUNTIFS(Risks!$AT:$AT,"=5",Risks!$B:$B,"=Active",Risks!$AX:$AX,"4")</f>
        <v>2</v>
      </c>
      <c r="U7" s="820">
        <f>COUNTIFS(Risks!$AT:$AT,"=5",Risks!$B:$B,"=Active",Risks!$AX:$AX,"5")</f>
        <v>0</v>
      </c>
    </row>
    <row r="8" spans="2:22" s="8" customFormat="1" ht="20.25" customHeight="1" x14ac:dyDescent="0.25">
      <c r="B8" s="11">
        <v>6.05</v>
      </c>
      <c r="C8" s="13" t="s">
        <v>1894</v>
      </c>
      <c r="D8" s="14">
        <f>COUNTIFS(Risks!$D:$D,"=Threat",Risks!$B:$B,"=Active",Risks!$E:$E,"*"&amp;$B8&amp;"*",Risks!$AZ:$AZ,"High")</f>
        <v>0</v>
      </c>
      <c r="E8" s="14">
        <f>COUNTIFS(Risks!$D:$D,"=Threat",Risks!$B:$B,"=Active",Risks!$E:$E,"*"&amp;$B8&amp;"*",Risks!$AZ:$AZ,"Moderate")</f>
        <v>3</v>
      </c>
      <c r="F8" s="14">
        <f>COUNTIFS(Risks!$D:$D,"=Threat",Risks!$B:$B,"=Active",Risks!$E:$E,"*"&amp;$B8&amp;"*",Risks!$AZ:$AZ,"Low")</f>
        <v>14</v>
      </c>
      <c r="G8" s="14">
        <f t="shared" si="0"/>
        <v>17</v>
      </c>
      <c r="H8" s="14">
        <f>COUNTIFS(Risks!$D:$D,"=Opportunity",Risks!$B:$B,"=Active",Risks!$E:$E,"*"&amp;$B8&amp;"*")</f>
        <v>1</v>
      </c>
      <c r="I8" s="14">
        <f t="shared" si="1"/>
        <v>18</v>
      </c>
      <c r="J8" s="701">
        <f>COUNTIFS(Risks!$B:$B,"Retired",Risks!$E:$E,"*"&amp;$B8&amp;"*")</f>
        <v>11</v>
      </c>
      <c r="K8" s="14">
        <f t="shared" si="2"/>
        <v>29</v>
      </c>
      <c r="M8" s="711"/>
      <c r="N8" s="1034"/>
      <c r="O8" s="822" t="s">
        <v>354</v>
      </c>
      <c r="P8" s="826">
        <v>4</v>
      </c>
      <c r="Q8" s="696">
        <f>COUNTIFS(Risks!$AT:$AT,"=4",Risks!$B:$B,"=Active",Risks!$AX:$AX,"1")</f>
        <v>1</v>
      </c>
      <c r="R8" s="697">
        <f>COUNTIFS(Risks!$AT:$AT,"=4",Risks!$B:$B,"=Active",Risks!$AX:$AX,"2")</f>
        <v>0</v>
      </c>
      <c r="S8" s="697">
        <f>COUNTIFS(Risks!$AT:$AT,"=4",Risks!$B:$B,"=Active",Risks!$AX:$AX,"3")</f>
        <v>16</v>
      </c>
      <c r="T8" s="820">
        <f>COUNTIFS(Risks!$AT:$AT,"=4",Risks!$B:$B,"=Active",Risks!$AX:$AX,"4")</f>
        <v>10</v>
      </c>
      <c r="U8" s="820">
        <f>COUNTIFS(Risks!$AT:$AT,"=4",Risks!$B:$B,"=Active",Risks!$AX:$AX,"5")</f>
        <v>0</v>
      </c>
    </row>
    <row r="9" spans="2:22" s="8" customFormat="1" ht="20.25" customHeight="1" x14ac:dyDescent="0.25">
      <c r="B9" s="11">
        <v>6.06</v>
      </c>
      <c r="C9" s="13" t="s">
        <v>1895</v>
      </c>
      <c r="D9" s="14">
        <f>COUNTIFS(Risks!$D:$D,"=Threat",Risks!$B:$B,"=Active",Risks!$E:$E,"*"&amp;$B9&amp;"*",Risks!$AZ:$AZ,"High")</f>
        <v>2</v>
      </c>
      <c r="E9" s="14">
        <f>COUNTIFS(Risks!$D:$D,"=Threat",Risks!$B:$B,"=Active",Risks!$E:$E,"*"&amp;$B9&amp;"*",Risks!$AZ:$AZ,"Moderate")</f>
        <v>8</v>
      </c>
      <c r="F9" s="14">
        <f>COUNTIFS(Risks!$D:$D,"=Threat",Risks!$B:$B,"=Active",Risks!$E:$E,"*"&amp;$B9&amp;"*",Risks!$AZ:$AZ,"Low")</f>
        <v>6</v>
      </c>
      <c r="G9" s="14">
        <f t="shared" si="0"/>
        <v>16</v>
      </c>
      <c r="H9" s="14">
        <f>COUNTIFS(Risks!$D:$D,"=Opportunity",Risks!$B:$B,"=Active",Risks!$E:$E,"*"&amp;$B9&amp;"*")</f>
        <v>1</v>
      </c>
      <c r="I9" s="14">
        <f t="shared" si="1"/>
        <v>17</v>
      </c>
      <c r="J9" s="701">
        <f>COUNTIFS(Risks!$B:$B,"Retired",Risks!$E:$E,"*"&amp;$B9&amp;"*")</f>
        <v>12</v>
      </c>
      <c r="K9" s="14">
        <f t="shared" si="2"/>
        <v>29</v>
      </c>
      <c r="M9" s="711"/>
      <c r="N9" s="1034"/>
      <c r="O9" s="822" t="s">
        <v>1465</v>
      </c>
      <c r="P9" s="826">
        <v>3</v>
      </c>
      <c r="Q9" s="696">
        <f>COUNTIFS(Risks!$AT:$AT,"=3",Risks!$B:$B,"=Active",Risks!$AX:$AX,"1")</f>
        <v>1</v>
      </c>
      <c r="R9" s="696">
        <f>COUNTIFS(Risks!$AT:$AT,"=3",Risks!$B:$B,"=Active",Risks!$AX:$AX,"2")</f>
        <v>4</v>
      </c>
      <c r="S9" s="697">
        <f>COUNTIFS(Risks!$AT:$AT,"=3",Risks!$B:$B,"=Active",Risks!$AX:$AX,"3")</f>
        <v>25</v>
      </c>
      <c r="T9" s="697">
        <f>COUNTIFS(Risks!$AT:$AT,"=3",Risks!$B:$B,"=Active",Risks!$AX:$AX,"4")</f>
        <v>13</v>
      </c>
      <c r="U9" s="820">
        <f>COUNTIFS(Risks!$AT:$AT,"=3",Risks!$B:$B,"=Active",Risks!$AX:$AX,"5")</f>
        <v>4</v>
      </c>
    </row>
    <row r="10" spans="2:22" s="8" customFormat="1" ht="20.25" customHeight="1" x14ac:dyDescent="0.25">
      <c r="B10" s="11">
        <v>6.07</v>
      </c>
      <c r="C10" s="13" t="s">
        <v>1896</v>
      </c>
      <c r="D10" s="14">
        <f>COUNTIFS(Risks!$D:$D,"=Threat",Risks!$B:$B,"=Active",Risks!$E:$E,"*"&amp;$B10&amp;"*",Risks!$AZ:$AZ,"High")</f>
        <v>0</v>
      </c>
      <c r="E10" s="14">
        <f>COUNTIFS(Risks!$D:$D,"=Threat",Risks!$B:$B,"=Active",Risks!$E:$E,"*"&amp;$B10&amp;"*",Risks!$AZ:$AZ,"Moderate")</f>
        <v>2</v>
      </c>
      <c r="F10" s="14">
        <f>COUNTIFS(Risks!$D:$D,"=Threat",Risks!$B:$B,"=Active",Risks!$E:$E,"*"&amp;$B10&amp;"*",Risks!$AZ:$AZ,"Low")</f>
        <v>5</v>
      </c>
      <c r="G10" s="14">
        <f t="shared" si="0"/>
        <v>7</v>
      </c>
      <c r="H10" s="14">
        <f>COUNTIFS(Risks!$D:$D,"=Opportunity",Risks!$B:$B,"=Active",Risks!$E:$E,"*"&amp;$B10&amp;"*")</f>
        <v>0</v>
      </c>
      <c r="I10" s="14">
        <f t="shared" si="1"/>
        <v>7</v>
      </c>
      <c r="J10" s="701">
        <f>COUNTIFS(Risks!$B:$B,"Retired",Risks!$E:$E,"*"&amp;$B10&amp;"*")</f>
        <v>9</v>
      </c>
      <c r="K10" s="14">
        <f t="shared" si="2"/>
        <v>16</v>
      </c>
      <c r="M10" s="711"/>
      <c r="N10" s="1034"/>
      <c r="O10" s="822" t="s">
        <v>1897</v>
      </c>
      <c r="P10" s="826">
        <v>2</v>
      </c>
      <c r="Q10" s="696">
        <f>COUNTIFS(Risks!$AT:$AT,"=2",Risks!$B:$B,"=Active",Risks!$AX:$AX,"1")</f>
        <v>9</v>
      </c>
      <c r="R10" s="696">
        <f>COUNTIFS(Risks!$AT:$AT,"=2",Risks!$B:$B,"=Active",Risks!$AX:$AX,"2")</f>
        <v>7</v>
      </c>
      <c r="S10" s="696">
        <f>COUNTIFS(Risks!$AT:$AT,"=2",Risks!$B:$B,"=Active",Risks!$AX:$AX,"3")</f>
        <v>34</v>
      </c>
      <c r="T10" s="697">
        <f>COUNTIFS(Risks!$AT:$AT,"=2",Risks!$B:$B,"=Active",Risks!$AX:$AX,"4")</f>
        <v>13</v>
      </c>
      <c r="U10" s="697">
        <f>COUNTIFS(Risks!$AT:$AT,"=2",Risks!$B:$B,"=Active",Risks!$AX:$AX,"5")</f>
        <v>3</v>
      </c>
    </row>
    <row r="11" spans="2:22" s="90" customFormat="1" ht="20.25" customHeight="1" x14ac:dyDescent="0.25">
      <c r="B11" s="11">
        <v>6.08</v>
      </c>
      <c r="C11" s="13" t="s">
        <v>1098</v>
      </c>
      <c r="D11" s="14">
        <f>COUNTIFS(Risks!$D:$D,"=Threat",Risks!$B:$B,"=Active",Risks!$E:$E,"*"&amp;$B11&amp;"*",Risks!$AZ:$AZ,"High")</f>
        <v>2</v>
      </c>
      <c r="E11" s="14">
        <f>COUNTIFS(Risks!$D:$D,"=Threat",Risks!$B:$B,"=Active",Risks!$E:$E,"*"&amp;$B11&amp;"*",Risks!$AZ:$AZ,"Moderate")</f>
        <v>8</v>
      </c>
      <c r="F11" s="14">
        <f>COUNTIFS(Risks!$D:$D,"=Threat",Risks!$B:$B,"=Active",Risks!$E:$E,"*"&amp;$B11&amp;"*",Risks!$AZ:$AZ,"Low")</f>
        <v>9</v>
      </c>
      <c r="G11" s="14">
        <f t="shared" si="0"/>
        <v>19</v>
      </c>
      <c r="H11" s="14">
        <f>COUNTIFS(Risks!$D:$D,"=Opportunity",Risks!$B:$B,"=Active",Risks!$E:$E,"*"&amp;$B11&amp;"*")</f>
        <v>0</v>
      </c>
      <c r="I11" s="14">
        <f t="shared" si="1"/>
        <v>19</v>
      </c>
      <c r="J11" s="701">
        <f>COUNTIFS(Risks!$B:$B,"Retired",Risks!$E:$E,"*"&amp;$B11&amp;"*")</f>
        <v>16</v>
      </c>
      <c r="K11" s="14">
        <f t="shared" si="2"/>
        <v>35</v>
      </c>
      <c r="M11" s="711"/>
      <c r="N11" s="1034"/>
      <c r="O11" s="822" t="s">
        <v>1898</v>
      </c>
      <c r="P11" s="826">
        <v>1</v>
      </c>
      <c r="Q11" s="696">
        <f>COUNTIFS(Risks!$AT:$AT,"=1",Risks!$B:$B,"=Active",Risks!$AX:$AX,"1")</f>
        <v>3</v>
      </c>
      <c r="R11" s="696">
        <f>COUNTIFS(Risks!$AT:$AT,"=1",Risks!$B:$B,"=Active",Risks!$AX:$AX,"2")</f>
        <v>3</v>
      </c>
      <c r="S11" s="696">
        <f>COUNTIFS(Risks!$AT:$AT,"=1",Risks!$B:$B,"=Active",Risks!$AX:$AX,"3")</f>
        <v>13</v>
      </c>
      <c r="T11" s="696">
        <f>COUNTIFS(Risks!$AT:$AT,"=1",Risks!$B:$B,"=Active",Risks!$AX:$AX,"4")</f>
        <v>10</v>
      </c>
      <c r="U11" s="696">
        <f>COUNTIFS(Risks!$AT:$AT,"=1",Risks!$B:$B,"=Active",Risks!$AX:$AX,"5")</f>
        <v>3</v>
      </c>
    </row>
    <row r="12" spans="2:22" s="90" customFormat="1" ht="20.25" customHeight="1" x14ac:dyDescent="0.25">
      <c r="B12" s="89">
        <v>6.09</v>
      </c>
      <c r="C12" s="13" t="s">
        <v>1899</v>
      </c>
      <c r="D12" s="14">
        <f>COUNTIFS(Risks!$D:$D,"=Threat",Risks!$B:$B,"=Active",Risks!$E:$E,"*"&amp;$B12&amp;"*",Risks!$AZ:$AZ,"High")</f>
        <v>0</v>
      </c>
      <c r="E12" s="14">
        <f>COUNTIFS(Risks!$D:$D,"=Threat",Risks!$B:$B,"=Active",Risks!$E:$E,"*"&amp;$B12&amp;"*",Risks!$AZ:$AZ,"Moderate")</f>
        <v>3</v>
      </c>
      <c r="F12" s="14">
        <f>COUNTIFS(Risks!$D:$D,"=Threat",Risks!$B:$B,"=Active",Risks!$E:$E,"*"&amp;$B12&amp;"*",Risks!$AZ:$AZ,"Low")</f>
        <v>4</v>
      </c>
      <c r="G12" s="14">
        <f t="shared" si="0"/>
        <v>7</v>
      </c>
      <c r="H12" s="14">
        <f>COUNTIFS(Risks!$D:$D,"=Opportunity",Risks!$B:$B,"=Active",Risks!$E:$E,"*"&amp;$B12&amp;"*")</f>
        <v>0</v>
      </c>
      <c r="I12" s="14">
        <f t="shared" si="1"/>
        <v>7</v>
      </c>
      <c r="J12" s="701">
        <f>COUNTIFS(Risks!$B:$B,"Retired",Risks!$E:$E,"*"&amp;$B12&amp;"*")</f>
        <v>3</v>
      </c>
      <c r="K12" s="14">
        <f t="shared" si="2"/>
        <v>10</v>
      </c>
      <c r="M12" s="710"/>
      <c r="N12" s="710"/>
      <c r="O12" s="710"/>
      <c r="P12" s="710"/>
      <c r="Q12" s="710"/>
      <c r="R12" s="710"/>
      <c r="S12" s="710"/>
      <c r="T12" s="710"/>
      <c r="U12" s="710"/>
    </row>
    <row r="13" spans="2:22" s="90" customFormat="1" ht="20.25" customHeight="1" x14ac:dyDescent="0.25">
      <c r="B13" s="89" t="s">
        <v>1900</v>
      </c>
      <c r="C13" s="13" t="s">
        <v>1901</v>
      </c>
      <c r="D13" s="14">
        <f>COUNTIFS(Risks!$D:$D,"=Threat",Risks!$B:$B,"=Active",Risks!$E:$E,"*"&amp;$B13&amp;"*",Risks!$AZ:$AZ,"High")</f>
        <v>1</v>
      </c>
      <c r="E13" s="14">
        <f>COUNTIFS(Risks!$D:$D,"=Threat",Risks!$B:$B,"=Active",Risks!$E:$E,"*"&amp;$B13&amp;"*",Risks!$AZ:$AZ,"Moderate")</f>
        <v>8</v>
      </c>
      <c r="F13" s="14">
        <f>COUNTIFS(Risks!$D:$D,"=Threat",Risks!$B:$B,"=Active",Risks!$E:$E,"*"&amp;$B13&amp;"*",Risks!$AZ:$AZ,"Low")</f>
        <v>19</v>
      </c>
      <c r="G13" s="14">
        <f t="shared" si="0"/>
        <v>28</v>
      </c>
      <c r="H13" s="14">
        <f>COUNTIFS(Risks!$D:$D,"=Opportunity",Risks!$B:$B,"=Active",Risks!$E:$E,"*"&amp;$B13&amp;"*")</f>
        <v>3</v>
      </c>
      <c r="I13" s="14">
        <f t="shared" si="1"/>
        <v>31</v>
      </c>
      <c r="J13" s="701">
        <f>COUNTIFS(Risks!$B:$B,"Retired",Risks!$E:$E,"*"&amp;$B13&amp;"*")</f>
        <v>9</v>
      </c>
      <c r="K13" s="14">
        <f t="shared" si="2"/>
        <v>40</v>
      </c>
      <c r="M13" s="710"/>
      <c r="N13" s="710"/>
      <c r="O13" s="710"/>
      <c r="P13" s="710"/>
      <c r="Q13" s="710"/>
      <c r="R13" s="710"/>
      <c r="S13" s="710"/>
      <c r="T13" s="831" t="s">
        <v>1902</v>
      </c>
      <c r="U13" s="831">
        <f>SUM(Q7:U11)</f>
        <v>174</v>
      </c>
    </row>
    <row r="14" spans="2:22" s="90" customFormat="1" ht="20.25" customHeight="1" x14ac:dyDescent="0.25">
      <c r="B14" s="236">
        <v>6.11</v>
      </c>
      <c r="C14" s="13" t="s">
        <v>1903</v>
      </c>
      <c r="D14" s="14">
        <f>COUNTIFS(Risks!$D:$D,"=Threat",Risks!$B:$B,"=Active",Risks!$E:$E,"*"&amp;$B14&amp;"*",Risks!$AZ:$AZ,"High")</f>
        <v>5</v>
      </c>
      <c r="E14" s="14">
        <f>COUNTIFS(Risks!$D:$D,"=Threat",Risks!$B:$B,"=Active",Risks!$E:$E,"*"&amp;$B14&amp;"*",Risks!$AZ:$AZ,"Moderate")</f>
        <v>12</v>
      </c>
      <c r="F14" s="14">
        <f>COUNTIFS(Risks!$D:$D,"=Threat",Risks!$B:$B,"=Active",Risks!$E:$E,"*"&amp;$B14&amp;"*",Risks!$AZ:$AZ,"Low")</f>
        <v>10</v>
      </c>
      <c r="G14" s="14">
        <f t="shared" si="0"/>
        <v>27</v>
      </c>
      <c r="H14" s="14">
        <f>COUNTIFS(Risks!$D:$D,"=Opportunity",Risks!$B:$B,"=Active",Risks!$E:$E,"*"&amp;$B14&amp;"*")</f>
        <v>2</v>
      </c>
      <c r="I14" s="14">
        <f t="shared" si="1"/>
        <v>29</v>
      </c>
      <c r="J14" s="701">
        <f>COUNTIFS(Risks!$B:$B,"Retired",Risks!$E:$E,"*"&amp;$B14&amp;"*")</f>
        <v>9</v>
      </c>
      <c r="K14" s="14">
        <f t="shared" si="2"/>
        <v>38</v>
      </c>
    </row>
    <row r="15" spans="2:22" s="90" customFormat="1" ht="20.25" customHeight="1" x14ac:dyDescent="0.25">
      <c r="B15" s="89">
        <v>6.12</v>
      </c>
      <c r="C15" s="13" t="s">
        <v>1904</v>
      </c>
      <c r="D15" s="14">
        <f>COUNTIFS(Risks!$D:$D,"=Threat",Risks!$B:$B,"=Active",Risks!$E:$E,"*"&amp;$B15&amp;"*",Risks!$AZ:$AZ,"High")</f>
        <v>1</v>
      </c>
      <c r="E15" s="14">
        <f>COUNTIFS(Risks!$D:$D,"=Threat",Risks!$B:$B,"=Active",Risks!$E:$E,"*"&amp;$B15&amp;"*",Risks!$AZ:$AZ,"Moderate")</f>
        <v>3</v>
      </c>
      <c r="F15" s="14">
        <f>COUNTIFS(Risks!$D:$D,"=Threat",Risks!$B:$B,"=Active",Risks!$E:$E,"*"&amp;$B15&amp;"*",Risks!$AZ:$AZ,"Low")</f>
        <v>0</v>
      </c>
      <c r="G15" s="14">
        <f t="shared" si="0"/>
        <v>4</v>
      </c>
      <c r="H15" s="14">
        <f>COUNTIFS(Risks!$D:$D,"=Opportunity",Risks!$B:$B,"=Active",Risks!$E:$E,"*"&amp;$B15&amp;"*")</f>
        <v>0</v>
      </c>
      <c r="I15" s="14">
        <f t="shared" si="1"/>
        <v>4</v>
      </c>
      <c r="J15" s="701">
        <f>COUNTIFS(Risks!$B:$B,"Retired",Risks!$E:$E,"*"&amp;$B15&amp;"*")</f>
        <v>2</v>
      </c>
      <c r="K15" s="14">
        <f t="shared" si="2"/>
        <v>6</v>
      </c>
      <c r="M15" s="710"/>
      <c r="N15" s="710"/>
      <c r="O15" s="710"/>
      <c r="P15" s="710"/>
      <c r="Q15" s="710"/>
      <c r="R15" s="710"/>
      <c r="S15" s="710"/>
      <c r="T15" s="710"/>
      <c r="U15" s="710"/>
      <c r="V15" s="710"/>
    </row>
    <row r="16" spans="2:22" s="8" customFormat="1" ht="20.25" customHeight="1" x14ac:dyDescent="0.25">
      <c r="B16" s="89"/>
      <c r="C16" s="13" t="s">
        <v>1905</v>
      </c>
      <c r="D16" s="24">
        <f>SUM(D4:D15)</f>
        <v>14</v>
      </c>
      <c r="E16" s="23">
        <f t="shared" ref="E16:J16" si="3">SUM(E4:E15)</f>
        <v>65</v>
      </c>
      <c r="F16" s="22">
        <f t="shared" si="3"/>
        <v>86</v>
      </c>
      <c r="G16" s="11">
        <f t="shared" si="3"/>
        <v>165</v>
      </c>
      <c r="H16" s="11">
        <f t="shared" si="3"/>
        <v>9</v>
      </c>
      <c r="I16" s="11">
        <f t="shared" si="1"/>
        <v>174</v>
      </c>
      <c r="J16" s="702">
        <f t="shared" si="3"/>
        <v>100</v>
      </c>
      <c r="K16" s="11">
        <f t="shared" si="2"/>
        <v>274</v>
      </c>
      <c r="M16" s="710"/>
      <c r="N16" s="710"/>
      <c r="O16" s="710"/>
      <c r="P16" s="710"/>
      <c r="Q16" s="710"/>
      <c r="R16" s="710"/>
      <c r="S16" s="710"/>
      <c r="T16" s="831" t="s">
        <v>1902</v>
      </c>
      <c r="U16" s="831">
        <f>SUM(Q10:U14)</f>
        <v>272</v>
      </c>
      <c r="V16" s="710"/>
    </row>
    <row r="17" spans="13:30" ht="20.25" customHeight="1" x14ac:dyDescent="0.25">
      <c r="M17" s="710"/>
      <c r="N17" s="710"/>
      <c r="O17" s="710"/>
      <c r="P17" s="710"/>
      <c r="Q17" s="710"/>
      <c r="R17" s="710"/>
      <c r="S17" s="710"/>
      <c r="T17" s="824"/>
      <c r="U17" s="824"/>
      <c r="V17" s="710"/>
    </row>
    <row r="18" spans="13:30" ht="20.25" customHeight="1" x14ac:dyDescent="0.3">
      <c r="M18" s="710"/>
      <c r="N18" s="711"/>
      <c r="O18" s="711"/>
      <c r="P18" s="1039" t="s">
        <v>1906</v>
      </c>
      <c r="Q18" s="1039"/>
      <c r="R18" s="1039"/>
      <c r="S18" s="1039"/>
      <c r="T18" s="1040"/>
      <c r="U18" s="711"/>
      <c r="V18" s="710"/>
      <c r="W18" s="711"/>
      <c r="X18" s="711"/>
      <c r="Y18" s="971" t="s">
        <v>1907</v>
      </c>
      <c r="Z18" s="971"/>
      <c r="AA18" s="971"/>
      <c r="AB18" s="971"/>
      <c r="AD18" s="711"/>
    </row>
    <row r="19" spans="13:30" ht="20.25" customHeight="1" x14ac:dyDescent="0.25">
      <c r="M19" s="710"/>
      <c r="N19" s="707"/>
      <c r="O19" s="708"/>
      <c r="P19" s="709"/>
      <c r="Q19" s="1035" t="s">
        <v>1887</v>
      </c>
      <c r="R19" s="1036"/>
      <c r="S19" s="1036"/>
      <c r="T19" s="1036"/>
      <c r="U19" s="1036"/>
      <c r="V19" s="710"/>
      <c r="W19" s="707"/>
      <c r="X19" s="708"/>
      <c r="Y19" s="709"/>
      <c r="Z19" s="994" t="s">
        <v>1887</v>
      </c>
      <c r="AA19" s="970"/>
      <c r="AB19" s="970"/>
      <c r="AC19" s="970"/>
      <c r="AD19" s="970"/>
    </row>
    <row r="20" spans="13:30" ht="20.25" customHeight="1" x14ac:dyDescent="0.25">
      <c r="M20" s="710"/>
      <c r="N20" s="707"/>
      <c r="O20" s="834" t="s">
        <v>101</v>
      </c>
      <c r="P20" s="823"/>
      <c r="Q20" s="822" t="s">
        <v>207</v>
      </c>
      <c r="R20" s="822" t="s">
        <v>280</v>
      </c>
      <c r="S20" s="822" t="s">
        <v>307</v>
      </c>
      <c r="T20" s="822" t="s">
        <v>406</v>
      </c>
      <c r="U20" s="822" t="s">
        <v>600</v>
      </c>
      <c r="V20" s="710"/>
      <c r="W20" s="711"/>
      <c r="X20" s="834" t="s">
        <v>101</v>
      </c>
      <c r="Y20" s="823"/>
      <c r="Z20" s="822" t="s">
        <v>207</v>
      </c>
      <c r="AA20" s="822" t="s">
        <v>280</v>
      </c>
      <c r="AB20" s="822" t="s">
        <v>307</v>
      </c>
      <c r="AC20" s="822" t="s">
        <v>406</v>
      </c>
      <c r="AD20" s="822" t="s">
        <v>600</v>
      </c>
    </row>
    <row r="21" spans="13:30" ht="20.25" customHeight="1" x14ac:dyDescent="0.25">
      <c r="M21" s="710"/>
      <c r="N21" s="709"/>
      <c r="O21" s="821"/>
      <c r="P21" s="825" t="s">
        <v>1890</v>
      </c>
      <c r="Q21" s="830">
        <v>1</v>
      </c>
      <c r="R21" s="830">
        <v>2</v>
      </c>
      <c r="S21" s="830">
        <v>3</v>
      </c>
      <c r="T21" s="830">
        <v>4</v>
      </c>
      <c r="U21" s="830">
        <v>5</v>
      </c>
      <c r="V21" s="710"/>
      <c r="W21" s="709"/>
      <c r="X21" s="821"/>
      <c r="Y21" s="825" t="s">
        <v>1890</v>
      </c>
      <c r="Z21" s="830">
        <v>1</v>
      </c>
      <c r="AA21" s="830">
        <v>2</v>
      </c>
      <c r="AB21" s="830">
        <v>3</v>
      </c>
      <c r="AC21" s="830">
        <v>4</v>
      </c>
      <c r="AD21" s="830">
        <v>5</v>
      </c>
    </row>
    <row r="22" spans="13:30" ht="20.25" customHeight="1" x14ac:dyDescent="0.25">
      <c r="M22" s="710"/>
      <c r="N22" s="1033" t="s">
        <v>1892</v>
      </c>
      <c r="O22" s="822" t="s">
        <v>1893</v>
      </c>
      <c r="P22" s="829">
        <v>5</v>
      </c>
      <c r="Q22" s="696">
        <f>COUNTIFS(Risks!$S:$S,"=5",Risks!$C:$C,"*&amp;LLP-CD3A",Risks!$B:$B,"=Active",Risks!$W:$W,"1")</f>
        <v>0</v>
      </c>
      <c r="R22" s="697">
        <f>COUNTIFS(Risks!$S:$S,"=5",Risks!$B:$B,"=Active",Risks!$C:$C,"*LLP-CD3A",Risks!$W:$W,"2")</f>
        <v>0</v>
      </c>
      <c r="S22" s="820">
        <f>COUNTIFS(Risks!$S:$S,"=5",Risks!$B:$B,"=Active",Risks!$C:$C,"*LLP-CD3A",Risks!$W:$W,"3")</f>
        <v>1</v>
      </c>
      <c r="T22" s="820">
        <f>COUNTIFS(Risks!$S:$S,"=5",Risks!$B:$B,"=Active",Risks!$C:$C,"*LLP-CD3A",Risks!$W:$W,"4")</f>
        <v>1</v>
      </c>
      <c r="U22" s="820">
        <f>COUNTIFS(Risks!$S:$S,"=5",Risks!$B:$B,"=Active",Risks!$C:$C,"*LLP-CD3A",Risks!$W:$W,"5")</f>
        <v>0</v>
      </c>
      <c r="V22" s="710"/>
      <c r="W22" s="1033" t="s">
        <v>1892</v>
      </c>
      <c r="X22" s="822" t="s">
        <v>1893</v>
      </c>
      <c r="Y22" s="829">
        <v>5</v>
      </c>
      <c r="Z22" s="696">
        <f>COUNTIFS(Risks!$S:$S,"=5",Risks!$C:$C,"*&amp;LLP-CD3B",Risks!$B:$B,"=Active",Risks!$W:$W,"1")</f>
        <v>0</v>
      </c>
      <c r="AA22" s="697">
        <f>COUNTIFS(Risks!$S:$S,"=5",Risks!$B:$B,"=Active",Risks!$C:$C,"*LLP-CD3B",Risks!$W:$W,"2")</f>
        <v>0</v>
      </c>
      <c r="AB22" s="820">
        <f>COUNTIFS(Risks!$S:$S,"=5",Risks!$B:$B,"=Active",Risks!$C:$C,"*LLP-CD3B",Risks!$W:$W,"3")</f>
        <v>0</v>
      </c>
      <c r="AC22" s="820">
        <f>COUNTIFS(Risks!$S:$S,"=5",Risks!$B:$B,"=Active",Risks!$C:$C,"*LLP-CD3B",Risks!$W:$W,"4")</f>
        <v>0</v>
      </c>
      <c r="AD22" s="820">
        <f>COUNTIFS(Risks!$S:$S,"=5",Risks!$B:$B,"=Active",Risks!$C:$C,"*LLP-CD3B",Risks!$W:$W,"5")</f>
        <v>0</v>
      </c>
    </row>
    <row r="23" spans="13:30" ht="20.25" customHeight="1" x14ac:dyDescent="0.25">
      <c r="M23" s="710"/>
      <c r="N23" s="1034"/>
      <c r="O23" s="822" t="s">
        <v>354</v>
      </c>
      <c r="P23" s="829">
        <v>4</v>
      </c>
      <c r="Q23" s="696">
        <f>COUNTIFS(Risks!$S:$S,"=4",Risks!$B:$B,"=Active",Risks!$C:$C,"*LLP-CD3A",Risks!$W:$W,"1")</f>
        <v>2</v>
      </c>
      <c r="R23" s="697">
        <f>COUNTIFS(Risks!$S:$S,"=4",Risks!$B:$B,"=Active",Risks!$C:$C,"*LLP-CD3A",Risks!$W:$W,"2")</f>
        <v>1</v>
      </c>
      <c r="S23" s="697">
        <f>COUNTIFS(Risks!$S:$S,"=4",Risks!$B:$B,"=Active",Risks!$C:$C,"*LLP-CD3A",Risks!$W:$W,"3")</f>
        <v>4</v>
      </c>
      <c r="T23" s="820">
        <f>COUNTIFS(Risks!$S:$S,"=4",Risks!$B:$B,"=Active",Risks!$C:$C,"*LLP-CD3A",Risks!$W:$W,"4")</f>
        <v>4</v>
      </c>
      <c r="U23" s="820">
        <f>COUNTIFS(Risks!$S:$S,"=4",Risks!$B:$B,"=Active",Risks!$C:$C,"*LLP-CD3A",Risks!$W:$W,"5")</f>
        <v>2</v>
      </c>
      <c r="V23" s="710"/>
      <c r="W23" s="1034"/>
      <c r="X23" s="822" t="s">
        <v>354</v>
      </c>
      <c r="Y23" s="829">
        <v>4</v>
      </c>
      <c r="Z23" s="696">
        <f>COUNTIFS(Risks!$S:$S,"=4",Risks!$B:$B,"=Active",Risks!$C:$C,"*LLP-CD3B",Risks!$W:$W,"1")</f>
        <v>0</v>
      </c>
      <c r="AA23" s="697">
        <f>COUNTIFS(Risks!$S:$S,"=4",Risks!$B:$B,"=Active",Risks!$C:$C,"*LLP-CD3B",Risks!$W:$W,"2")</f>
        <v>1</v>
      </c>
      <c r="AB23" s="697">
        <f>COUNTIFS(Risks!$S:$S,"=4",Risks!$B:$B,"=Active",Risks!$C:$C,"*LLP-CD3B",Risks!$W:$W,"3")</f>
        <v>6</v>
      </c>
      <c r="AC23" s="820">
        <f>COUNTIFS(Risks!$S:$S,"=4",Risks!$B:$B,"=Active",Risks!$C:$C,"*LLP-CD3B",Risks!$W:$W,"4")</f>
        <v>3</v>
      </c>
      <c r="AD23" s="820">
        <f>COUNTIFS(Risks!$S:$S,"=4",Risks!$B:$B,"=Active",Risks!$C:$C,"*LLP-CD3B",Risks!$W:$W,"5")</f>
        <v>0</v>
      </c>
    </row>
    <row r="24" spans="13:30" ht="20.25" customHeight="1" x14ac:dyDescent="0.25">
      <c r="M24" s="710"/>
      <c r="N24" s="1034"/>
      <c r="O24" s="822" t="s">
        <v>1465</v>
      </c>
      <c r="P24" s="829">
        <v>3</v>
      </c>
      <c r="Q24" s="696">
        <f>COUNTIFS(Risks!$S:$S,"=3",Risks!$B:$B,"=Active",Risks!$C:$C,"*LLP-CD3A",Risks!$W:$W,"1")</f>
        <v>0</v>
      </c>
      <c r="R24" s="696">
        <f>COUNTIFS(Risks!$S:$S,"=3",Risks!$B:$B,"=Active",Risks!$C:$C,"*LLP-CD3A",Risks!$W:$W,"2")</f>
        <v>1</v>
      </c>
      <c r="S24" s="697">
        <f>COUNTIFS(Risks!$S:$S,"=3",Risks!$B:$B,"=Active",Risks!$C:$C,"*LLP-CD3A",Risks!$W:$W,"3")</f>
        <v>3</v>
      </c>
      <c r="T24" s="697">
        <f>COUNTIFS(Risks!$S:$S,"=3",Risks!$B:$B,"=Active",Risks!$C:$C,"*LLP-CD3A",Risks!$W:$W,"4")</f>
        <v>1</v>
      </c>
      <c r="U24" s="820">
        <f>COUNTIFS(Risks!$S:$S,"=3",Risks!$B:$B,"=Active",Risks!$C:$C,"*LLP-CD3A",Risks!$W:$W,"5")</f>
        <v>0</v>
      </c>
      <c r="V24" s="710"/>
      <c r="W24" s="1034"/>
      <c r="X24" s="822" t="s">
        <v>1465</v>
      </c>
      <c r="Y24" s="829">
        <v>3</v>
      </c>
      <c r="Z24" s="696">
        <f>COUNTIFS(Risks!$S:$S,"=3",Risks!$B:$B,"=Active",Risks!$C:$C,"*LLP-CD3B",Risks!$W:$W,"1")</f>
        <v>0</v>
      </c>
      <c r="AA24" s="696">
        <f>COUNTIFS(Risks!$S:$S,"=3",Risks!$B:$B,"=Active",Risks!$C:$C,"*LLP-CD3B",Risks!$W:$W,"2")</f>
        <v>0</v>
      </c>
      <c r="AB24" s="697">
        <f>COUNTIFS(Risks!$S:$S,"=3",Risks!$B:$B,"=Active",Risks!$C:$C,"*LLP-CD3B",Risks!$W:$W,"3")</f>
        <v>0</v>
      </c>
      <c r="AC24" s="697">
        <f>COUNTIFS(Risks!$S:$S,"=3",Risks!$B:$B,"=Active",Risks!$C:$C,"*LLP-CD3B",Risks!$W:$W,"4")</f>
        <v>3</v>
      </c>
      <c r="AD24" s="820">
        <f>COUNTIFS(Risks!$S:$S,"=3",Risks!$B:$B,"=Active",Risks!$C:$C,"*LLP-CD3B",Risks!$W:$W,"5")</f>
        <v>0</v>
      </c>
    </row>
    <row r="25" spans="13:30" ht="20.25" customHeight="1" x14ac:dyDescent="0.25">
      <c r="M25" s="710"/>
      <c r="N25" s="1034"/>
      <c r="O25" s="822" t="s">
        <v>1897</v>
      </c>
      <c r="P25" s="829">
        <v>2</v>
      </c>
      <c r="Q25" s="696">
        <f>COUNTIFS(Risks!$S:$S,"=2",Risks!$B:$B,"=Active",Risks!$C:$C,"*LLP-CD3A",Risks!$W:$W,"1")</f>
        <v>2</v>
      </c>
      <c r="R25" s="696">
        <f>COUNTIFS(Risks!$S:$S,"=2",Risks!$B:$B,"=Active",Risks!$C:$C,"*LLP-CD3A",Risks!$W:$W,"2")</f>
        <v>0</v>
      </c>
      <c r="S25" s="696">
        <f>COUNTIFS(Risks!$S:$S,"=2",Risks!$B:$B,"=Active",Risks!$C:$C,"*LLP-CD3A",Risks!$W:$W,"3")</f>
        <v>0</v>
      </c>
      <c r="T25" s="697">
        <f>COUNTIFS(Risks!$S:$S,"=2",Risks!$B:$B,"=Active",Risks!$C:$C,"*LLP-CD3A",Risks!$W:$W,"4")</f>
        <v>0</v>
      </c>
      <c r="U25" s="697">
        <f>COUNTIFS(Risks!$S:$S,"=2",Risks!$B:$B,"=Active",Risks!$C:$C,"*LLP-CD3A",Risks!$W:$W,"5")</f>
        <v>0</v>
      </c>
      <c r="V25" s="710"/>
      <c r="W25" s="1034"/>
      <c r="X25" s="822" t="s">
        <v>1897</v>
      </c>
      <c r="Y25" s="829">
        <v>2</v>
      </c>
      <c r="Z25" s="696">
        <f>COUNTIFS(Risks!$S:$S,"=2",Risks!$B:$B,"=Active",Risks!$C:$C,"*LLP-CD3B",Risks!$W:$W,"1")</f>
        <v>1</v>
      </c>
      <c r="AA25" s="696">
        <f>COUNTIFS(Risks!$S:$S,"=2",Risks!$B:$B,"=Active",Risks!$C:$C,"*LLP-CD3B",Risks!$W:$W,"2")</f>
        <v>0</v>
      </c>
      <c r="AB25" s="696">
        <f>COUNTIFS(Risks!$S:$S,"=2",Risks!$B:$B,"=Active",Risks!$C:$C,"*LLP-CD3B",Risks!$W:$W,"3")</f>
        <v>0</v>
      </c>
      <c r="AC25" s="697">
        <f>COUNTIFS(Risks!$S:$S,"=2",Risks!$B:$B,"=Active",Risks!$C:$C,"*LLP-CD3B",Risks!$W:$W,"4")</f>
        <v>1</v>
      </c>
      <c r="AD25" s="697">
        <f>COUNTIFS(Risks!$S:$S,"=2",Risks!$B:$B,"=Active",Risks!$C:$C,"*LLP-CD3B",Risks!$W:$W,"5")</f>
        <v>2</v>
      </c>
    </row>
    <row r="26" spans="13:30" ht="20.25" customHeight="1" x14ac:dyDescent="0.25">
      <c r="M26" s="710"/>
      <c r="N26" s="1034"/>
      <c r="O26" s="822" t="s">
        <v>1898</v>
      </c>
      <c r="P26" s="829">
        <v>1</v>
      </c>
      <c r="Q26" s="696">
        <f>COUNTIFS(Risks!$S:$S,"=1",Risks!$B:$B,"=Active",Risks!$C:$C,"*LLP-CD3A",Risks!$W:$W,"1")</f>
        <v>0</v>
      </c>
      <c r="R26" s="696">
        <f>COUNTIFS(Risks!$S:$S,"=1",Risks!$B:$B,"=Active",Risks!$C:$C,"*LLP-CD3A",Risks!$W:$W,"2")</f>
        <v>0</v>
      </c>
      <c r="S26" s="696">
        <f>COUNTIFS(Risks!$S:$S,"=1",Risks!$B:$B,"=Active",Risks!$C:$C,"*LLP-CD3A",Risks!$W:$W,"3")</f>
        <v>0</v>
      </c>
      <c r="T26" s="696">
        <f>COUNTIFS(Risks!$S:$S,"=1",Risks!$B:$B,"=Active",Risks!$C:$C,"*LLP-CD3A",Risks!$W:$W,"4")</f>
        <v>0</v>
      </c>
      <c r="U26" s="696">
        <f>COUNTIFS(Risks!$S:$S,"=1",Risks!$B:$B,"=Active",Risks!$C:$C,"*LLP-CD3A",Risks!$W:$W,"5")</f>
        <v>0</v>
      </c>
      <c r="V26" s="710"/>
      <c r="W26" s="1034"/>
      <c r="X26" s="822" t="s">
        <v>1898</v>
      </c>
      <c r="Y26" s="829">
        <v>1</v>
      </c>
      <c r="Z26" s="696">
        <f>COUNTIFS(Risks!$S:$S,"=1",Risks!$B:$B,"=Active",Risks!$C:$C,"*LLP-CD3B",Risks!$W:$W,"1")</f>
        <v>0</v>
      </c>
      <c r="AA26" s="696">
        <f>COUNTIFS(Risks!$S:$S,"=1",Risks!$B:$B,"=Active",Risks!$C:$C,"*LLP-CD3B",Risks!$W:$W,"2")</f>
        <v>0</v>
      </c>
      <c r="AB26" s="696">
        <f>COUNTIFS(Risks!$S:$S,"=1",Risks!$B:$B,"=Active",Risks!$C:$C,"*LLP-CD3B",Risks!$W:$W,"3")</f>
        <v>0</v>
      </c>
      <c r="AC26" s="696">
        <f>COUNTIFS(Risks!$S:$S,"=1",Risks!$B:$B,"=Active",Risks!$C:$C,"*LLP-CD3B",Risks!$W:$W,"4")</f>
        <v>0</v>
      </c>
      <c r="AD26" s="696">
        <f>COUNTIFS(Risks!$S:$S,"=1",Risks!$B:$B,"=Active",Risks!$C:$C,"*LLP-CD3B",Risks!$W:$W,"5")</f>
        <v>0</v>
      </c>
    </row>
    <row r="27" spans="13:30" ht="20.25" customHeight="1" x14ac:dyDescent="0.25">
      <c r="M27" s="710"/>
      <c r="N27" s="712"/>
      <c r="O27" s="712"/>
      <c r="P27" s="712"/>
      <c r="Q27" s="712"/>
      <c r="R27" s="712"/>
      <c r="S27" s="712"/>
      <c r="T27" s="712"/>
      <c r="U27" s="712"/>
      <c r="V27" s="710"/>
      <c r="W27" s="712"/>
      <c r="X27" s="712"/>
      <c r="Y27" s="712"/>
      <c r="Z27" s="712"/>
      <c r="AA27" s="712"/>
      <c r="AB27" s="712"/>
      <c r="AC27" s="712"/>
      <c r="AD27" s="712"/>
    </row>
    <row r="28" spans="13:30" ht="20.25" customHeight="1" x14ac:dyDescent="0.25">
      <c r="M28" s="710"/>
      <c r="N28" s="712"/>
      <c r="O28" s="712"/>
      <c r="P28" s="712"/>
      <c r="Q28" s="712"/>
      <c r="R28" s="712"/>
      <c r="S28" s="712"/>
      <c r="T28" s="712"/>
      <c r="U28" s="712"/>
      <c r="V28" s="710"/>
      <c r="W28" s="712"/>
      <c r="X28" s="712"/>
      <c r="Y28" s="712"/>
      <c r="Z28" s="712"/>
      <c r="AA28" s="712"/>
      <c r="AB28" s="712"/>
      <c r="AC28" s="712"/>
      <c r="AD28" s="712"/>
    </row>
    <row r="29" spans="13:30" ht="20.25" customHeight="1" x14ac:dyDescent="0.25">
      <c r="M29" s="710"/>
      <c r="N29" s="712"/>
      <c r="O29" s="712"/>
      <c r="P29" s="712"/>
      <c r="Q29" s="712"/>
      <c r="R29" s="712"/>
      <c r="S29" s="712"/>
      <c r="T29" s="832" t="s">
        <v>1902</v>
      </c>
      <c r="U29" s="832">
        <f>SUM(Q22:U26)</f>
        <v>22</v>
      </c>
      <c r="V29" s="710"/>
      <c r="W29" s="712"/>
      <c r="X29" s="712"/>
      <c r="Y29" s="712"/>
      <c r="Z29" s="712"/>
      <c r="AA29" s="712"/>
      <c r="AB29" s="712"/>
      <c r="AC29" s="832" t="s">
        <v>1902</v>
      </c>
      <c r="AD29" s="832">
        <f>SUM(Z22:AD26)</f>
        <v>17</v>
      </c>
    </row>
    <row r="30" spans="13:30" ht="20.25" customHeight="1" x14ac:dyDescent="0.3">
      <c r="M30" s="710"/>
      <c r="N30" s="711"/>
      <c r="O30" s="711"/>
      <c r="P30" s="1039" t="s">
        <v>1908</v>
      </c>
      <c r="Q30" s="1039"/>
      <c r="R30" s="1039"/>
      <c r="S30" s="1039"/>
      <c r="T30" s="1040"/>
      <c r="U30" s="711"/>
      <c r="V30" s="710"/>
      <c r="X30" s="711"/>
      <c r="Y30" s="1039" t="s">
        <v>1909</v>
      </c>
      <c r="Z30" s="1039"/>
      <c r="AA30" s="1039"/>
      <c r="AB30" s="1039"/>
      <c r="AC30" s="1040"/>
      <c r="AD30" s="711"/>
    </row>
    <row r="31" spans="13:30" ht="20.25" customHeight="1" x14ac:dyDescent="0.25">
      <c r="M31" s="710"/>
      <c r="N31" s="707"/>
      <c r="O31" s="708"/>
      <c r="P31" s="709"/>
      <c r="Q31" s="1035" t="s">
        <v>1887</v>
      </c>
      <c r="R31" s="1036"/>
      <c r="S31" s="1036"/>
      <c r="T31" s="1036"/>
      <c r="U31" s="1036"/>
      <c r="V31" s="710"/>
      <c r="W31" s="711"/>
      <c r="X31" s="708"/>
      <c r="Y31" s="709"/>
      <c r="Z31" s="1035" t="s">
        <v>1887</v>
      </c>
      <c r="AA31" s="1036"/>
      <c r="AB31" s="1036"/>
      <c r="AC31" s="1036"/>
      <c r="AD31" s="1036"/>
    </row>
    <row r="32" spans="13:30" ht="20.25" customHeight="1" x14ac:dyDescent="0.25">
      <c r="M32" s="710"/>
      <c r="N32" s="707"/>
      <c r="O32" s="834" t="s">
        <v>101</v>
      </c>
      <c r="P32" s="823"/>
      <c r="Q32" s="822" t="s">
        <v>207</v>
      </c>
      <c r="R32" s="822" t="s">
        <v>280</v>
      </c>
      <c r="S32" s="822" t="s">
        <v>307</v>
      </c>
      <c r="T32" s="822" t="s">
        <v>406</v>
      </c>
      <c r="U32" s="822" t="s">
        <v>600</v>
      </c>
      <c r="V32" s="710"/>
      <c r="W32" s="707"/>
      <c r="X32" s="834" t="s">
        <v>101</v>
      </c>
      <c r="Y32" s="823"/>
      <c r="Z32" s="822" t="s">
        <v>207</v>
      </c>
      <c r="AA32" s="822" t="s">
        <v>280</v>
      </c>
      <c r="AB32" s="822" t="s">
        <v>307</v>
      </c>
      <c r="AC32" s="822" t="s">
        <v>406</v>
      </c>
      <c r="AD32" s="822" t="s">
        <v>600</v>
      </c>
    </row>
    <row r="33" spans="13:31" ht="20.25" customHeight="1" x14ac:dyDescent="0.25">
      <c r="M33" s="710"/>
      <c r="N33" s="709"/>
      <c r="O33" s="821"/>
      <c r="P33" s="828" t="s">
        <v>1890</v>
      </c>
      <c r="Q33" s="830">
        <v>1</v>
      </c>
      <c r="R33" s="830">
        <v>2</v>
      </c>
      <c r="S33" s="830">
        <v>3</v>
      </c>
      <c r="T33" s="830">
        <v>4</v>
      </c>
      <c r="U33" s="830">
        <v>5</v>
      </c>
      <c r="V33" s="710"/>
      <c r="W33" s="707"/>
      <c r="X33" s="821"/>
      <c r="Y33" s="828" t="s">
        <v>1890</v>
      </c>
      <c r="Z33" s="830">
        <v>1</v>
      </c>
      <c r="AA33" s="830">
        <v>2</v>
      </c>
      <c r="AB33" s="830">
        <v>3</v>
      </c>
      <c r="AC33" s="830">
        <v>4</v>
      </c>
      <c r="AD33" s="830">
        <v>5</v>
      </c>
    </row>
    <row r="34" spans="13:31" ht="20.25" customHeight="1" x14ac:dyDescent="0.25">
      <c r="M34" s="710"/>
      <c r="N34" s="1033" t="s">
        <v>1892</v>
      </c>
      <c r="O34" s="833" t="s">
        <v>1893</v>
      </c>
      <c r="P34" s="829">
        <v>5</v>
      </c>
      <c r="Q34" s="696">
        <f>COUNTIFS(Risks!$AT:$AT,"=5",Risks!$C:$C,"*&amp;LLP-CD3A",Risks!$B:$B,"=Active",Risks!$AX:$AX,"1")</f>
        <v>0</v>
      </c>
      <c r="R34" s="697">
        <f>COUNTIFS(Risks!$AT:$AT,"=5",Risks!$B:$B,"=Active",Risks!$C:$C,"*LLP-CD3A",Risks!$AX:$AX,"2")</f>
        <v>0</v>
      </c>
      <c r="S34" s="820">
        <f>COUNTIFS(Risks!$AT:$AT,"=5",Risks!$B:$B,"=Active",Risks!$C:$C,"*LLP-CD3A",Risks!$AX:$AX,"3")</f>
        <v>0</v>
      </c>
      <c r="T34" s="820">
        <f>COUNTIFS(Risks!$AT:$AT,"=5",Risks!$B:$B,"=Active",Risks!$C:$C,"*LLP-CD3A",Risks!$AX:$AX,"4")</f>
        <v>1</v>
      </c>
      <c r="U34" s="820">
        <f>COUNTIFS(Risks!$AT:$AT,"=5",Risks!$B:$B,"=Active",Risks!$C:$C,"*LLP-CD3A",Risks!$AX:$AX,"5")</f>
        <v>0</v>
      </c>
      <c r="V34" s="710"/>
      <c r="W34" s="709"/>
      <c r="X34" s="833" t="s">
        <v>1893</v>
      </c>
      <c r="Y34" s="829">
        <v>5</v>
      </c>
      <c r="Z34" s="696">
        <f>COUNTIFS(Risks!$AT:$AT,"=5",Risks!$C:$C,"*&amp;LLP-CD3B",Risks!$B:$B,"=Active",Risks!$AX:$AX,"1")</f>
        <v>0</v>
      </c>
      <c r="AA34" s="697">
        <f>COUNTIFS(Risks!$AT:$AT,"=5",Risks!$B:$B,"=Active",Risks!$C:$C,"*LLP-CD3B",Risks!$AX:$AX,"2")</f>
        <v>0</v>
      </c>
      <c r="AB34" s="820">
        <f>COUNTIFS(Risks!$AT:$AT,"=5",Risks!$B:$B,"=Active",Risks!$C:$C,"*LLP-CD3B",Risks!$AX:$AX,"3")</f>
        <v>0</v>
      </c>
      <c r="AC34" s="820">
        <f>COUNTIFS(Risks!$AT:$AT,"=5",Risks!$B:$B,"=Active",Risks!$C:$C,"*LLP-CD3B",Risks!$AX:$AX,"4")</f>
        <v>0</v>
      </c>
      <c r="AD34" s="820">
        <f>COUNTIFS(Risks!$AT:$AT,"=5",Risks!$B:$B,"=Active",Risks!$C:$C,"*LLP-CD3B",Risks!$AX:$AX,"5")</f>
        <v>0</v>
      </c>
    </row>
    <row r="35" spans="13:31" ht="20.25" customHeight="1" x14ac:dyDescent="0.25">
      <c r="M35" s="710"/>
      <c r="N35" s="1034"/>
      <c r="O35" s="833" t="s">
        <v>354</v>
      </c>
      <c r="P35" s="829">
        <v>4</v>
      </c>
      <c r="Q35" s="696">
        <f>COUNTIFS(Risks!$AT:$AT,"=4",Risks!$B:$B,"=Active",Risks!$C:$C,"*LLP-CD3A",Risks!$AX:$AX,"1")</f>
        <v>0</v>
      </c>
      <c r="R35" s="697">
        <f>COUNTIFS(Risks!$AT:$AT,"=4",Risks!$B:$B,"=Active",Risks!$C:$C,"*LLP-CD3A",Risks!$AX:$AX,"2")</f>
        <v>0</v>
      </c>
      <c r="S35" s="697">
        <f>COUNTIFS(Risks!$AT:$AT,"=4",Risks!$B:$B,"=Active",Risks!$C:$C,"*LLP-CD3A",Risks!$AX:$AX,"3")</f>
        <v>3</v>
      </c>
      <c r="T35" s="820">
        <f>COUNTIFS(Risks!$AT:$AT,"=4",Risks!$B:$B,"=Active",Risks!$C:$C,"*LLP-CD3A",Risks!$AX:$AX,"4")</f>
        <v>2</v>
      </c>
      <c r="U35" s="820">
        <f>COUNTIFS(Risks!$AT:$AT,"=4",Risks!$B:$B,"=Active",Risks!$C:$C,"*LLP-CD3A",Risks!$AX:$AX,"5")</f>
        <v>0</v>
      </c>
      <c r="V35" s="710"/>
      <c r="W35" s="1033" t="s">
        <v>1892</v>
      </c>
      <c r="X35" s="833" t="s">
        <v>354</v>
      </c>
      <c r="Y35" s="829">
        <v>4</v>
      </c>
      <c r="Z35" s="696">
        <f>COUNTIFS(Risks!$AT:$AT,"=4",Risks!$B:$B,"=Active",Risks!$C:$C,"*LLP-CD3B",Risks!$AX:$AX,"1")</f>
        <v>0</v>
      </c>
      <c r="AA35" s="697">
        <f>COUNTIFS(Risks!$AT:$AT,"=4",Risks!$B:$B,"=Active",Risks!$C:$C,"*LLP-CD3B",Risks!$AX:$AX,"2")</f>
        <v>0</v>
      </c>
      <c r="AB35" s="697">
        <f>COUNTIFS(Risks!$AT:$AT,"=4",Risks!$B:$B,"=Active",Risks!$C:$C,"*LLP-CD3B",Risks!$AX:$AX,"3")</f>
        <v>0</v>
      </c>
      <c r="AC35" s="820">
        <f>COUNTIFS(Risks!$AT:$AT,"=4",Risks!$B:$B,"=Active",Risks!$C:$C,"*LLP-CD3B",Risks!$AX:$AX,"4")</f>
        <v>0</v>
      </c>
      <c r="AD35" s="820">
        <f>COUNTIFS(Risks!$AT:$AT,"=4",Risks!$B:$B,"=Active",Risks!$C:$C,"*LLP-CD3B",Risks!$AX:$AX,"5")</f>
        <v>0</v>
      </c>
    </row>
    <row r="36" spans="13:31" ht="20.25" customHeight="1" x14ac:dyDescent="0.25">
      <c r="M36" s="710"/>
      <c r="N36" s="1034"/>
      <c r="O36" s="833" t="s">
        <v>1465</v>
      </c>
      <c r="P36" s="829">
        <v>3</v>
      </c>
      <c r="Q36" s="696">
        <f>COUNTIFS(Risks!$AT:$AT,"=3",Risks!$B:$B,"=Active",Risks!$C:$C,"*LLP-CD3A",Risks!$AX:$AX,"1")</f>
        <v>1</v>
      </c>
      <c r="R36" s="696">
        <f>COUNTIFS(Risks!$AT:$AT,"=3",Risks!$B:$B,"=Active",Risks!$C:$C,"*LLP-CD3A",Risks!$AX:$AX,"2")</f>
        <v>0</v>
      </c>
      <c r="S36" s="697">
        <f>COUNTIFS(Risks!$AT:$AT,"=3",Risks!$B:$B,"=Active",Risks!$C:$C,"*LLP-CD3A",Risks!$AX:$AX,"3")</f>
        <v>5</v>
      </c>
      <c r="T36" s="697">
        <f>COUNTIFS(Risks!$AT:$AT,"=3",Risks!$B:$B,"=Active",Risks!$C:$C,"*LLP-CD3A",Risks!$AX:$AX,"4")</f>
        <v>0</v>
      </c>
      <c r="U36" s="820">
        <f>COUNTIFS(Risks!$AT:$AT,"=3",Risks!$B:$B,"=Active",Risks!$C:$C,"*LLP-CD3A",Risks!$AX:$AX,"5")</f>
        <v>0</v>
      </c>
      <c r="V36" s="710"/>
      <c r="W36" s="1034"/>
      <c r="X36" s="833" t="s">
        <v>1465</v>
      </c>
      <c r="Y36" s="829">
        <v>3</v>
      </c>
      <c r="Z36" s="696">
        <f>COUNTIFS(Risks!$AT:$AT,"=3",Risks!$B:$B,"=Active",Risks!$C:$C,"*LLP-CD3B",Risks!$AX:$AX,"1")</f>
        <v>0</v>
      </c>
      <c r="AA36" s="696">
        <f>COUNTIFS(Risks!$AT:$AT,"=3",Risks!$B:$B,"=Active",Risks!$C:$C,"*LLP-CD3B",Risks!$AX:$AX,"2")</f>
        <v>0</v>
      </c>
      <c r="AB36" s="697">
        <f>COUNTIFS(Risks!$AT:$AT,"=3",Risks!$B:$B,"=Active",Risks!$C:$C,"*LLP-CD3B",Risks!$AX:$AX,"3")</f>
        <v>3</v>
      </c>
      <c r="AC36" s="697">
        <f>COUNTIFS(Risks!$AT:$AT,"=3",Risks!$B:$B,"=Active",Risks!$C:$C,"*LLP-CD3B",Risks!$AX:$AX,"4")</f>
        <v>0</v>
      </c>
      <c r="AD36" s="820">
        <f>COUNTIFS(Risks!$AT:$AT,"=3",Risks!$B:$B,"=Active",Risks!$C:$C,"*LLP-CD3B",Risks!$AX:$AX,"5")</f>
        <v>0</v>
      </c>
    </row>
    <row r="37" spans="13:31" ht="20.25" customHeight="1" x14ac:dyDescent="0.25">
      <c r="M37" s="710"/>
      <c r="N37" s="1034"/>
      <c r="O37" s="833" t="s">
        <v>1897</v>
      </c>
      <c r="P37" s="829">
        <v>2</v>
      </c>
      <c r="Q37" s="696">
        <f>COUNTIFS(Risks!$AT:$AT,"=2",Risks!$B:$B,"=Active",Risks!$C:$C,"*LLP-CD3A",Risks!$AX:$AX,"1")</f>
        <v>3</v>
      </c>
      <c r="R37" s="696">
        <f>COUNTIFS(Risks!$AT:$AT,"=2",Risks!$B:$B,"=Active",Risks!$C:$C,"*LLP-CD3A",Risks!$AX:$AX,"2")</f>
        <v>0</v>
      </c>
      <c r="S37" s="696">
        <f>COUNTIFS(Risks!$AT:$AT,"=2",Risks!$B:$B,"=Active",Risks!$C:$C,"*LLP-CD3A",Risks!$AX:$AX,"3")</f>
        <v>1</v>
      </c>
      <c r="T37" s="697">
        <f>COUNTIFS(Risks!$AT:$AT,"=2",Risks!$B:$B,"=Active",Risks!$C:$C,"*LLP-CD3A",Risks!$AX:$AX,"4")</f>
        <v>1</v>
      </c>
      <c r="U37" s="697">
        <f>COUNTIFS(Risks!$AT:$AT,"=2",Risks!$B:$B,"=Active",Risks!$C:$C,"*LLP-CD3A",Risks!$AX:$AX,"5")</f>
        <v>0</v>
      </c>
      <c r="V37" s="710"/>
      <c r="W37" s="1034"/>
      <c r="X37" s="833" t="s">
        <v>1897</v>
      </c>
      <c r="Y37" s="829">
        <v>2</v>
      </c>
      <c r="Z37" s="696">
        <f>COUNTIFS(Risks!$AT:$AT,"=2",Risks!$B:$B,"=Active",Risks!$C:$C,"*LLP-CD3B",Risks!$AX:$AX,"1")</f>
        <v>1</v>
      </c>
      <c r="AA37" s="696">
        <f>COUNTIFS(Risks!$AT:$AT,"=2",Risks!$B:$B,"=Active",Risks!$C:$C,"*LLP-CD3B",Risks!$AX:$AX,"2")</f>
        <v>4</v>
      </c>
      <c r="AB37" s="696">
        <f>COUNTIFS(Risks!$AT:$AT,"=2",Risks!$B:$B,"=Active",Risks!$C:$C,"*LLP-CD3B",Risks!$AX:$AX,"3")</f>
        <v>9</v>
      </c>
      <c r="AC37" s="697">
        <f>COUNTIFS(Risks!$AT:$AT,"=2",Risks!$B:$B,"=Active",Risks!$C:$C,"*LLP-CD3B",Risks!$AX:$AX,"4")</f>
        <v>0</v>
      </c>
      <c r="AD37" s="697">
        <f>COUNTIFS(Risks!$AT:$AT,"=2",Risks!$B:$B,"=Active",Risks!$C:$C,"*LLP-CD3B",Risks!$AX:$AX,"5")</f>
        <v>0</v>
      </c>
    </row>
    <row r="38" spans="13:31" ht="20.25" customHeight="1" x14ac:dyDescent="0.25">
      <c r="M38" s="710"/>
      <c r="N38" s="1034"/>
      <c r="O38" s="833" t="s">
        <v>1898</v>
      </c>
      <c r="P38" s="829">
        <v>1</v>
      </c>
      <c r="Q38" s="696">
        <f>COUNTIFS(Risks!$AT:$AT,"=1",Risks!$B:$B,"=Active",Risks!$C:$C,"*LLP-CD3A",Risks!$AX:$AX,"1")</f>
        <v>1</v>
      </c>
      <c r="R38" s="696">
        <f>COUNTIFS(Risks!$AT:$AT,"=1",Risks!$B:$B,"=Active",Risks!$C:$C,"*LLP-CD3A",Risks!$AX:$AX,"2")</f>
        <v>0</v>
      </c>
      <c r="S38" s="696">
        <f>COUNTIFS(Risks!$AT:$AT,"=1",Risks!$B:$B,"=Active",Risks!$C:$C,"*LLP-CD3A",Risks!$AX:$AX,"3")</f>
        <v>2</v>
      </c>
      <c r="T38" s="696">
        <f>COUNTIFS(Risks!$AT:$AT,"=1",Risks!$B:$B,"=Active",Risks!$C:$C,"*LLP-CD3A",Risks!$AX:$AX,"4")</f>
        <v>1</v>
      </c>
      <c r="U38" s="696">
        <f>COUNTIFS(Risks!$AT:$AT,"=1",Risks!$B:$B,"=Active",Risks!$C:$C,"*LLP-CD3A",Risks!$AX:$AX,"5")</f>
        <v>1</v>
      </c>
      <c r="V38" s="710"/>
      <c r="W38" s="1034"/>
      <c r="X38" s="833" t="s">
        <v>1898</v>
      </c>
      <c r="Y38" s="829">
        <v>1</v>
      </c>
      <c r="Z38" s="696">
        <f>COUNTIFS(Risks!$AT:$AT,"=1",Risks!$B:$B,"=Active",Risks!$C:$C,"*LLP-CD3B",Risks!$AX:$AX,"1")</f>
        <v>0</v>
      </c>
      <c r="AA38" s="696">
        <f>COUNTIFS(Risks!$AT:$AT,"=1",Risks!$B:$B,"=Active",Risks!$C:$C,"*LLP-CD3B",Risks!$AX:$AX,"2")</f>
        <v>0</v>
      </c>
      <c r="AB38" s="696">
        <f>COUNTIFS(Risks!$AT:$AT,"=1",Risks!$B:$B,"=Active",Risks!$C:$C,"*LLP-CD3B",Risks!$AX:$AX,"3")</f>
        <v>0</v>
      </c>
      <c r="AC38" s="696">
        <f>COUNTIFS(Risks!$AT:$AT,"=1",Risks!$B:$B,"=Active",Risks!$C:$C,"*LLP-CD3B",Risks!$AX:$AX,"4")</f>
        <v>0</v>
      </c>
      <c r="AD38" s="696">
        <f>COUNTIFS(Risks!$AT:$AT,"=1",Risks!$B:$B,"=Active",Risks!$C:$C,"*LLP-CD3B",Risks!$AX:$AX,"5")</f>
        <v>0</v>
      </c>
    </row>
    <row r="39" spans="13:31" ht="20.25" customHeight="1" x14ac:dyDescent="0.25">
      <c r="M39" s="710"/>
      <c r="N39" s="712"/>
      <c r="O39" s="712"/>
      <c r="P39" s="712"/>
      <c r="Q39" s="712"/>
      <c r="R39" s="712"/>
      <c r="S39" s="712"/>
      <c r="T39" s="712"/>
      <c r="U39" s="712"/>
      <c r="V39" s="710"/>
      <c r="W39" s="1034"/>
      <c r="X39" s="712"/>
      <c r="Y39" s="712"/>
      <c r="Z39" s="712"/>
      <c r="AA39" s="712"/>
      <c r="AB39" s="712"/>
      <c r="AC39" s="712"/>
      <c r="AD39" s="712"/>
    </row>
    <row r="40" spans="13:31" ht="20.25" customHeight="1" x14ac:dyDescent="0.25">
      <c r="M40" s="710"/>
      <c r="N40" s="712"/>
      <c r="O40" s="712"/>
      <c r="P40" s="712"/>
      <c r="Q40" s="712"/>
      <c r="R40" s="712"/>
      <c r="S40" s="712"/>
      <c r="T40" s="832" t="s">
        <v>1902</v>
      </c>
      <c r="U40" s="832">
        <f>SUM(Q34:U38)</f>
        <v>22</v>
      </c>
      <c r="V40" s="710"/>
      <c r="W40" s="712"/>
      <c r="X40" s="712"/>
      <c r="Y40" s="712"/>
      <c r="Z40" s="712"/>
      <c r="AA40" s="712"/>
      <c r="AB40" s="712"/>
      <c r="AC40" s="832" t="s">
        <v>1902</v>
      </c>
      <c r="AD40" s="832">
        <f>SUM(Z34:AD38)</f>
        <v>17</v>
      </c>
    </row>
    <row r="41" spans="13:31" ht="20.25" customHeight="1" x14ac:dyDescent="0.25">
      <c r="M41" s="710"/>
      <c r="V41" s="710"/>
      <c r="W41" s="712"/>
      <c r="X41" s="712"/>
      <c r="Y41" s="712"/>
      <c r="Z41" s="712"/>
      <c r="AA41" s="712"/>
      <c r="AB41" s="712"/>
      <c r="AC41" s="712"/>
      <c r="AD41" s="712"/>
    </row>
    <row r="42" spans="13:31" ht="20.25" customHeight="1" x14ac:dyDescent="0.25">
      <c r="M42" s="710"/>
      <c r="V42" s="710"/>
      <c r="W42" s="712"/>
      <c r="AC42" s="832"/>
      <c r="AD42" s="832"/>
    </row>
    <row r="43" spans="13:31" ht="20.25" customHeight="1" x14ac:dyDescent="0.25">
      <c r="M43" s="710"/>
      <c r="T43" s="832"/>
      <c r="U43" s="832"/>
      <c r="V43" s="710"/>
    </row>
    <row r="44" spans="13:31" ht="20.25" customHeight="1" x14ac:dyDescent="0.3">
      <c r="M44" s="710"/>
      <c r="N44" s="712"/>
      <c r="O44" s="712"/>
      <c r="P44" s="712"/>
      <c r="Q44" s="712"/>
      <c r="R44" s="712"/>
      <c r="S44" s="712"/>
      <c r="T44" s="831"/>
      <c r="U44" s="831"/>
      <c r="V44" s="710"/>
      <c r="X44" s="8"/>
      <c r="Y44" s="1041"/>
      <c r="Z44" s="1041"/>
      <c r="AA44" s="1041"/>
      <c r="AB44" s="1041"/>
      <c r="AC44" s="1040"/>
      <c r="AD44" s="8"/>
    </row>
    <row r="45" spans="13:31" ht="20.25" customHeight="1" x14ac:dyDescent="0.3">
      <c r="M45" s="710"/>
      <c r="N45" s="8"/>
      <c r="O45" s="8"/>
      <c r="P45" s="1041"/>
      <c r="Q45" s="1041"/>
      <c r="R45" s="1041"/>
      <c r="S45" s="1041"/>
      <c r="T45" s="1040"/>
      <c r="U45" s="8"/>
      <c r="V45" s="711"/>
      <c r="W45" s="8"/>
      <c r="X45" s="801"/>
      <c r="Y45" s="984"/>
      <c r="Z45" s="1035"/>
      <c r="AA45" s="1036"/>
      <c r="AB45" s="1036"/>
      <c r="AC45" s="1036"/>
      <c r="AD45" s="1036"/>
      <c r="AE45" s="711"/>
    </row>
    <row r="46" spans="13:31" ht="20.25" customHeight="1" x14ac:dyDescent="0.25">
      <c r="M46" s="712"/>
      <c r="N46" s="802"/>
      <c r="O46" s="801"/>
      <c r="P46" s="984"/>
      <c r="Q46" s="1035"/>
      <c r="R46" s="1036"/>
      <c r="S46" s="1036"/>
      <c r="T46" s="1036"/>
      <c r="U46" s="1036"/>
      <c r="V46" s="712"/>
      <c r="W46" s="802"/>
      <c r="X46" s="985"/>
      <c r="Y46" s="801"/>
      <c r="Z46" s="986"/>
      <c r="AA46" s="986"/>
      <c r="AB46" s="986"/>
      <c r="AC46" s="986"/>
      <c r="AD46" s="986"/>
      <c r="AE46" s="712"/>
    </row>
    <row r="47" spans="13:31" ht="20.25" customHeight="1" x14ac:dyDescent="0.2">
      <c r="M47" s="712"/>
      <c r="N47" s="802"/>
      <c r="O47" s="985"/>
      <c r="P47" s="801"/>
      <c r="Q47" s="986"/>
      <c r="R47" s="986"/>
      <c r="S47" s="986"/>
      <c r="T47" s="986"/>
      <c r="U47" s="986"/>
      <c r="V47" s="712"/>
      <c r="W47" s="802"/>
      <c r="X47" s="802"/>
      <c r="Y47" s="803"/>
      <c r="Z47" s="987"/>
      <c r="AA47" s="987"/>
      <c r="AB47" s="987"/>
      <c r="AC47" s="987"/>
      <c r="AD47" s="987"/>
      <c r="AE47" s="712"/>
    </row>
    <row r="48" spans="13:31" ht="20.25" customHeight="1" x14ac:dyDescent="0.2">
      <c r="M48" s="712"/>
      <c r="N48" s="984"/>
      <c r="O48" s="802"/>
      <c r="P48" s="803"/>
      <c r="Q48" s="987"/>
      <c r="R48" s="987"/>
      <c r="S48" s="987"/>
      <c r="T48" s="987"/>
      <c r="U48" s="987"/>
      <c r="V48" s="712"/>
      <c r="W48" s="984"/>
      <c r="X48" s="989"/>
      <c r="Y48" s="988"/>
      <c r="Z48" s="9"/>
      <c r="AA48" s="9"/>
      <c r="AB48" s="9"/>
      <c r="AC48" s="9"/>
      <c r="AD48" s="9"/>
      <c r="AE48" s="712"/>
    </row>
    <row r="49" spans="7:31" ht="20.25" customHeight="1" x14ac:dyDescent="0.2">
      <c r="M49" s="712"/>
      <c r="N49" s="1033"/>
      <c r="O49" s="989"/>
      <c r="P49" s="988"/>
      <c r="Q49" s="9"/>
      <c r="R49" s="9"/>
      <c r="S49" s="9"/>
      <c r="T49" s="9"/>
      <c r="U49" s="9"/>
      <c r="V49" s="712"/>
      <c r="W49" s="1033"/>
      <c r="X49" s="989"/>
      <c r="Y49" s="988"/>
      <c r="Z49" s="9"/>
      <c r="AA49" s="9"/>
      <c r="AB49" s="9"/>
      <c r="AC49" s="9"/>
      <c r="AD49" s="9"/>
      <c r="AE49" s="712"/>
    </row>
    <row r="50" spans="7:31" ht="20.25" customHeight="1" x14ac:dyDescent="0.2">
      <c r="G50" s="2" t="s">
        <v>1910</v>
      </c>
      <c r="M50" s="712"/>
      <c r="N50" s="1034"/>
      <c r="O50" s="989"/>
      <c r="P50" s="988"/>
      <c r="Q50" s="9"/>
      <c r="R50" s="9"/>
      <c r="S50" s="9"/>
      <c r="T50" s="9"/>
      <c r="U50" s="9"/>
      <c r="V50" s="712"/>
      <c r="W50" s="1034"/>
      <c r="X50" s="989"/>
      <c r="Y50" s="988"/>
      <c r="Z50" s="9"/>
      <c r="AA50" s="9"/>
      <c r="AB50" s="9"/>
      <c r="AC50" s="9"/>
      <c r="AD50" s="9"/>
      <c r="AE50" s="712"/>
    </row>
    <row r="51" spans="7:31" ht="20.25" customHeight="1" x14ac:dyDescent="0.2">
      <c r="M51" s="712"/>
      <c r="N51" s="1034"/>
      <c r="O51" s="989"/>
      <c r="P51" s="988"/>
      <c r="Q51" s="9"/>
      <c r="R51" s="9"/>
      <c r="S51" s="9"/>
      <c r="T51" s="9"/>
      <c r="U51" s="9"/>
      <c r="V51" s="712"/>
      <c r="W51" s="1034"/>
      <c r="X51" s="989"/>
      <c r="Y51" s="988"/>
      <c r="Z51" s="9"/>
      <c r="AA51" s="9"/>
      <c r="AB51" s="9"/>
      <c r="AC51" s="9"/>
      <c r="AD51" s="9"/>
      <c r="AE51" s="712"/>
    </row>
    <row r="52" spans="7:31" ht="20.25" customHeight="1" x14ac:dyDescent="0.2">
      <c r="M52" s="712"/>
      <c r="N52" s="1034"/>
      <c r="O52" s="989"/>
      <c r="P52" s="988"/>
      <c r="Q52" s="9"/>
      <c r="R52" s="9"/>
      <c r="S52" s="9"/>
      <c r="T52" s="9"/>
      <c r="U52" s="9"/>
      <c r="V52" s="712"/>
      <c r="W52" s="1034"/>
      <c r="X52" s="989"/>
      <c r="Y52" s="988"/>
      <c r="Z52" s="9"/>
      <c r="AA52" s="9"/>
      <c r="AB52" s="9"/>
      <c r="AC52" s="9"/>
      <c r="AD52" s="9"/>
      <c r="AE52" s="712"/>
    </row>
    <row r="53" spans="7:31" ht="20.25" customHeight="1" x14ac:dyDescent="0.2">
      <c r="M53" s="712"/>
      <c r="N53" s="1034"/>
      <c r="O53" s="989"/>
      <c r="P53" s="988"/>
      <c r="Q53" s="9"/>
      <c r="R53" s="9"/>
      <c r="S53" s="9"/>
      <c r="T53" s="9"/>
      <c r="U53" s="9"/>
      <c r="V53" s="712"/>
      <c r="W53" s="1034"/>
      <c r="AE53" s="712"/>
    </row>
    <row r="54" spans="7:31" ht="20.25" customHeight="1" x14ac:dyDescent="0.25">
      <c r="M54" s="712"/>
      <c r="V54" s="712"/>
      <c r="AC54" s="832"/>
      <c r="AD54" s="832"/>
      <c r="AE54" s="712"/>
    </row>
    <row r="55" spans="7:31" ht="20.25" customHeight="1" thickBot="1" x14ac:dyDescent="0.3">
      <c r="M55" s="712"/>
      <c r="T55" s="832"/>
      <c r="U55" s="832"/>
      <c r="V55" s="712"/>
      <c r="AE55" s="712"/>
    </row>
    <row r="56" spans="7:31" ht="20.25" customHeight="1" x14ac:dyDescent="0.25">
      <c r="H56" s="835" t="s">
        <v>1911</v>
      </c>
      <c r="I56" s="946" t="s">
        <v>1912</v>
      </c>
      <c r="J56" s="836" t="s">
        <v>1913</v>
      </c>
      <c r="K56" s="837" t="s">
        <v>1914</v>
      </c>
      <c r="N56" s="712"/>
      <c r="O56" s="712"/>
      <c r="P56" s="712"/>
      <c r="Q56" s="712"/>
      <c r="R56" s="712"/>
      <c r="S56" s="712"/>
      <c r="T56" s="712"/>
      <c r="U56" s="712"/>
      <c r="V56" s="712"/>
    </row>
    <row r="57" spans="7:31" ht="20.25" customHeight="1" x14ac:dyDescent="0.25">
      <c r="H57" s="838" t="s">
        <v>354</v>
      </c>
      <c r="I57" s="947"/>
      <c r="J57" s="820">
        <v>7</v>
      </c>
      <c r="K57" s="839">
        <v>1</v>
      </c>
    </row>
    <row r="58" spans="7:31" ht="20.25" customHeight="1" x14ac:dyDescent="0.3">
      <c r="H58" s="838" t="s">
        <v>1465</v>
      </c>
      <c r="I58" s="947"/>
      <c r="J58" s="697">
        <v>9</v>
      </c>
      <c r="K58" s="840">
        <v>7</v>
      </c>
      <c r="M58" s="710"/>
      <c r="N58" s="711"/>
      <c r="O58" s="8"/>
      <c r="P58" s="1041"/>
      <c r="Q58" s="1041"/>
      <c r="R58" s="1041"/>
      <c r="S58" s="1041"/>
      <c r="T58" s="1040"/>
      <c r="U58" s="8"/>
    </row>
    <row r="59" spans="7:31" ht="20.25" customHeight="1" thickBot="1" x14ac:dyDescent="0.3">
      <c r="H59" s="841" t="s">
        <v>1897</v>
      </c>
      <c r="I59" s="948"/>
      <c r="J59" s="842">
        <v>4</v>
      </c>
      <c r="K59" s="843">
        <v>12</v>
      </c>
      <c r="M59" s="712"/>
      <c r="N59" s="707"/>
      <c r="O59" s="801"/>
      <c r="P59" s="984"/>
      <c r="Q59" s="1042"/>
      <c r="R59" s="1040"/>
      <c r="S59" s="1040"/>
      <c r="T59" s="1040"/>
      <c r="U59" s="1040"/>
    </row>
    <row r="60" spans="7:31" ht="20.25" customHeight="1" x14ac:dyDescent="0.2">
      <c r="M60" s="712"/>
      <c r="N60" s="707"/>
      <c r="O60" s="802"/>
      <c r="P60" s="801"/>
      <c r="Q60" s="984"/>
      <c r="R60" s="984"/>
      <c r="S60" s="984"/>
      <c r="T60" s="984"/>
      <c r="U60" s="984"/>
    </row>
    <row r="61" spans="7:31" ht="20.25" customHeight="1" thickBot="1" x14ac:dyDescent="0.25">
      <c r="M61" s="712"/>
      <c r="N61" s="709"/>
      <c r="O61" s="802"/>
      <c r="P61" s="803"/>
      <c r="Q61" s="804"/>
      <c r="R61" s="804"/>
      <c r="S61" s="804"/>
      <c r="T61" s="804"/>
      <c r="U61" s="804"/>
    </row>
    <row r="62" spans="7:31" ht="20.25" customHeight="1" x14ac:dyDescent="0.25">
      <c r="H62" s="835"/>
      <c r="I62" s="835" t="s">
        <v>1911</v>
      </c>
      <c r="J62" s="836" t="s">
        <v>1913</v>
      </c>
      <c r="K62" s="837" t="s">
        <v>1914</v>
      </c>
      <c r="M62" s="712"/>
      <c r="N62" s="1043"/>
      <c r="O62" s="984"/>
      <c r="P62" s="984"/>
      <c r="Q62" s="9"/>
      <c r="R62" s="9"/>
      <c r="S62" s="9"/>
      <c r="T62" s="9"/>
      <c r="U62" s="9"/>
    </row>
    <row r="63" spans="7:31" ht="20.25" customHeight="1" x14ac:dyDescent="0.25">
      <c r="H63" s="838"/>
      <c r="I63" s="838" t="s">
        <v>354</v>
      </c>
      <c r="J63" s="820">
        <v>4</v>
      </c>
      <c r="K63" s="839">
        <v>0</v>
      </c>
      <c r="M63" s="712"/>
      <c r="N63" s="1044"/>
      <c r="O63" s="984"/>
      <c r="P63" s="984"/>
      <c r="Q63" s="9"/>
      <c r="R63" s="9"/>
      <c r="S63" s="9"/>
      <c r="T63" s="9"/>
      <c r="U63" s="9"/>
    </row>
    <row r="64" spans="7:31" ht="20.25" customHeight="1" x14ac:dyDescent="0.25">
      <c r="H64" s="838"/>
      <c r="I64" s="838" t="s">
        <v>1465</v>
      </c>
      <c r="J64" s="697">
        <v>12</v>
      </c>
      <c r="K64" s="840">
        <v>2</v>
      </c>
      <c r="M64" s="712"/>
      <c r="N64" s="1044"/>
      <c r="O64" s="984"/>
      <c r="P64" s="984"/>
      <c r="Q64" s="9"/>
      <c r="R64" s="9"/>
      <c r="S64" s="9"/>
      <c r="T64" s="9"/>
      <c r="U64" s="9"/>
    </row>
    <row r="65" spans="8:21" ht="20.25" customHeight="1" thickBot="1" x14ac:dyDescent="0.3">
      <c r="H65" s="841"/>
      <c r="I65" s="841" t="s">
        <v>1897</v>
      </c>
      <c r="J65" s="842">
        <v>1</v>
      </c>
      <c r="K65" s="843">
        <v>15</v>
      </c>
      <c r="M65" s="712"/>
      <c r="N65" s="1044"/>
      <c r="O65" s="984"/>
      <c r="P65" s="984"/>
      <c r="Q65" s="9"/>
      <c r="R65" s="9"/>
      <c r="S65" s="9"/>
      <c r="T65" s="9"/>
      <c r="U65" s="9"/>
    </row>
    <row r="66" spans="8:21" ht="20.25" customHeight="1" x14ac:dyDescent="0.2">
      <c r="M66" s="712"/>
      <c r="N66" s="1044"/>
      <c r="O66" s="984"/>
      <c r="P66" s="984"/>
      <c r="Q66" s="9"/>
      <c r="R66" s="9"/>
      <c r="S66" s="9"/>
      <c r="T66" s="9"/>
      <c r="U66" s="9"/>
    </row>
    <row r="67" spans="8:21" ht="20.25" customHeight="1" x14ac:dyDescent="0.2">
      <c r="M67" s="712"/>
      <c r="N67" s="712"/>
    </row>
    <row r="68" spans="8:21" ht="20.25" customHeight="1" x14ac:dyDescent="0.25">
      <c r="M68" s="712"/>
      <c r="N68" s="712"/>
      <c r="T68" s="705"/>
      <c r="U68" s="705"/>
    </row>
  </sheetData>
  <mergeCells count="22">
    <mergeCell ref="Q59:U59"/>
    <mergeCell ref="N62:N66"/>
    <mergeCell ref="P45:T45"/>
    <mergeCell ref="P58:T58"/>
    <mergeCell ref="Q46:U46"/>
    <mergeCell ref="N49:N53"/>
    <mergeCell ref="W49:W53"/>
    <mergeCell ref="Z45:AD45"/>
    <mergeCell ref="P3:T3"/>
    <mergeCell ref="Q4:U4"/>
    <mergeCell ref="N7:N11"/>
    <mergeCell ref="P18:T18"/>
    <mergeCell ref="Q19:U19"/>
    <mergeCell ref="N22:N26"/>
    <mergeCell ref="P30:T30"/>
    <mergeCell ref="Q31:U31"/>
    <mergeCell ref="N34:N38"/>
    <mergeCell ref="Y44:AC44"/>
    <mergeCell ref="Y30:AC30"/>
    <mergeCell ref="Z31:AD31"/>
    <mergeCell ref="W35:W39"/>
    <mergeCell ref="W22:W26"/>
  </mergeCells>
  <pageMargins left="0.7" right="0.7" top="0.75" bottom="0.75" header="0.3" footer="0.3"/>
  <pageSetup orientation="portrait" r:id="rId1"/>
  <ignoredErrors>
    <ignoredError sqref="B13" numberStoredAsText="1"/>
    <ignoredError sqref="J4:J15 I16:J16" 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8DB5D-C959-4323-906C-EB55C86F9E2C}">
  <sheetPr codeName="Sheet6"/>
  <dimension ref="A1:X17"/>
  <sheetViews>
    <sheetView zoomScale="62" zoomScaleNormal="62" workbookViewId="0">
      <pane ySplit="1" topLeftCell="A2" activePane="bottomLeft" state="frozen"/>
      <selection pane="bottomLeft" activeCell="W22" sqref="W22"/>
    </sheetView>
  </sheetViews>
  <sheetFormatPr baseColWidth="10" defaultColWidth="8.83203125" defaultRowHeight="15" x14ac:dyDescent="0.2"/>
  <cols>
    <col min="1" max="1" width="11.83203125" style="5" customWidth="1"/>
    <col min="2" max="2" width="36.1640625" style="5" customWidth="1"/>
    <col min="3" max="3" width="13.33203125" style="5" customWidth="1"/>
    <col min="4" max="4" width="17.83203125" style="5" customWidth="1"/>
    <col min="5" max="5" width="30.33203125" style="5" customWidth="1"/>
    <col min="6" max="6" width="12.33203125" style="5" customWidth="1"/>
    <col min="7" max="7" width="31" style="5" customWidth="1"/>
    <col min="8" max="8" width="16.33203125" style="5" customWidth="1"/>
    <col min="9" max="13" width="11.33203125" style="5" customWidth="1"/>
    <col min="14" max="19" width="10.1640625" style="5" customWidth="1"/>
    <col min="20" max="20" width="15.83203125" style="5" customWidth="1"/>
    <col min="21" max="21" width="38.83203125" style="5" customWidth="1"/>
    <col min="22" max="22" width="22.1640625" style="5" customWidth="1"/>
    <col min="23" max="23" width="11.1640625" style="5" customWidth="1"/>
    <col min="24" max="24" width="13.83203125" style="5" customWidth="1"/>
    <col min="25" max="16384" width="8.83203125" style="5"/>
  </cols>
  <sheetData>
    <row r="1" spans="1:24" ht="161" thickBot="1" x14ac:dyDescent="0.25">
      <c r="A1" s="65" t="s">
        <v>1915</v>
      </c>
      <c r="B1" s="66" t="s">
        <v>1916</v>
      </c>
      <c r="C1" s="66" t="s">
        <v>1917</v>
      </c>
      <c r="D1" s="66" t="s">
        <v>56</v>
      </c>
      <c r="E1" s="66" t="s">
        <v>1918</v>
      </c>
      <c r="F1" s="66" t="s">
        <v>104</v>
      </c>
      <c r="G1" s="66" t="s">
        <v>1919</v>
      </c>
      <c r="H1" s="66" t="s">
        <v>1920</v>
      </c>
      <c r="I1" s="66" t="s">
        <v>59</v>
      </c>
      <c r="J1" s="67" t="s">
        <v>60</v>
      </c>
      <c r="K1" s="66" t="s">
        <v>1921</v>
      </c>
      <c r="L1" s="66" t="s">
        <v>62</v>
      </c>
      <c r="M1" s="66" t="s">
        <v>63</v>
      </c>
      <c r="N1" s="66" t="s">
        <v>64</v>
      </c>
      <c r="O1" s="66" t="s">
        <v>65</v>
      </c>
      <c r="P1" s="66" t="s">
        <v>66</v>
      </c>
      <c r="Q1" s="66" t="s">
        <v>67</v>
      </c>
      <c r="R1" s="66" t="s">
        <v>1922</v>
      </c>
      <c r="S1" s="66" t="s">
        <v>69</v>
      </c>
      <c r="T1" s="66" t="s">
        <v>1923</v>
      </c>
      <c r="U1" s="66" t="s">
        <v>1924</v>
      </c>
      <c r="V1" s="66" t="s">
        <v>1925</v>
      </c>
      <c r="W1" s="66" t="s">
        <v>1926</v>
      </c>
      <c r="X1" s="68" t="s">
        <v>1927</v>
      </c>
    </row>
    <row r="2" spans="1:24" ht="100" x14ac:dyDescent="0.25">
      <c r="A2" s="69">
        <v>68</v>
      </c>
      <c r="B2" s="18"/>
      <c r="C2" s="69" t="s">
        <v>653</v>
      </c>
      <c r="D2" s="69" t="s">
        <v>805</v>
      </c>
      <c r="E2" s="70" t="s">
        <v>806</v>
      </c>
      <c r="F2" s="71">
        <v>44048</v>
      </c>
      <c r="G2" s="70" t="s">
        <v>808</v>
      </c>
      <c r="H2" s="69" t="s">
        <v>197</v>
      </c>
      <c r="I2" s="72">
        <v>40000</v>
      </c>
      <c r="J2" s="73" t="s">
        <v>600</v>
      </c>
      <c r="K2" s="72">
        <v>0</v>
      </c>
      <c r="L2" s="69" t="s">
        <v>307</v>
      </c>
      <c r="M2" s="69"/>
      <c r="N2" s="72">
        <v>5</v>
      </c>
      <c r="O2" s="72">
        <v>5</v>
      </c>
      <c r="P2" s="72">
        <v>3</v>
      </c>
      <c r="Q2" s="72">
        <v>0</v>
      </c>
      <c r="R2" s="72">
        <v>5</v>
      </c>
      <c r="S2" s="72">
        <v>25</v>
      </c>
      <c r="T2" s="74" t="s">
        <v>354</v>
      </c>
      <c r="U2" s="70" t="s">
        <v>807</v>
      </c>
      <c r="V2" s="75"/>
      <c r="W2" s="76">
        <v>0.82</v>
      </c>
      <c r="X2" s="77">
        <v>32800</v>
      </c>
    </row>
    <row r="3" spans="1:24" ht="240" x14ac:dyDescent="0.2">
      <c r="A3" s="51" t="s">
        <v>445</v>
      </c>
      <c r="B3" s="52" t="s">
        <v>433</v>
      </c>
      <c r="C3" s="53" t="s">
        <v>435</v>
      </c>
      <c r="D3" s="54" t="s">
        <v>1928</v>
      </c>
      <c r="E3" s="61" t="s">
        <v>1929</v>
      </c>
      <c r="F3" s="55">
        <v>44134</v>
      </c>
      <c r="G3" s="61" t="s">
        <v>444</v>
      </c>
      <c r="H3" s="51" t="s">
        <v>164</v>
      </c>
      <c r="I3" s="54">
        <v>7000</v>
      </c>
      <c r="J3" s="56" t="s">
        <v>406</v>
      </c>
      <c r="K3" s="53">
        <v>6</v>
      </c>
      <c r="L3" s="51" t="s">
        <v>207</v>
      </c>
      <c r="M3" s="64"/>
      <c r="N3" s="53">
        <v>2</v>
      </c>
      <c r="O3" s="53">
        <v>4</v>
      </c>
      <c r="P3" s="53">
        <v>1</v>
      </c>
      <c r="Q3" s="53">
        <v>0</v>
      </c>
      <c r="R3" s="53">
        <v>4</v>
      </c>
      <c r="S3" s="53">
        <v>8</v>
      </c>
      <c r="T3" s="57" t="s">
        <v>1465</v>
      </c>
      <c r="U3" s="54" t="s">
        <v>1930</v>
      </c>
      <c r="V3" s="64"/>
      <c r="W3" s="78">
        <v>0.17</v>
      </c>
      <c r="X3" s="79">
        <v>1190</v>
      </c>
    </row>
    <row r="4" spans="1:24" ht="100" x14ac:dyDescent="0.2">
      <c r="A4" s="51" t="s">
        <v>813</v>
      </c>
      <c r="B4" s="52" t="s">
        <v>1931</v>
      </c>
      <c r="C4" s="53" t="s">
        <v>653</v>
      </c>
      <c r="D4" s="54" t="s">
        <v>810</v>
      </c>
      <c r="E4" s="54" t="s">
        <v>811</v>
      </c>
      <c r="F4" s="55">
        <v>44134</v>
      </c>
      <c r="G4" s="61" t="s">
        <v>812</v>
      </c>
      <c r="H4" s="51" t="s">
        <v>164</v>
      </c>
      <c r="I4" s="61"/>
      <c r="J4" s="80"/>
      <c r="K4" s="64"/>
      <c r="L4" s="64"/>
      <c r="M4" s="51" t="s">
        <v>307</v>
      </c>
      <c r="N4" s="53">
        <v>2</v>
      </c>
      <c r="O4" s="53">
        <v>0</v>
      </c>
      <c r="P4" s="53">
        <v>0</v>
      </c>
      <c r="Q4" s="53">
        <v>3</v>
      </c>
      <c r="R4" s="53">
        <v>3</v>
      </c>
      <c r="S4" s="53">
        <v>6</v>
      </c>
      <c r="T4" s="57" t="s">
        <v>1897</v>
      </c>
      <c r="U4" s="54" t="s">
        <v>1930</v>
      </c>
      <c r="V4" s="64"/>
      <c r="W4" s="78">
        <v>1.17</v>
      </c>
      <c r="X4" s="79">
        <v>0</v>
      </c>
    </row>
    <row r="5" spans="1:24" ht="100" x14ac:dyDescent="0.2">
      <c r="A5" s="54">
        <v>147</v>
      </c>
      <c r="B5" s="54" t="s">
        <v>1932</v>
      </c>
      <c r="C5" s="53" t="s">
        <v>435</v>
      </c>
      <c r="D5" s="53" t="s">
        <v>446</v>
      </c>
      <c r="E5" s="81" t="s">
        <v>1933</v>
      </c>
      <c r="F5" s="55">
        <v>44154</v>
      </c>
      <c r="G5" s="61" t="s">
        <v>449</v>
      </c>
      <c r="H5" s="61" t="s">
        <v>379</v>
      </c>
      <c r="I5" s="54"/>
      <c r="J5" s="56" t="s">
        <v>1934</v>
      </c>
      <c r="K5" s="53"/>
      <c r="L5" s="61"/>
      <c r="M5" s="54" t="s">
        <v>406</v>
      </c>
      <c r="N5" s="53">
        <v>1</v>
      </c>
      <c r="O5" s="53">
        <v>0</v>
      </c>
      <c r="P5" s="53">
        <v>0</v>
      </c>
      <c r="Q5" s="53">
        <v>4</v>
      </c>
      <c r="R5" s="53">
        <v>4</v>
      </c>
      <c r="S5" s="53">
        <v>4</v>
      </c>
      <c r="T5" s="57" t="s">
        <v>1897</v>
      </c>
      <c r="U5" s="61" t="s">
        <v>448</v>
      </c>
      <c r="V5" s="64"/>
      <c r="W5" s="64"/>
      <c r="X5" s="64"/>
    </row>
    <row r="6" spans="1:24" ht="120" x14ac:dyDescent="0.2">
      <c r="A6" s="51" t="s">
        <v>347</v>
      </c>
      <c r="B6" s="52" t="s">
        <v>1935</v>
      </c>
      <c r="C6" s="53" t="s">
        <v>350</v>
      </c>
      <c r="D6" s="51" t="s">
        <v>352</v>
      </c>
      <c r="E6" s="54" t="s">
        <v>353</v>
      </c>
      <c r="F6" s="55">
        <v>44154</v>
      </c>
      <c r="G6" s="54" t="s">
        <v>1936</v>
      </c>
      <c r="H6" s="51" t="s">
        <v>129</v>
      </c>
      <c r="I6" s="53">
        <v>10000</v>
      </c>
      <c r="J6" s="56" t="s">
        <v>406</v>
      </c>
      <c r="K6" s="53"/>
      <c r="L6" s="51" t="s">
        <v>207</v>
      </c>
      <c r="M6" s="51" t="s">
        <v>280</v>
      </c>
      <c r="N6" s="53">
        <v>4</v>
      </c>
      <c r="O6" s="53">
        <v>4</v>
      </c>
      <c r="P6" s="53">
        <v>1</v>
      </c>
      <c r="Q6" s="53">
        <v>2</v>
      </c>
      <c r="R6" s="53">
        <v>4</v>
      </c>
      <c r="S6" s="53">
        <v>16</v>
      </c>
      <c r="T6" s="57" t="s">
        <v>354</v>
      </c>
      <c r="U6" s="54" t="s">
        <v>355</v>
      </c>
      <c r="V6" s="58" t="s">
        <v>356</v>
      </c>
      <c r="W6" s="59">
        <v>0.52</v>
      </c>
      <c r="X6" s="60">
        <v>5200</v>
      </c>
    </row>
    <row r="7" spans="1:24" ht="120" x14ac:dyDescent="0.2">
      <c r="A7" s="51" t="s">
        <v>1198</v>
      </c>
      <c r="B7" s="52" t="s">
        <v>1935</v>
      </c>
      <c r="C7" s="53" t="s">
        <v>350</v>
      </c>
      <c r="D7" s="51" t="s">
        <v>1098</v>
      </c>
      <c r="E7" s="54" t="s">
        <v>1200</v>
      </c>
      <c r="F7" s="55">
        <v>44187</v>
      </c>
      <c r="G7" s="54" t="s">
        <v>1937</v>
      </c>
      <c r="H7" s="51" t="s">
        <v>129</v>
      </c>
      <c r="I7" s="53">
        <v>3000</v>
      </c>
      <c r="J7" s="56" t="s">
        <v>307</v>
      </c>
      <c r="K7" s="53"/>
      <c r="L7" s="51" t="s">
        <v>207</v>
      </c>
      <c r="M7" s="51" t="s">
        <v>280</v>
      </c>
      <c r="N7" s="53">
        <v>4</v>
      </c>
      <c r="O7" s="54">
        <v>3</v>
      </c>
      <c r="P7" s="53">
        <v>1</v>
      </c>
      <c r="Q7" s="53">
        <v>2</v>
      </c>
      <c r="R7" s="53">
        <v>3</v>
      </c>
      <c r="S7" s="53">
        <v>12</v>
      </c>
      <c r="T7" s="57" t="s">
        <v>1465</v>
      </c>
      <c r="U7" s="54" t="s">
        <v>1201</v>
      </c>
      <c r="V7" s="61" t="s">
        <v>1202</v>
      </c>
      <c r="W7" s="59">
        <v>0.52</v>
      </c>
      <c r="X7" s="60">
        <v>1560</v>
      </c>
    </row>
    <row r="8" spans="1:24" ht="260" x14ac:dyDescent="0.2">
      <c r="A8" s="62">
        <v>155</v>
      </c>
      <c r="B8" s="54" t="s">
        <v>1345</v>
      </c>
      <c r="C8" s="53" t="s">
        <v>1347</v>
      </c>
      <c r="D8" s="54" t="s">
        <v>1567</v>
      </c>
      <c r="E8" s="61" t="s">
        <v>1568</v>
      </c>
      <c r="F8" s="55">
        <v>44202</v>
      </c>
      <c r="G8" s="63" t="s">
        <v>1569</v>
      </c>
      <c r="H8" s="61" t="s">
        <v>197</v>
      </c>
      <c r="I8" s="54">
        <v>10000</v>
      </c>
      <c r="J8" s="56" t="s">
        <v>406</v>
      </c>
      <c r="K8" s="54">
        <v>12</v>
      </c>
      <c r="L8" s="54" t="s">
        <v>600</v>
      </c>
      <c r="M8" s="54" t="s">
        <v>280</v>
      </c>
      <c r="N8" s="53">
        <v>5</v>
      </c>
      <c r="O8" s="54">
        <v>4</v>
      </c>
      <c r="P8" s="53">
        <v>5</v>
      </c>
      <c r="Q8" s="53">
        <v>2</v>
      </c>
      <c r="R8" s="53">
        <v>5</v>
      </c>
      <c r="S8" s="53">
        <v>25</v>
      </c>
      <c r="T8" s="57" t="s">
        <v>354</v>
      </c>
      <c r="U8" s="61" t="s">
        <v>1938</v>
      </c>
      <c r="V8" s="64"/>
      <c r="W8" s="59">
        <v>0.82</v>
      </c>
      <c r="X8" s="60">
        <v>8200</v>
      </c>
    </row>
    <row r="9" spans="1:24" ht="16" x14ac:dyDescent="0.2">
      <c r="C9" s="995"/>
    </row>
    <row r="10" spans="1:24" ht="16" x14ac:dyDescent="0.2">
      <c r="C10" s="995"/>
    </row>
    <row r="11" spans="1:24" ht="16" x14ac:dyDescent="0.2">
      <c r="C11" s="995"/>
    </row>
    <row r="12" spans="1:24" ht="16" x14ac:dyDescent="0.2">
      <c r="C12" s="995"/>
    </row>
    <row r="13" spans="1:24" ht="16" x14ac:dyDescent="0.2">
      <c r="C13" s="995"/>
    </row>
    <row r="14" spans="1:24" ht="16" x14ac:dyDescent="0.2">
      <c r="C14" s="995"/>
    </row>
    <row r="15" spans="1:24" ht="16" x14ac:dyDescent="0.2">
      <c r="C15" s="995"/>
    </row>
    <row r="16" spans="1:24" ht="16" x14ac:dyDescent="0.2">
      <c r="C16" s="995"/>
    </row>
    <row r="17" spans="3:3" ht="16" x14ac:dyDescent="0.2">
      <c r="C17" s="995"/>
    </row>
  </sheetData>
  <autoFilter ref="A1:X8" xr:uid="{2377F236-4EF4-9447-8E90-C95DFF8CF186}"/>
  <conditionalFormatting sqref="H2">
    <cfRule type="cellIs" dxfId="23" priority="33" stopIfTrue="1" operator="equal">
      <formula>#REF!</formula>
    </cfRule>
    <cfRule type="cellIs" dxfId="22" priority="34" stopIfTrue="1" operator="equal">
      <formula>#REF!</formula>
    </cfRule>
    <cfRule type="cellIs" dxfId="21" priority="35" stopIfTrue="1" operator="equal">
      <formula>#REF!</formula>
    </cfRule>
    <cfRule type="cellIs" dxfId="20" priority="36" stopIfTrue="1" operator="equal">
      <formula>#REF!</formula>
    </cfRule>
  </conditionalFormatting>
  <conditionalFormatting sqref="H5:H8">
    <cfRule type="cellIs" dxfId="19" priority="5" stopIfTrue="1" operator="equal">
      <formula>#REF!</formula>
    </cfRule>
    <cfRule type="cellIs" dxfId="18" priority="6" stopIfTrue="1" operator="equal">
      <formula>#REF!</formula>
    </cfRule>
    <cfRule type="cellIs" dxfId="17" priority="7" stopIfTrue="1" operator="equal">
      <formula>#REF!</formula>
    </cfRule>
    <cfRule type="cellIs" dxfId="16" priority="8" stopIfTrue="1" operator="equal">
      <formula>#REF!</formula>
    </cfRule>
  </conditionalFormatting>
  <conditionalFormatting sqref="S2:T2">
    <cfRule type="containsText" dxfId="15" priority="38" stopIfTrue="1" operator="containsText" text="Moderate">
      <formula>NOT(ISERROR(SEARCH("Moderate",S2)))</formula>
    </cfRule>
    <cfRule type="containsText" dxfId="14" priority="39" stopIfTrue="1" operator="containsText" text="Low">
      <formula>NOT(ISERROR(SEARCH("Low",S2)))</formula>
    </cfRule>
    <cfRule type="containsText" dxfId="13" priority="40" stopIfTrue="1" operator="containsText" text="Negligible">
      <formula>NOT(ISERROR(SEARCH("Negligible",S2)))</formula>
    </cfRule>
  </conditionalFormatting>
  <dataValidations count="1">
    <dataValidation type="list" allowBlank="1" showInputMessage="1" showErrorMessage="1" sqref="H1" xr:uid="{F594C5FD-4126-2747-81F9-FAC000950C9A}">
      <formula1>"Very High (&gt;65%), High (&gt;40% to &lt;65%), Moderate (&gt;25% to &lt;40%), Low (&gt;10% to &lt;25%), Very Low (&lt;10%)"</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A02DB-98AC-48B5-8537-C914F11783B1}">
  <sheetPr codeName="Sheet7"/>
  <dimension ref="A2:O40"/>
  <sheetViews>
    <sheetView topLeftCell="A6" zoomScale="96" zoomScaleNormal="96" workbookViewId="0">
      <selection activeCell="E9" sqref="E9"/>
    </sheetView>
  </sheetViews>
  <sheetFormatPr baseColWidth="10" defaultColWidth="8.83203125" defaultRowHeight="15" x14ac:dyDescent="0.2"/>
  <cols>
    <col min="1" max="1" width="3.33203125" customWidth="1"/>
    <col min="2" max="2" width="11.1640625" customWidth="1"/>
    <col min="3" max="3" width="9.5" customWidth="1"/>
    <col min="4" max="4" width="13" customWidth="1"/>
    <col min="5" max="9" width="20.1640625" customWidth="1"/>
  </cols>
  <sheetData>
    <row r="2" spans="1:11" ht="29" x14ac:dyDescent="0.2">
      <c r="A2" s="30"/>
      <c r="B2" s="1055" t="s">
        <v>1939</v>
      </c>
      <c r="C2" s="1055"/>
      <c r="D2" s="1055"/>
      <c r="E2" s="1055"/>
      <c r="F2" s="1055"/>
      <c r="G2" s="1055"/>
      <c r="H2" s="1055"/>
      <c r="I2" s="1055"/>
    </row>
    <row r="4" spans="1:11" s="7" customFormat="1" ht="17.25" customHeight="1" x14ac:dyDescent="0.2">
      <c r="A4" s="82"/>
      <c r="B4" s="1059" t="s">
        <v>1940</v>
      </c>
      <c r="C4" s="1060"/>
      <c r="D4" s="1060"/>
      <c r="E4" s="1060"/>
      <c r="F4" s="1060"/>
      <c r="G4" s="1060"/>
      <c r="H4" s="1060"/>
      <c r="I4" s="1061"/>
      <c r="J4" s="995"/>
      <c r="K4" s="82"/>
    </row>
    <row r="5" spans="1:11" s="7" customFormat="1" ht="30" customHeight="1" x14ac:dyDescent="0.2">
      <c r="A5" s="82"/>
      <c r="B5" s="1062" t="s">
        <v>1941</v>
      </c>
      <c r="C5" s="1052" t="s">
        <v>101</v>
      </c>
      <c r="D5" s="1052"/>
      <c r="E5" s="42" t="s">
        <v>207</v>
      </c>
      <c r="F5" s="42" t="s">
        <v>280</v>
      </c>
      <c r="G5" s="42" t="s">
        <v>307</v>
      </c>
      <c r="H5" s="42" t="s">
        <v>406</v>
      </c>
      <c r="I5" s="42" t="s">
        <v>600</v>
      </c>
      <c r="J5" s="995"/>
      <c r="K5" s="82"/>
    </row>
    <row r="6" spans="1:11" s="6" customFormat="1" ht="122.25" customHeight="1" x14ac:dyDescent="0.2">
      <c r="A6" s="87"/>
      <c r="B6" s="1063"/>
      <c r="C6" s="1072" t="s">
        <v>1942</v>
      </c>
      <c r="D6" s="1073"/>
      <c r="E6" s="27" t="s">
        <v>1943</v>
      </c>
      <c r="F6" s="27" t="s">
        <v>1944</v>
      </c>
      <c r="G6" s="27" t="s">
        <v>1945</v>
      </c>
      <c r="H6" s="27" t="s">
        <v>1946</v>
      </c>
      <c r="I6" s="27" t="s">
        <v>1947</v>
      </c>
      <c r="J6" s="88"/>
      <c r="K6" s="87"/>
    </row>
    <row r="7" spans="1:11" s="7" customFormat="1" ht="31.25" customHeight="1" x14ac:dyDescent="0.2">
      <c r="A7" s="82"/>
      <c r="B7" s="1063"/>
      <c r="C7" s="1074" t="s">
        <v>1948</v>
      </c>
      <c r="D7" s="1075"/>
      <c r="E7" s="934">
        <v>250</v>
      </c>
      <c r="F7" s="934">
        <v>1000</v>
      </c>
      <c r="G7" s="934">
        <v>5000</v>
      </c>
      <c r="H7" s="934">
        <v>30000</v>
      </c>
      <c r="I7" s="41" t="s">
        <v>1949</v>
      </c>
      <c r="J7" s="995"/>
      <c r="K7" s="82"/>
    </row>
    <row r="8" spans="1:11" s="7" customFormat="1" ht="45" customHeight="1" x14ac:dyDescent="0.2">
      <c r="A8" s="82"/>
      <c r="B8" s="1063"/>
      <c r="C8" s="1050" t="s">
        <v>1950</v>
      </c>
      <c r="D8" s="1051"/>
      <c r="E8" s="703">
        <v>3</v>
      </c>
      <c r="F8" s="703">
        <v>6</v>
      </c>
      <c r="G8" s="703">
        <v>12</v>
      </c>
      <c r="H8" s="703">
        <v>24</v>
      </c>
      <c r="I8" s="703" t="s">
        <v>1951</v>
      </c>
      <c r="J8" s="995"/>
      <c r="K8" s="82"/>
    </row>
    <row r="9" spans="1:11" s="7" customFormat="1" ht="133.25" customHeight="1" x14ac:dyDescent="0.2">
      <c r="A9" s="82"/>
      <c r="B9" s="1063"/>
      <c r="C9" s="1050" t="s">
        <v>1952</v>
      </c>
      <c r="D9" s="1051"/>
      <c r="E9" s="26" t="s">
        <v>1953</v>
      </c>
      <c r="F9" s="26" t="s">
        <v>1954</v>
      </c>
      <c r="G9" s="26" t="s">
        <v>1955</v>
      </c>
      <c r="H9" s="26" t="s">
        <v>1956</v>
      </c>
      <c r="I9" s="26" t="s">
        <v>1957</v>
      </c>
      <c r="J9" s="995"/>
      <c r="K9" s="82"/>
    </row>
    <row r="10" spans="1:11" s="7" customFormat="1" ht="16.25" customHeight="1" x14ac:dyDescent="0.2">
      <c r="A10" s="82"/>
      <c r="B10" s="1063"/>
      <c r="C10" s="1068" t="s">
        <v>1893</v>
      </c>
      <c r="D10" s="1069"/>
      <c r="E10" s="1046" t="s">
        <v>1897</v>
      </c>
      <c r="F10" s="1047" t="s">
        <v>1465</v>
      </c>
      <c r="G10" s="1045" t="s">
        <v>354</v>
      </c>
      <c r="H10" s="1045" t="s">
        <v>354</v>
      </c>
      <c r="I10" s="1045" t="s">
        <v>354</v>
      </c>
      <c r="J10" s="995"/>
      <c r="K10" s="25"/>
    </row>
    <row r="11" spans="1:11" s="7" customFormat="1" ht="22.5" customHeight="1" x14ac:dyDescent="0.2">
      <c r="A11" s="82"/>
      <c r="B11" s="1063"/>
      <c r="C11" s="36" t="s">
        <v>1958</v>
      </c>
      <c r="D11" s="35">
        <v>0.65</v>
      </c>
      <c r="E11" s="1046"/>
      <c r="F11" s="1047"/>
      <c r="G11" s="1045"/>
      <c r="H11" s="1045"/>
      <c r="I11" s="1045"/>
      <c r="J11" s="995"/>
      <c r="K11" s="25"/>
    </row>
    <row r="12" spans="1:11" s="7" customFormat="1" ht="16.25" customHeight="1" x14ac:dyDescent="0.2">
      <c r="A12" s="82"/>
      <c r="B12" s="1063"/>
      <c r="C12" s="1070" t="s">
        <v>354</v>
      </c>
      <c r="D12" s="1071"/>
      <c r="E12" s="1046" t="s">
        <v>1897</v>
      </c>
      <c r="F12" s="1047" t="s">
        <v>1465</v>
      </c>
      <c r="G12" s="1047" t="s">
        <v>1465</v>
      </c>
      <c r="H12" s="1045" t="s">
        <v>354</v>
      </c>
      <c r="I12" s="1045" t="s">
        <v>354</v>
      </c>
      <c r="J12" s="1048"/>
      <c r="K12" s="25"/>
    </row>
    <row r="13" spans="1:11" s="7" customFormat="1" ht="17" x14ac:dyDescent="0.2">
      <c r="A13" s="82"/>
      <c r="B13" s="1063"/>
      <c r="C13" s="37" t="s">
        <v>1959</v>
      </c>
      <c r="D13" s="43">
        <v>0.65</v>
      </c>
      <c r="E13" s="1046"/>
      <c r="F13" s="1047"/>
      <c r="G13" s="1047"/>
      <c r="H13" s="1045"/>
      <c r="I13" s="1045"/>
      <c r="J13" s="1048"/>
      <c r="K13" s="82"/>
    </row>
    <row r="14" spans="1:11" s="7" customFormat="1" ht="17" x14ac:dyDescent="0.2">
      <c r="A14" s="82"/>
      <c r="B14" s="1063"/>
      <c r="C14" s="38" t="s">
        <v>1958</v>
      </c>
      <c r="D14" s="35">
        <v>0.4</v>
      </c>
      <c r="E14" s="1046"/>
      <c r="F14" s="1047"/>
      <c r="G14" s="1047"/>
      <c r="H14" s="1045"/>
      <c r="I14" s="1045"/>
      <c r="J14" s="995"/>
      <c r="K14" s="82"/>
    </row>
    <row r="15" spans="1:11" s="7" customFormat="1" ht="16.25" customHeight="1" x14ac:dyDescent="0.2">
      <c r="A15" s="82"/>
      <c r="B15" s="1063"/>
      <c r="C15" s="1068" t="s">
        <v>1465</v>
      </c>
      <c r="D15" s="1069"/>
      <c r="E15" s="1049" t="s">
        <v>1897</v>
      </c>
      <c r="F15" s="1049" t="s">
        <v>1897</v>
      </c>
      <c r="G15" s="1047" t="s">
        <v>1465</v>
      </c>
      <c r="H15" s="1047" t="s">
        <v>1465</v>
      </c>
      <c r="I15" s="1045" t="s">
        <v>354</v>
      </c>
      <c r="J15" s="1048"/>
      <c r="K15" s="82"/>
    </row>
    <row r="16" spans="1:11" s="7" customFormat="1" ht="17" x14ac:dyDescent="0.2">
      <c r="A16" s="82"/>
      <c r="B16" s="1063"/>
      <c r="C16" s="37" t="s">
        <v>1959</v>
      </c>
      <c r="D16" s="43">
        <v>0.4</v>
      </c>
      <c r="E16" s="1049"/>
      <c r="F16" s="1049"/>
      <c r="G16" s="1047"/>
      <c r="H16" s="1047"/>
      <c r="I16" s="1045"/>
      <c r="J16" s="1048"/>
      <c r="K16" s="82"/>
    </row>
    <row r="17" spans="1:15" s="7" customFormat="1" ht="17" x14ac:dyDescent="0.2">
      <c r="A17" s="82"/>
      <c r="B17" s="1063"/>
      <c r="C17" s="38" t="s">
        <v>1958</v>
      </c>
      <c r="D17" s="35">
        <v>0.25</v>
      </c>
      <c r="E17" s="1049"/>
      <c r="F17" s="1049"/>
      <c r="G17" s="1047"/>
      <c r="H17" s="1047"/>
      <c r="I17" s="1045"/>
      <c r="J17" s="995"/>
      <c r="K17" s="82"/>
      <c r="L17" s="82"/>
      <c r="M17" s="82"/>
      <c r="N17" s="82"/>
      <c r="O17" s="82"/>
    </row>
    <row r="18" spans="1:15" s="7" customFormat="1" ht="16.25" customHeight="1" x14ac:dyDescent="0.2">
      <c r="A18" s="82"/>
      <c r="B18" s="1063"/>
      <c r="C18" s="1068" t="s">
        <v>1897</v>
      </c>
      <c r="D18" s="1069"/>
      <c r="E18" s="1049" t="s">
        <v>1897</v>
      </c>
      <c r="F18" s="1049" t="s">
        <v>1897</v>
      </c>
      <c r="G18" s="1049" t="s">
        <v>1897</v>
      </c>
      <c r="H18" s="1047" t="s">
        <v>1465</v>
      </c>
      <c r="I18" s="1047" t="s">
        <v>1465</v>
      </c>
      <c r="J18" s="995"/>
      <c r="K18" s="82"/>
      <c r="L18" s="82"/>
      <c r="M18" s="82"/>
      <c r="N18" s="82"/>
      <c r="O18" s="82"/>
    </row>
    <row r="19" spans="1:15" s="7" customFormat="1" ht="17" x14ac:dyDescent="0.2">
      <c r="A19" s="82"/>
      <c r="B19" s="1063"/>
      <c r="C19" s="37" t="s">
        <v>1959</v>
      </c>
      <c r="D19" s="43">
        <v>0.25</v>
      </c>
      <c r="E19" s="1049"/>
      <c r="F19" s="1049"/>
      <c r="G19" s="1049"/>
      <c r="H19" s="1047"/>
      <c r="I19" s="1047"/>
      <c r="J19" s="995"/>
      <c r="K19" s="82"/>
      <c r="L19" s="82"/>
      <c r="M19" s="82"/>
      <c r="N19" s="82"/>
      <c r="O19" s="82"/>
    </row>
    <row r="20" spans="1:15" s="7" customFormat="1" ht="17" x14ac:dyDescent="0.2">
      <c r="A20" s="82"/>
      <c r="B20" s="1063"/>
      <c r="C20" s="38" t="s">
        <v>1958</v>
      </c>
      <c r="D20" s="35">
        <v>0.1</v>
      </c>
      <c r="E20" s="1049"/>
      <c r="F20" s="1049"/>
      <c r="G20" s="1049"/>
      <c r="H20" s="1047"/>
      <c r="I20" s="1047"/>
      <c r="J20" s="995"/>
      <c r="K20" s="82"/>
      <c r="L20" s="82"/>
      <c r="M20" s="82"/>
      <c r="N20" s="82"/>
      <c r="O20" s="82"/>
    </row>
    <row r="21" spans="1:15" s="7" customFormat="1" ht="16.25" customHeight="1" x14ac:dyDescent="0.2">
      <c r="A21" s="82"/>
      <c r="B21" s="1063"/>
      <c r="C21" s="1068" t="s">
        <v>1898</v>
      </c>
      <c r="D21" s="1069"/>
      <c r="E21" s="1049" t="s">
        <v>1897</v>
      </c>
      <c r="F21" s="1053" t="s">
        <v>1897</v>
      </c>
      <c r="G21" s="1049" t="s">
        <v>1897</v>
      </c>
      <c r="H21" s="1049" t="s">
        <v>1897</v>
      </c>
      <c r="I21" s="1049" t="s">
        <v>1897</v>
      </c>
      <c r="J21" s="995"/>
      <c r="K21" s="82"/>
      <c r="L21" s="82"/>
      <c r="M21" s="82"/>
      <c r="N21" s="82"/>
      <c r="O21" s="82"/>
    </row>
    <row r="22" spans="1:15" s="7" customFormat="1" ht="25.5" customHeight="1" x14ac:dyDescent="0.2">
      <c r="A22" s="82"/>
      <c r="B22" s="1064"/>
      <c r="C22" s="36" t="s">
        <v>1959</v>
      </c>
      <c r="D22" s="44">
        <v>0.1</v>
      </c>
      <c r="E22" s="1049"/>
      <c r="F22" s="1054"/>
      <c r="G22" s="1049"/>
      <c r="H22" s="1049"/>
      <c r="I22" s="1049"/>
      <c r="J22" s="995"/>
      <c r="K22" s="82"/>
      <c r="L22" s="82"/>
      <c r="M22" s="82"/>
      <c r="N22" s="82"/>
      <c r="O22" s="82"/>
    </row>
    <row r="26" spans="1:15" ht="19" x14ac:dyDescent="0.25">
      <c r="A26" s="28"/>
      <c r="B26" s="1065" t="s">
        <v>1960</v>
      </c>
      <c r="C26" s="1065"/>
      <c r="D26" s="1065"/>
      <c r="E26" s="1065"/>
      <c r="F26" s="1065"/>
      <c r="G26" s="1065"/>
      <c r="H26" s="1065"/>
    </row>
    <row r="27" spans="1:15" ht="19.25" customHeight="1" x14ac:dyDescent="0.2">
      <c r="A27" s="1057" t="s">
        <v>1940</v>
      </c>
      <c r="B27" s="1057"/>
      <c r="C27" s="1057"/>
      <c r="D27" s="1057"/>
      <c r="E27" s="1057"/>
      <c r="F27" s="1057"/>
      <c r="G27" s="1057"/>
      <c r="H27" s="1057"/>
    </row>
    <row r="28" spans="1:15" ht="19" x14ac:dyDescent="0.2">
      <c r="A28" s="1058" t="s">
        <v>1892</v>
      </c>
      <c r="B28" s="1066" t="s">
        <v>101</v>
      </c>
      <c r="C28" s="39"/>
      <c r="D28" s="45" t="s">
        <v>207</v>
      </c>
      <c r="E28" s="45" t="s">
        <v>280</v>
      </c>
      <c r="F28" s="45" t="s">
        <v>307</v>
      </c>
      <c r="G28" s="45" t="s">
        <v>406</v>
      </c>
      <c r="H28" s="45" t="s">
        <v>600</v>
      </c>
    </row>
    <row r="29" spans="1:15" ht="16" x14ac:dyDescent="0.2">
      <c r="A29" s="1058"/>
      <c r="B29" s="1067"/>
      <c r="C29" s="40" t="s">
        <v>1890</v>
      </c>
      <c r="D29" s="47">
        <v>1</v>
      </c>
      <c r="E29" s="47">
        <v>2</v>
      </c>
      <c r="F29" s="47">
        <v>3</v>
      </c>
      <c r="G29" s="47">
        <v>4</v>
      </c>
      <c r="H29" s="47">
        <v>5</v>
      </c>
    </row>
    <row r="30" spans="1:15" ht="19.25" customHeight="1" x14ac:dyDescent="0.2">
      <c r="A30" s="1058"/>
      <c r="B30" s="45" t="s">
        <v>1893</v>
      </c>
      <c r="C30" s="46">
        <v>5</v>
      </c>
      <c r="D30" s="32">
        <f>$C30*D$29</f>
        <v>5</v>
      </c>
      <c r="E30" s="33">
        <f t="shared" ref="E30:H34" si="0">$C30*E$29</f>
        <v>10</v>
      </c>
      <c r="F30" s="34">
        <f t="shared" si="0"/>
        <v>15</v>
      </c>
      <c r="G30" s="34">
        <f t="shared" si="0"/>
        <v>20</v>
      </c>
      <c r="H30" s="34">
        <f t="shared" si="0"/>
        <v>25</v>
      </c>
      <c r="K30" s="696">
        <f>COUNTIFS(Risks!$AT:$AT,"=5",Risks!$B:$B,"=Active",Risks!$AX:$AX,"1")</f>
        <v>0</v>
      </c>
      <c r="L30" s="697">
        <f>COUNTIFS(Risks!$AT:$AT,"=5",Risks!$B:$B,"=Active",Risks!$AX:$AX,"2")</f>
        <v>0</v>
      </c>
      <c r="M30" s="698">
        <f>COUNTIFS(Risks!$AT:$AT,"=5",Risks!$B:$B,"=Active",Risks!$AX:$AX,"3")</f>
        <v>0</v>
      </c>
      <c r="N30" s="698">
        <f>COUNTIFS(Risks!$AT:$AT,"=5",Risks!$B:$B,"=Active",Risks!$AX:$AX,"4")</f>
        <v>2</v>
      </c>
      <c r="O30" s="698">
        <f>COUNTIFS(Risks!$AT:$AT,"=5",Risks!$B:$B,"=Active",Risks!$AX:$AX,"5")</f>
        <v>0</v>
      </c>
    </row>
    <row r="31" spans="1:15" ht="19" x14ac:dyDescent="0.2">
      <c r="A31" s="1058"/>
      <c r="B31" s="45" t="s">
        <v>354</v>
      </c>
      <c r="C31" s="46">
        <v>4</v>
      </c>
      <c r="D31" s="32">
        <f>$C31*D$29</f>
        <v>4</v>
      </c>
      <c r="E31" s="33">
        <f t="shared" si="0"/>
        <v>8</v>
      </c>
      <c r="F31" s="33">
        <f t="shared" si="0"/>
        <v>12</v>
      </c>
      <c r="G31" s="34">
        <f t="shared" si="0"/>
        <v>16</v>
      </c>
      <c r="H31" s="34">
        <f t="shared" si="0"/>
        <v>20</v>
      </c>
      <c r="K31" s="696">
        <f>COUNTIFS(Risks!$AT:$AT,"=4",Risks!$B:$B,"=Active",Risks!$AX:$AX,"1")</f>
        <v>1</v>
      </c>
      <c r="L31" s="697">
        <f>COUNTIFS(Risks!$AT:$AT,"=4",Risks!$B:$B,"=Active",Risks!$AX:$AX,"2")</f>
        <v>0</v>
      </c>
      <c r="M31" s="697">
        <f>COUNTIFS(Risks!$AT:$AT,"=4",Risks!$B:$B,"=Active",Risks!$AX:$AX,"3")</f>
        <v>16</v>
      </c>
      <c r="N31" s="698">
        <f>COUNTIFS(Risks!$AT:$AT,"=4",Risks!$B:$B,"=Active",Risks!$AX:$AX,"4")</f>
        <v>10</v>
      </c>
      <c r="O31" s="698">
        <f>COUNTIFS(Risks!$AT:$AT,"=4",Risks!$B:$B,"=Active",Risks!$AX:$AX,"5")</f>
        <v>0</v>
      </c>
    </row>
    <row r="32" spans="1:15" ht="19" x14ac:dyDescent="0.2">
      <c r="A32" s="1058"/>
      <c r="B32" s="45" t="s">
        <v>1465</v>
      </c>
      <c r="C32" s="46">
        <v>3</v>
      </c>
      <c r="D32" s="32">
        <f>$C32*D$29</f>
        <v>3</v>
      </c>
      <c r="E32" s="32">
        <f t="shared" si="0"/>
        <v>6</v>
      </c>
      <c r="F32" s="33">
        <f t="shared" si="0"/>
        <v>9</v>
      </c>
      <c r="G32" s="33">
        <f t="shared" si="0"/>
        <v>12</v>
      </c>
      <c r="H32" s="34">
        <f t="shared" si="0"/>
        <v>15</v>
      </c>
      <c r="K32" s="696">
        <f>COUNTIFS(Risks!$AT:$AT,"=3",Risks!$B:$B,"=Active",Risks!$AX:$AX,"1")</f>
        <v>1</v>
      </c>
      <c r="L32" s="696">
        <f>COUNTIFS(Risks!$AT:$AT,"=3",Risks!$B:$B,"=Active",Risks!$AX:$AX,"2")</f>
        <v>4</v>
      </c>
      <c r="M32" s="697">
        <f>COUNTIFS(Risks!$AT:$AT,"=3",Risks!$B:$B,"=Active",Risks!$AX:$AX,"3")</f>
        <v>25</v>
      </c>
      <c r="N32" s="697">
        <f>COUNTIFS(Risks!$AT:$AT,"=3",Risks!$B:$B,"=Active",Risks!$AX:$AX,"4")</f>
        <v>13</v>
      </c>
      <c r="O32" s="698">
        <f>COUNTIFS(Risks!$AT:$AT,"=3",Risks!$B:$B,"=Active",Risks!$AX:$AX,"5")</f>
        <v>4</v>
      </c>
    </row>
    <row r="33" spans="1:15" ht="19" x14ac:dyDescent="0.2">
      <c r="A33" s="1058"/>
      <c r="B33" s="45" t="s">
        <v>1897</v>
      </c>
      <c r="C33" s="46">
        <v>2</v>
      </c>
      <c r="D33" s="32">
        <f>$C33*D$29</f>
        <v>2</v>
      </c>
      <c r="E33" s="32">
        <f t="shared" si="0"/>
        <v>4</v>
      </c>
      <c r="F33" s="32">
        <f t="shared" si="0"/>
        <v>6</v>
      </c>
      <c r="G33" s="33">
        <f t="shared" si="0"/>
        <v>8</v>
      </c>
      <c r="H33" s="33">
        <f t="shared" si="0"/>
        <v>10</v>
      </c>
      <c r="K33" s="696">
        <f>COUNTIFS(Risks!$AT:$AT,"=2",Risks!$B:$B,"=Active",Risks!$AX:$AX,"1")</f>
        <v>9</v>
      </c>
      <c r="L33" s="696">
        <f>COUNTIFS(Risks!$AT:$AT,"=2",Risks!$B:$B,"=Active",Risks!$AX:$AX,"2")</f>
        <v>7</v>
      </c>
      <c r="M33" s="696">
        <f>COUNTIFS(Risks!$AT:$AT,"=2",Risks!$B:$B,"=Active",Risks!$AX:$AX,"3")</f>
        <v>34</v>
      </c>
      <c r="N33" s="697">
        <f>COUNTIFS(Risks!$AT:$AT,"=2",Risks!$B:$B,"=Active",Risks!$AX:$AX,"4")</f>
        <v>13</v>
      </c>
      <c r="O33" s="697">
        <f>COUNTIFS(Risks!$AT:$AT,"=2",Risks!$B:$B,"=Active",Risks!$AX:$AX,"5")</f>
        <v>3</v>
      </c>
    </row>
    <row r="34" spans="1:15" ht="19" x14ac:dyDescent="0.2">
      <c r="A34" s="1058"/>
      <c r="B34" s="45" t="s">
        <v>1898</v>
      </c>
      <c r="C34" s="46">
        <v>1</v>
      </c>
      <c r="D34" s="32">
        <f>$C34*D$29</f>
        <v>1</v>
      </c>
      <c r="E34" s="32">
        <f t="shared" si="0"/>
        <v>2</v>
      </c>
      <c r="F34" s="32">
        <f t="shared" si="0"/>
        <v>3</v>
      </c>
      <c r="G34" s="32">
        <f t="shared" si="0"/>
        <v>4</v>
      </c>
      <c r="H34" s="32">
        <f t="shared" si="0"/>
        <v>5</v>
      </c>
      <c r="K34" s="696">
        <f>COUNTIFS(Risks!$AT:$AT,"=1",Risks!$B:$B,"=Active",Risks!$AX:$AX,"1")</f>
        <v>3</v>
      </c>
      <c r="L34" s="696">
        <f>COUNTIFS(Risks!$AT:$AT,"=1",Risks!$B:$B,"=Active",Risks!$AX:$AX,"2")</f>
        <v>3</v>
      </c>
      <c r="M34" s="696">
        <f>COUNTIFS(Risks!$AT:$AT,"=1",Risks!$B:$B,"=Active",Risks!$AX:$AX,"3")</f>
        <v>13</v>
      </c>
      <c r="N34" s="696">
        <f>COUNTIFS(Risks!$AT:$AT,"=1",Risks!$B:$B,"=Active",Risks!$AX:$AX,"4")</f>
        <v>10</v>
      </c>
      <c r="O34" s="697">
        <f>COUNTIFS(Risks!$AT:$AT,"=1",Risks!$B:$B,"=Active",Risks!$AX:$AX,"5")</f>
        <v>3</v>
      </c>
    </row>
    <row r="35" spans="1:15" ht="19" x14ac:dyDescent="0.25">
      <c r="A35" s="28"/>
      <c r="B35" s="28"/>
      <c r="C35" s="28"/>
      <c r="D35" s="28"/>
      <c r="E35" s="28"/>
      <c r="F35" s="28"/>
      <c r="G35" s="28"/>
      <c r="H35" s="28"/>
    </row>
    <row r="36" spans="1:15" ht="21" x14ac:dyDescent="0.25">
      <c r="A36" s="28"/>
      <c r="B36" s="29"/>
      <c r="C36" s="28"/>
      <c r="D36" s="28"/>
      <c r="E36" s="28"/>
      <c r="F36" s="28"/>
      <c r="G36" s="28"/>
      <c r="H36" s="28"/>
    </row>
    <row r="37" spans="1:15" ht="19" x14ac:dyDescent="0.25">
      <c r="A37" s="28"/>
      <c r="B37" s="1056" t="s">
        <v>1961</v>
      </c>
      <c r="C37" s="1056"/>
      <c r="D37" s="1056"/>
      <c r="E37" s="28"/>
      <c r="F37" s="28"/>
      <c r="G37" s="28"/>
      <c r="H37" s="28"/>
    </row>
    <row r="38" spans="1:15" ht="19" x14ac:dyDescent="0.25">
      <c r="A38" s="28"/>
      <c r="B38" s="48" t="s">
        <v>354</v>
      </c>
      <c r="C38" s="693" t="s">
        <v>1962</v>
      </c>
      <c r="D38" s="695">
        <v>15</v>
      </c>
      <c r="E38" s="28"/>
      <c r="F38" s="28"/>
      <c r="G38" s="28"/>
      <c r="H38" s="28"/>
    </row>
    <row r="39" spans="1:15" ht="19" x14ac:dyDescent="0.25">
      <c r="A39" s="28"/>
      <c r="B39" s="49" t="s">
        <v>1465</v>
      </c>
      <c r="C39" s="31" t="s">
        <v>1963</v>
      </c>
      <c r="D39" s="694">
        <v>14</v>
      </c>
      <c r="E39" s="28"/>
      <c r="F39" s="28"/>
      <c r="G39" s="28"/>
      <c r="H39" s="28"/>
    </row>
    <row r="40" spans="1:15" ht="19" x14ac:dyDescent="0.25">
      <c r="A40" s="28"/>
      <c r="B40" s="50" t="s">
        <v>1897</v>
      </c>
      <c r="C40" s="31" t="s">
        <v>1963</v>
      </c>
      <c r="D40" s="694">
        <v>6</v>
      </c>
      <c r="E40" s="28"/>
      <c r="F40" s="28"/>
      <c r="G40" s="28"/>
      <c r="H40" s="28"/>
    </row>
  </sheetData>
  <mergeCells count="45">
    <mergeCell ref="B2:I2"/>
    <mergeCell ref="B37:D37"/>
    <mergeCell ref="A27:H27"/>
    <mergeCell ref="A28:A34"/>
    <mergeCell ref="B4:I4"/>
    <mergeCell ref="B5:B22"/>
    <mergeCell ref="B26:H26"/>
    <mergeCell ref="B28:B29"/>
    <mergeCell ref="C10:D10"/>
    <mergeCell ref="C12:D12"/>
    <mergeCell ref="C15:D15"/>
    <mergeCell ref="C18:D18"/>
    <mergeCell ref="C21:D21"/>
    <mergeCell ref="C6:D6"/>
    <mergeCell ref="C7:D7"/>
    <mergeCell ref="C8:D8"/>
    <mergeCell ref="C9:D9"/>
    <mergeCell ref="C5:D5"/>
    <mergeCell ref="I18:I20"/>
    <mergeCell ref="E21:E22"/>
    <mergeCell ref="F21:F22"/>
    <mergeCell ref="G21:G22"/>
    <mergeCell ref="H21:H22"/>
    <mergeCell ref="I21:I22"/>
    <mergeCell ref="E18:E20"/>
    <mergeCell ref="F18:F20"/>
    <mergeCell ref="G18:G20"/>
    <mergeCell ref="H18:H20"/>
    <mergeCell ref="I12:I14"/>
    <mergeCell ref="E10:E11"/>
    <mergeCell ref="F10:F11"/>
    <mergeCell ref="G10:G11"/>
    <mergeCell ref="J12:J13"/>
    <mergeCell ref="E15:E17"/>
    <mergeCell ref="F15:F17"/>
    <mergeCell ref="G15:G17"/>
    <mergeCell ref="H15:H17"/>
    <mergeCell ref="I15:I17"/>
    <mergeCell ref="J15:J16"/>
    <mergeCell ref="H10:H11"/>
    <mergeCell ref="I10:I11"/>
    <mergeCell ref="E12:E14"/>
    <mergeCell ref="F12:F14"/>
    <mergeCell ref="G12:G14"/>
    <mergeCell ref="H12:H14"/>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Q25"/>
  <sheetViews>
    <sheetView showGridLines="0" zoomScale="79" zoomScaleNormal="79" workbookViewId="0">
      <selection activeCell="B2" sqref="B2"/>
    </sheetView>
  </sheetViews>
  <sheetFormatPr baseColWidth="10" defaultColWidth="8.33203125" defaultRowHeight="15" x14ac:dyDescent="0.2"/>
  <cols>
    <col min="1" max="1" width="17.33203125" style="1" customWidth="1"/>
    <col min="2" max="3" width="8.33203125" style="1"/>
    <col min="4" max="4" width="30.33203125" style="1" customWidth="1"/>
    <col min="5" max="5" width="21.6640625" style="1" customWidth="1"/>
    <col min="6" max="6" width="23.83203125" style="1" customWidth="1"/>
    <col min="7" max="7" width="23.33203125" style="1" customWidth="1"/>
    <col min="8" max="8" width="10.5" style="1" customWidth="1"/>
    <col min="9" max="9" width="7.33203125" style="1" customWidth="1"/>
    <col min="10" max="10" width="10.6640625" style="1" customWidth="1"/>
    <col min="11" max="11" width="1.33203125" style="1" customWidth="1"/>
    <col min="12" max="16384" width="8.33203125" style="1"/>
  </cols>
  <sheetData>
    <row r="1" spans="1:11" ht="41.25" customHeight="1" x14ac:dyDescent="0.25">
      <c r="A1" s="331" t="s">
        <v>1964</v>
      </c>
      <c r="B1" s="83">
        <v>237</v>
      </c>
      <c r="C1" s="84"/>
      <c r="D1" s="85"/>
      <c r="E1" s="85"/>
      <c r="F1" s="85"/>
      <c r="G1" s="85"/>
      <c r="H1" s="85"/>
      <c r="I1" s="84"/>
      <c r="J1" s="84"/>
      <c r="K1" s="84"/>
    </row>
    <row r="2" spans="1:11" ht="16" thickBot="1" x14ac:dyDescent="0.25">
      <c r="A2" s="84"/>
      <c r="B2" s="84"/>
      <c r="C2" s="84"/>
      <c r="D2" s="84"/>
      <c r="E2" s="320"/>
      <c r="F2" s="320"/>
      <c r="G2" s="320"/>
      <c r="H2" s="84"/>
      <c r="I2" s="84"/>
      <c r="J2" s="84"/>
      <c r="K2" s="84"/>
    </row>
    <row r="3" spans="1:11" ht="18" customHeight="1" x14ac:dyDescent="0.2">
      <c r="A3" s="84"/>
      <c r="B3" s="84"/>
      <c r="C3" s="316"/>
      <c r="D3" s="317" t="s">
        <v>50</v>
      </c>
      <c r="E3" s="318" t="s">
        <v>1965</v>
      </c>
      <c r="F3" s="319" t="s">
        <v>1916</v>
      </c>
      <c r="G3" s="321" t="s">
        <v>1917</v>
      </c>
      <c r="H3" s="1076" t="s">
        <v>1966</v>
      </c>
      <c r="I3" s="1077"/>
      <c r="J3" s="1077"/>
      <c r="K3" s="322"/>
    </row>
    <row r="4" spans="1:11" ht="52.25" customHeight="1" thickBot="1" x14ac:dyDescent="0.25">
      <c r="A4" s="84"/>
      <c r="B4" s="84"/>
      <c r="C4" s="86"/>
      <c r="D4" s="744" t="str">
        <f ca="1">INDIRECT("Risks!B"&amp;B1)</f>
        <v>Retired</v>
      </c>
      <c r="E4" s="729" t="str">
        <f ca="1">INDIRECT("Risks!J"&amp;B1)</f>
        <v>DET</v>
      </c>
      <c r="F4" s="726" t="str">
        <f ca="1">INDIRECT("Risks!I"&amp;B1)</f>
        <v>R. Ent</v>
      </c>
      <c r="G4" s="323">
        <f ca="1">INDIRECT("Risks!H"&amp;B1)</f>
        <v>0</v>
      </c>
      <c r="H4" s="1078" cm="1">
        <f t="array" aca="1" ref="H4" ca="1">INDIRECT("Risks!AY"&amp;B1)</f>
        <v>8</v>
      </c>
      <c r="I4" s="1079"/>
      <c r="J4" s="1080"/>
      <c r="K4" s="322"/>
    </row>
    <row r="5" spans="1:11" ht="34.25" customHeight="1" x14ac:dyDescent="0.2">
      <c r="A5" s="84"/>
      <c r="B5" s="84"/>
      <c r="C5" s="86"/>
      <c r="D5" s="722" t="s">
        <v>1967</v>
      </c>
      <c r="E5" s="723"/>
      <c r="F5" s="727" t="s">
        <v>1968</v>
      </c>
      <c r="G5" s="997" t="s">
        <v>1969</v>
      </c>
      <c r="H5" s="1081" t="str" cm="1">
        <f t="array" aca="1" ref="H5" ca="1">INDIRECT("Risks!AH"&amp;B1)</f>
        <v>L1_070, CD4-a</v>
      </c>
      <c r="I5" s="1082"/>
      <c r="J5" s="1082"/>
      <c r="K5" s="322"/>
    </row>
    <row r="6" spans="1:11" ht="18" customHeight="1" x14ac:dyDescent="0.2">
      <c r="A6" s="84"/>
      <c r="B6" s="84"/>
      <c r="C6" s="86"/>
      <c r="D6" s="1087" t="str">
        <f ca="1">INDIRECT("Risks!K"&amp;B1)</f>
        <v>Collaboration Formation Delayed</v>
      </c>
      <c r="E6" s="1088"/>
      <c r="F6" s="1117">
        <f ca="1">INDIRECT("Risks!AG"&amp;B1)</f>
        <v>0</v>
      </c>
      <c r="G6" s="724" t="s">
        <v>1970</v>
      </c>
      <c r="H6" s="1083" t="str" cm="1">
        <f t="array" aca="1" ref="H6" ca="1">IF(INDIRECT("Risks!AP"&amp;B1)="","",INDIRECT("Risks!AP"&amp;B1))</f>
        <v>Low</v>
      </c>
      <c r="I6" s="1084"/>
      <c r="J6" s="1084"/>
      <c r="K6" s="322"/>
    </row>
    <row r="7" spans="1:11" ht="18" customHeight="1" x14ac:dyDescent="0.2">
      <c r="A7" s="84"/>
      <c r="B7" s="84"/>
      <c r="C7" s="86"/>
      <c r="D7" s="1087"/>
      <c r="E7" s="1088"/>
      <c r="F7" s="1118"/>
      <c r="G7" s="725" t="s">
        <v>1971</v>
      </c>
      <c r="H7" s="1085" t="str" cm="1">
        <f t="array" aca="1" ref="H7" ca="1">IF(INDIRECT("Risks!AQ"&amp;B1)="","",INDIRECT("Risks!AQ"&amp;B1))</f>
        <v>Critical</v>
      </c>
      <c r="I7" s="1086"/>
      <c r="J7" s="1086"/>
      <c r="K7" s="322"/>
    </row>
    <row r="8" spans="1:11" ht="72" customHeight="1" thickBot="1" x14ac:dyDescent="0.25">
      <c r="A8" s="84"/>
      <c r="B8" s="84"/>
      <c r="C8" s="86"/>
      <c r="D8" s="1089"/>
      <c r="E8" s="1090"/>
      <c r="F8" s="1118"/>
      <c r="G8" s="954" t="s">
        <v>1972</v>
      </c>
      <c r="H8" s="1113" t="str" cm="1">
        <f t="array" aca="1" ref="H8" ca="1">IF(INDIRECT("Risks!AR"&amp;B1)="","",INDIRECT("Risks!AR"&amp;B1))</f>
        <v>Significant</v>
      </c>
      <c r="I8" s="1114"/>
      <c r="J8" s="1114"/>
      <c r="K8" s="322"/>
    </row>
    <row r="9" spans="1:11" ht="18" customHeight="1" x14ac:dyDescent="0.2">
      <c r="A9" s="84"/>
      <c r="B9" s="84"/>
      <c r="C9" s="86"/>
      <c r="D9" s="1107" t="s">
        <v>1973</v>
      </c>
      <c r="E9" s="1108"/>
      <c r="F9" s="1109"/>
      <c r="G9" s="1110" t="s">
        <v>1974</v>
      </c>
      <c r="H9" s="1111"/>
      <c r="I9" s="1100" t="s">
        <v>1975</v>
      </c>
      <c r="J9" s="1101"/>
      <c r="K9" s="322"/>
    </row>
    <row r="10" spans="1:11" ht="18" customHeight="1" x14ac:dyDescent="0.2">
      <c r="A10" s="84"/>
      <c r="B10" s="84"/>
      <c r="C10" s="86"/>
      <c r="D10" s="1087" t="str">
        <f ca="1">IF(INDIRECT("Risks!AC"&amp;B1)="","",INDIRECT("Risks!AC"&amp;B1))</f>
        <v>Mitigate</v>
      </c>
      <c r="E10" s="1099"/>
      <c r="F10" s="1112"/>
      <c r="G10" s="302" t="s">
        <v>1976</v>
      </c>
      <c r="H10" s="996" t="str">
        <f ca="1">IF(INDIRECT("Risks!BB"&amp;B1)="","",INDIRECT("Risks!BB"&amp;B1))</f>
        <v/>
      </c>
      <c r="I10" s="1100"/>
      <c r="J10" s="1101"/>
      <c r="K10" s="322"/>
    </row>
    <row r="11" spans="1:11" ht="18" customHeight="1" thickBot="1" x14ac:dyDescent="0.25">
      <c r="A11" s="84"/>
      <c r="B11" s="84"/>
      <c r="C11" s="86"/>
      <c r="D11" s="1087"/>
      <c r="E11" s="1099"/>
      <c r="F11" s="1112"/>
      <c r="G11" s="311" t="s">
        <v>1977</v>
      </c>
      <c r="H11" s="310" t="str">
        <f ca="1">IF(INDIRECT("Risks!BI"&amp;B1)="","",INDIRECT("Risks!BI"&amp;B1))</f>
        <v/>
      </c>
      <c r="I11" s="1102"/>
      <c r="J11" s="1103"/>
      <c r="K11" s="322"/>
    </row>
    <row r="12" spans="1:11" ht="18" customHeight="1" x14ac:dyDescent="0.2">
      <c r="A12" s="84"/>
      <c r="B12" s="84"/>
      <c r="C12" s="86"/>
      <c r="D12" s="1087"/>
      <c r="E12" s="1099"/>
      <c r="F12" s="1112"/>
      <c r="G12" s="313" t="s">
        <v>1978</v>
      </c>
      <c r="H12" s="309">
        <f ca="1">IF(INDIRECT("Risks!AI"&amp;B1)="","",INDIRECT("Risks!AI"&amp;B1))</f>
        <v>0.2</v>
      </c>
      <c r="I12" s="314" t="s">
        <v>1897</v>
      </c>
      <c r="J12" s="326">
        <f ca="1">IF(INDIRECT("Risks!AL"&amp;B1)="","",INDIRECT("Risks!AL"&amp;B1))</f>
        <v>30000</v>
      </c>
      <c r="K12" s="84"/>
    </row>
    <row r="13" spans="1:11" ht="18" customHeight="1" x14ac:dyDescent="0.2">
      <c r="A13" s="84"/>
      <c r="B13" s="84"/>
      <c r="C13" s="86"/>
      <c r="D13" s="1087"/>
      <c r="E13" s="1099"/>
      <c r="F13" s="1112"/>
      <c r="G13" s="312" t="s">
        <v>1979</v>
      </c>
      <c r="H13" s="305">
        <f ca="1">IF(INDIRECT("Risks!AJ"&amp;B1)="","",INDIRECT("Risks!AJ"&amp;B1))</f>
        <v>5000</v>
      </c>
      <c r="I13" s="307" t="s">
        <v>1980</v>
      </c>
      <c r="J13" s="325">
        <f ca="1">IF(INDIRECT("Risks!AM"&amp;B1)="","",INDIRECT("Risks!AM"&amp;B1))</f>
        <v>6</v>
      </c>
      <c r="K13" s="322"/>
    </row>
    <row r="14" spans="1:11" ht="18" customHeight="1" thickBot="1" x14ac:dyDescent="0.25">
      <c r="A14" s="84"/>
      <c r="B14" s="84"/>
      <c r="C14" s="86"/>
      <c r="D14" s="1087"/>
      <c r="E14" s="1099"/>
      <c r="F14" s="1112"/>
      <c r="G14" s="306" t="s">
        <v>1981</v>
      </c>
      <c r="H14" s="308">
        <f ca="1">IF(INDIRECT("Risks!AK"&amp;B1)="","",INDIRECT("Risks!AK"&amp;B1))</f>
        <v>10000</v>
      </c>
      <c r="I14" s="306" t="s">
        <v>354</v>
      </c>
      <c r="J14" s="324">
        <f ca="1">IF(INDIRECT("Risks!AN"&amp;B1)="","",INDIRECT("Risks!AN"&amp;B1))</f>
        <v>12</v>
      </c>
      <c r="K14" s="84"/>
    </row>
    <row r="15" spans="1:11" ht="19.5" customHeight="1" thickBot="1" x14ac:dyDescent="0.25">
      <c r="A15" s="84"/>
      <c r="B15" s="84"/>
      <c r="C15" s="86"/>
      <c r="D15" s="1087"/>
      <c r="E15" s="1099"/>
      <c r="F15" s="1112"/>
      <c r="G15" s="1115" t="s">
        <v>1982</v>
      </c>
      <c r="H15" s="1116"/>
      <c r="I15" s="1116"/>
      <c r="J15" s="1116"/>
      <c r="K15" s="322"/>
    </row>
    <row r="16" spans="1:11" ht="24" customHeight="1" x14ac:dyDescent="0.2">
      <c r="A16" s="84"/>
      <c r="B16" s="84"/>
      <c r="C16" s="86"/>
      <c r="D16" s="1087"/>
      <c r="E16" s="1099"/>
      <c r="F16" s="1112"/>
      <c r="G16" s="1097" t="str">
        <f ca="1">IF(INDIRECT("Risks!BA"&amp;B1)="","",INDIRECT("Risks!BA"&amp;B1))</f>
        <v/>
      </c>
      <c r="H16" s="1098"/>
      <c r="I16" s="1098"/>
      <c r="J16" s="1098"/>
      <c r="K16" s="322"/>
    </row>
    <row r="17" spans="3:17" ht="18" customHeight="1" x14ac:dyDescent="0.2">
      <c r="C17" s="86"/>
      <c r="D17" s="1104" t="s">
        <v>1983</v>
      </c>
      <c r="E17" s="1105"/>
      <c r="F17" s="1106"/>
      <c r="G17" s="1087"/>
      <c r="H17" s="1099"/>
      <c r="I17" s="1099"/>
      <c r="J17" s="1099"/>
      <c r="K17" s="322"/>
      <c r="L17" s="84"/>
      <c r="M17" s="84"/>
      <c r="N17" s="84"/>
      <c r="O17" s="84"/>
      <c r="P17" s="84"/>
      <c r="Q17" s="84"/>
    </row>
    <row r="18" spans="3:17" ht="132.5" customHeight="1" x14ac:dyDescent="0.2">
      <c r="C18" s="84"/>
      <c r="D18" s="1094" t="str">
        <f ca="1">IF(INDIRECT("Risks!AE"&amp;B1)="","",INDIRECT("Risks!AE"&amp;B1))</f>
        <v/>
      </c>
      <c r="E18" s="1095"/>
      <c r="F18" s="1096"/>
      <c r="G18" s="1094"/>
      <c r="H18" s="1095"/>
      <c r="I18" s="1095"/>
      <c r="J18" s="1095"/>
      <c r="K18" s="322"/>
      <c r="L18" s="84"/>
      <c r="M18" s="84"/>
      <c r="N18" s="84"/>
      <c r="O18" s="84"/>
      <c r="P18" s="84"/>
      <c r="Q18" s="84"/>
    </row>
    <row r="19" spans="3:17" ht="17.25" customHeight="1" x14ac:dyDescent="0.2">
      <c r="C19" s="338"/>
      <c r="D19" s="336" t="s">
        <v>1984</v>
      </c>
      <c r="E19" s="303"/>
      <c r="F19" s="303"/>
      <c r="G19" s="303"/>
      <c r="H19" s="303"/>
      <c r="I19" s="303"/>
      <c r="J19" s="304"/>
      <c r="K19" s="84"/>
      <c r="L19" s="84"/>
      <c r="M19" s="84"/>
      <c r="N19" s="84"/>
      <c r="O19" s="84"/>
      <c r="P19" s="84"/>
      <c r="Q19" s="84"/>
    </row>
    <row r="20" spans="3:17" ht="77.25" customHeight="1" thickBot="1" x14ac:dyDescent="0.25">
      <c r="C20" s="84"/>
      <c r="D20" s="1091" cm="1">
        <f t="array" aca="1" ref="D20" ca="1">IF(INDIRECT("Risks!AW"&amp;B1)="Retired",INDIRECT("Risks!BN"&amp;B1),IF(INDIRECT("Risks!BN"&amp;B1)="","",INDIRECT("Risks!BN"&amp;B1)))</f>
        <v>44134</v>
      </c>
      <c r="E20" s="1092"/>
      <c r="F20" s="1092"/>
      <c r="G20" s="1092"/>
      <c r="H20" s="1092"/>
      <c r="I20" s="1092"/>
      <c r="J20" s="1093"/>
      <c r="K20" s="322"/>
      <c r="L20" s="84"/>
      <c r="M20" s="84"/>
      <c r="N20" s="84"/>
      <c r="O20" s="84"/>
      <c r="P20" s="84"/>
      <c r="Q20" s="84"/>
    </row>
    <row r="21" spans="3:17" x14ac:dyDescent="0.2">
      <c r="C21" s="84"/>
      <c r="D21" s="84"/>
      <c r="E21" s="315"/>
      <c r="F21"/>
      <c r="G21"/>
      <c r="H21" s="84"/>
      <c r="I21" s="84"/>
      <c r="J21" s="84"/>
      <c r="K21" s="84"/>
      <c r="L21" s="84"/>
      <c r="M21" s="84"/>
      <c r="N21" s="84"/>
      <c r="O21" s="84"/>
      <c r="P21" s="84"/>
      <c r="Q21" s="84"/>
    </row>
    <row r="22" spans="3:17" x14ac:dyDescent="0.2">
      <c r="C22" s="84"/>
      <c r="D22" s="84"/>
      <c r="E22"/>
      <c r="F22"/>
      <c r="G22"/>
      <c r="H22" s="84"/>
      <c r="I22" s="84"/>
      <c r="J22" s="84"/>
      <c r="K22" s="84"/>
      <c r="L22" s="84"/>
      <c r="M22" s="84"/>
      <c r="N22" s="84"/>
      <c r="O22" s="84"/>
      <c r="P22" s="84"/>
      <c r="Q22" s="84"/>
    </row>
    <row r="23" spans="3:17" x14ac:dyDescent="0.2">
      <c r="C23" s="84"/>
      <c r="D23" s="84"/>
      <c r="E23"/>
      <c r="F23"/>
      <c r="G23"/>
      <c r="H23" s="84"/>
      <c r="I23" s="84"/>
      <c r="J23" s="84"/>
      <c r="K23" s="84"/>
      <c r="L23" s="84"/>
      <c r="M23" s="84"/>
      <c r="N23" s="84"/>
      <c r="O23" s="84"/>
      <c r="P23" s="84"/>
      <c r="Q23" s="84"/>
    </row>
    <row r="24" spans="3:17" x14ac:dyDescent="0.2">
      <c r="C24" s="84"/>
      <c r="D24" s="84"/>
      <c r="E24"/>
      <c r="F24"/>
      <c r="G24"/>
      <c r="H24" s="84"/>
      <c r="I24" s="84"/>
      <c r="J24" s="84"/>
      <c r="K24" s="84"/>
      <c r="L24" s="84"/>
      <c r="M24" s="84"/>
      <c r="N24" s="84"/>
      <c r="O24" s="84"/>
      <c r="P24" s="84"/>
      <c r="Q24" s="84"/>
    </row>
    <row r="25" spans="3:17" x14ac:dyDescent="0.2">
      <c r="C25" s="84"/>
      <c r="D25" s="84"/>
      <c r="E25"/>
      <c r="F25"/>
      <c r="G25"/>
      <c r="H25" s="84"/>
      <c r="I25" s="84"/>
      <c r="J25" s="84"/>
      <c r="K25" s="84"/>
      <c r="L25" s="84"/>
      <c r="M25" s="84"/>
      <c r="N25" s="84"/>
      <c r="O25" s="84"/>
      <c r="P25" s="84"/>
      <c r="Q25" s="84"/>
    </row>
  </sheetData>
  <mergeCells count="17">
    <mergeCell ref="D6:E8"/>
    <mergeCell ref="D20:J20"/>
    <mergeCell ref="D18:F18"/>
    <mergeCell ref="G16:J18"/>
    <mergeCell ref="I9:J11"/>
    <mergeCell ref="D17:F17"/>
    <mergeCell ref="D9:F9"/>
    <mergeCell ref="G9:H9"/>
    <mergeCell ref="D10:F16"/>
    <mergeCell ref="H8:J8"/>
    <mergeCell ref="G15:J15"/>
    <mergeCell ref="F6:F8"/>
    <mergeCell ref="H3:J3"/>
    <mergeCell ref="H4:J4"/>
    <mergeCell ref="H5:J5"/>
    <mergeCell ref="H6:J6"/>
    <mergeCell ref="H7:J7"/>
  </mergeCells>
  <conditionalFormatting sqref="D4">
    <cfRule type="containsText" dxfId="12" priority="1" operator="containsText" text="RO-">
      <formula>NOT(ISERROR(SEARCH("RO-",D4)))</formula>
    </cfRule>
  </conditionalFormatting>
  <conditionalFormatting sqref="H4 H6:H8">
    <cfRule type="cellIs" dxfId="11" priority="6" stopIfTrue="1" operator="equal">
      <formula>#REF!</formula>
    </cfRule>
    <cfRule type="cellIs" dxfId="10" priority="7" stopIfTrue="1" operator="equal">
      <formula>#REF!</formula>
    </cfRule>
    <cfRule type="cellIs" dxfId="9" priority="8" stopIfTrue="1" operator="equal">
      <formula>#REF!</formula>
    </cfRule>
    <cfRule type="cellIs" dxfId="8" priority="9" stopIfTrue="1" operator="equal">
      <formula>#REF!</formula>
    </cfRule>
  </conditionalFormatting>
  <conditionalFormatting sqref="H5">
    <cfRule type="cellIs" dxfId="7" priority="10" stopIfTrue="1" operator="equal">
      <formula>#REF!</formula>
    </cfRule>
    <cfRule type="cellIs" dxfId="6" priority="11" stopIfTrue="1" operator="equal">
      <formula>#REF!</formula>
    </cfRule>
    <cfRule type="cellIs" dxfId="5" priority="12" stopIfTrue="1" operator="equal">
      <formula>#REF!</formula>
    </cfRule>
    <cfRule type="cellIs" dxfId="4" priority="13" stopIfTrue="1" operator="equal">
      <formula>#REF!</formula>
    </cfRule>
  </conditionalFormatting>
  <conditionalFormatting sqref="H4:J4">
    <cfRule type="containsText" dxfId="3" priority="2" operator="containsText" text="Retired">
      <formula>NOT(ISERROR(SEARCH("Retired",H4)))</formula>
    </cfRule>
    <cfRule type="containsText" dxfId="2" priority="3" operator="containsText" text="Low">
      <formula>NOT(ISERROR(SEARCH("Low",H4)))</formula>
    </cfRule>
    <cfRule type="containsText" dxfId="1" priority="4" operator="containsText" text="Moderate">
      <formula>NOT(ISERROR(SEARCH("Moderate",H4)))</formula>
    </cfRule>
    <cfRule type="containsText" dxfId="0" priority="5" operator="containsText" text="High">
      <formula>NOT(ISERROR(SEARCH("High",H4)))</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F981-686E-479A-A992-98F90979713F}">
  <sheetPr codeName="Sheet9"/>
  <dimension ref="A1:K36"/>
  <sheetViews>
    <sheetView topLeftCell="A23" workbookViewId="0">
      <selection activeCell="A37" sqref="A37:XFD1048576"/>
    </sheetView>
  </sheetViews>
  <sheetFormatPr baseColWidth="10" defaultColWidth="8.83203125" defaultRowHeight="15" x14ac:dyDescent="0.2"/>
  <cols>
    <col min="1" max="1" width="20" customWidth="1"/>
    <col min="2" max="2" width="12.33203125" customWidth="1"/>
    <col min="3" max="3" width="21.33203125" style="100" customWidth="1"/>
    <col min="4" max="4" width="15.33203125" style="100" customWidth="1"/>
    <col min="5" max="5" width="16.33203125" bestFit="1" customWidth="1"/>
    <col min="6" max="6" width="10" bestFit="1" customWidth="1"/>
    <col min="7" max="8" width="16.33203125" bestFit="1" customWidth="1"/>
    <col min="9" max="11" width="12.5" bestFit="1" customWidth="1"/>
  </cols>
  <sheetData>
    <row r="1" spans="1:11" s="5" customFormat="1" ht="16" x14ac:dyDescent="0.2">
      <c r="A1" s="254" t="s">
        <v>1985</v>
      </c>
      <c r="B1" s="255" t="s">
        <v>1986</v>
      </c>
      <c r="C1" s="256" t="s">
        <v>1987</v>
      </c>
      <c r="D1" s="256" t="s">
        <v>1988</v>
      </c>
      <c r="E1" s="256" t="s">
        <v>1989</v>
      </c>
      <c r="F1" s="256" t="s">
        <v>1990</v>
      </c>
      <c r="G1" s="256" t="s">
        <v>1991</v>
      </c>
      <c r="H1" s="256" t="s">
        <v>1992</v>
      </c>
      <c r="I1" s="256" t="s">
        <v>1993</v>
      </c>
    </row>
    <row r="2" spans="1:11" x14ac:dyDescent="0.2">
      <c r="A2" s="257">
        <v>6</v>
      </c>
      <c r="B2" s="258" t="s">
        <v>1994</v>
      </c>
      <c r="C2" s="258"/>
      <c r="D2" s="259">
        <v>2224</v>
      </c>
      <c r="E2" s="260">
        <v>44105</v>
      </c>
      <c r="F2" s="260">
        <v>47354</v>
      </c>
      <c r="G2" s="261">
        <v>161752852</v>
      </c>
      <c r="H2" s="261">
        <v>179702389.48000002</v>
      </c>
      <c r="I2" s="262">
        <v>16175285.200000001</v>
      </c>
      <c r="J2" s="262">
        <v>32350570.400000002</v>
      </c>
      <c r="K2" s="262">
        <v>48525855.600000001</v>
      </c>
    </row>
    <row r="3" spans="1:11" s="270" customFormat="1" x14ac:dyDescent="0.2">
      <c r="A3" s="264">
        <v>6.02</v>
      </c>
      <c r="B3" s="265" t="s">
        <v>1995</v>
      </c>
      <c r="C3" s="265"/>
      <c r="D3" s="266">
        <v>704</v>
      </c>
      <c r="E3" s="267">
        <v>44105</v>
      </c>
      <c r="F3" s="267">
        <v>45134</v>
      </c>
      <c r="G3" s="268">
        <v>3020620</v>
      </c>
      <c r="H3" s="268">
        <v>3408079.26</v>
      </c>
      <c r="I3" s="269">
        <v>3</v>
      </c>
      <c r="J3" s="269">
        <v>30</v>
      </c>
      <c r="K3" s="270">
        <v>3</v>
      </c>
    </row>
    <row r="4" spans="1:11" s="3" customFormat="1" x14ac:dyDescent="0.2">
      <c r="A4" s="271" t="s">
        <v>1996</v>
      </c>
      <c r="B4" s="272" t="s">
        <v>1997</v>
      </c>
      <c r="C4" s="272"/>
      <c r="D4" s="273">
        <v>704</v>
      </c>
      <c r="E4" s="274">
        <v>44105</v>
      </c>
      <c r="F4" s="274">
        <v>45134</v>
      </c>
      <c r="G4" s="275">
        <v>3020620</v>
      </c>
      <c r="H4" s="275">
        <v>3408079.26</v>
      </c>
    </row>
    <row r="5" spans="1:11" s="3" customFormat="1" x14ac:dyDescent="0.2">
      <c r="A5" s="276" t="s">
        <v>1998</v>
      </c>
      <c r="B5" s="277" t="s">
        <v>1999</v>
      </c>
      <c r="C5" s="277"/>
      <c r="D5" s="278">
        <v>704</v>
      </c>
      <c r="E5" s="279">
        <v>44105</v>
      </c>
      <c r="F5" s="279">
        <v>45134</v>
      </c>
      <c r="G5" s="280">
        <v>3020620</v>
      </c>
      <c r="H5" s="280">
        <v>3408079.26</v>
      </c>
    </row>
    <row r="6" spans="1:11" s="3" customFormat="1" x14ac:dyDescent="0.2">
      <c r="A6" s="281" t="s">
        <v>2000</v>
      </c>
      <c r="B6" s="282" t="s">
        <v>2001</v>
      </c>
      <c r="C6" s="282"/>
      <c r="D6" s="283">
        <v>344</v>
      </c>
      <c r="E6" s="284">
        <v>44636</v>
      </c>
      <c r="F6" s="284">
        <v>45134</v>
      </c>
      <c r="G6" s="285">
        <v>3020620</v>
      </c>
      <c r="H6" s="285">
        <v>3119996.18</v>
      </c>
      <c r="I6" s="286">
        <v>302062</v>
      </c>
      <c r="J6" s="286">
        <v>604124</v>
      </c>
      <c r="K6" s="286">
        <v>906186</v>
      </c>
    </row>
    <row r="7" spans="1:11" s="270" customFormat="1" x14ac:dyDescent="0.2">
      <c r="A7" s="264">
        <v>6.03</v>
      </c>
      <c r="B7" s="265" t="s">
        <v>2002</v>
      </c>
      <c r="C7" s="265"/>
      <c r="D7" s="266">
        <v>1112</v>
      </c>
      <c r="E7" s="267">
        <v>44931</v>
      </c>
      <c r="F7" s="267">
        <v>46553</v>
      </c>
      <c r="G7" s="268">
        <v>42142514</v>
      </c>
      <c r="H7" s="268">
        <v>46489569.68</v>
      </c>
    </row>
    <row r="8" spans="1:11" s="3" customFormat="1" x14ac:dyDescent="0.2">
      <c r="A8" s="271" t="s">
        <v>2003</v>
      </c>
      <c r="B8" s="272" t="s">
        <v>2004</v>
      </c>
      <c r="C8" s="272"/>
      <c r="D8" s="273">
        <v>1112</v>
      </c>
      <c r="E8" s="274">
        <v>44931</v>
      </c>
      <c r="F8" s="274">
        <v>46553</v>
      </c>
      <c r="G8" s="275">
        <v>42142514</v>
      </c>
      <c r="H8" s="275">
        <v>46489569.68</v>
      </c>
    </row>
    <row r="9" spans="1:11" s="3" customFormat="1" x14ac:dyDescent="0.2">
      <c r="A9" s="276" t="s">
        <v>2005</v>
      </c>
      <c r="B9" s="277" t="s">
        <v>2006</v>
      </c>
      <c r="C9" s="277"/>
      <c r="D9" s="278">
        <v>1112</v>
      </c>
      <c r="E9" s="279">
        <v>44931</v>
      </c>
      <c r="F9" s="279">
        <v>46553</v>
      </c>
      <c r="G9" s="280">
        <v>42142514</v>
      </c>
      <c r="H9" s="280">
        <v>46489569.68</v>
      </c>
      <c r="I9" s="286">
        <v>4214251.4000000004</v>
      </c>
      <c r="J9" s="286">
        <v>8428502.8000000007</v>
      </c>
      <c r="K9" s="286">
        <v>12642754.199999999</v>
      </c>
    </row>
    <row r="10" spans="1:11" s="3" customFormat="1" x14ac:dyDescent="0.2">
      <c r="A10" s="281" t="s">
        <v>2007</v>
      </c>
      <c r="B10" s="282" t="s">
        <v>2008</v>
      </c>
      <c r="C10" s="282"/>
      <c r="D10" s="283">
        <v>1072</v>
      </c>
      <c r="E10" s="284">
        <v>44931</v>
      </c>
      <c r="F10" s="284">
        <v>46496</v>
      </c>
      <c r="G10" s="285">
        <v>15844402</v>
      </c>
      <c r="H10" s="285">
        <v>17540463.899999999</v>
      </c>
    </row>
    <row r="11" spans="1:11" s="3" customFormat="1" x14ac:dyDescent="0.2">
      <c r="A11" s="281" t="s">
        <v>2009</v>
      </c>
      <c r="B11" s="282" t="s">
        <v>2010</v>
      </c>
      <c r="C11" s="282"/>
      <c r="D11" s="283">
        <v>1072</v>
      </c>
      <c r="E11" s="284">
        <v>44991</v>
      </c>
      <c r="F11" s="284">
        <v>46553</v>
      </c>
      <c r="G11" s="285">
        <v>8424412</v>
      </c>
      <c r="H11" s="285">
        <v>9343514.9000000004</v>
      </c>
    </row>
    <row r="12" spans="1:11" s="3" customFormat="1" x14ac:dyDescent="0.2">
      <c r="A12" s="281" t="s">
        <v>2011</v>
      </c>
      <c r="B12" s="282" t="s">
        <v>2012</v>
      </c>
      <c r="C12" s="282"/>
      <c r="D12" s="283">
        <v>1012</v>
      </c>
      <c r="E12" s="284">
        <v>45047</v>
      </c>
      <c r="F12" s="284">
        <v>46524</v>
      </c>
      <c r="G12" s="285">
        <v>7113300</v>
      </c>
      <c r="H12" s="285">
        <v>7870854.8099999996</v>
      </c>
    </row>
    <row r="13" spans="1:11" s="3" customFormat="1" x14ac:dyDescent="0.2">
      <c r="A13" s="281" t="s">
        <v>2013</v>
      </c>
      <c r="B13" s="282" t="s">
        <v>2014</v>
      </c>
      <c r="C13" s="282"/>
      <c r="D13" s="283">
        <v>520</v>
      </c>
      <c r="E13" s="284">
        <v>45280</v>
      </c>
      <c r="F13" s="284">
        <v>46042</v>
      </c>
      <c r="G13" s="285">
        <v>1552500</v>
      </c>
      <c r="H13" s="285">
        <v>1691340.98</v>
      </c>
    </row>
    <row r="14" spans="1:11" s="3" customFormat="1" x14ac:dyDescent="0.2">
      <c r="A14" s="281" t="s">
        <v>2015</v>
      </c>
      <c r="B14" s="282" t="s">
        <v>2016</v>
      </c>
      <c r="C14" s="282"/>
      <c r="D14" s="283">
        <v>500</v>
      </c>
      <c r="E14" s="284">
        <v>45342</v>
      </c>
      <c r="F14" s="284">
        <v>46071</v>
      </c>
      <c r="G14" s="285">
        <v>8340000</v>
      </c>
      <c r="H14" s="285">
        <v>9108751.2100000009</v>
      </c>
    </row>
    <row r="15" spans="1:11" s="3" customFormat="1" x14ac:dyDescent="0.2">
      <c r="A15" s="281" t="s">
        <v>2017</v>
      </c>
      <c r="B15" s="282" t="s">
        <v>2018</v>
      </c>
      <c r="C15" s="282"/>
      <c r="D15" s="283">
        <v>250</v>
      </c>
      <c r="E15" s="284">
        <v>45299</v>
      </c>
      <c r="F15" s="284">
        <v>45663</v>
      </c>
      <c r="G15" s="285">
        <v>867900</v>
      </c>
      <c r="H15" s="285">
        <v>934643.89</v>
      </c>
    </row>
    <row r="16" spans="1:11" s="270" customFormat="1" x14ac:dyDescent="0.2">
      <c r="A16" s="264">
        <v>6.04</v>
      </c>
      <c r="B16" s="265" t="s">
        <v>2019</v>
      </c>
      <c r="C16" s="265"/>
      <c r="D16" s="266">
        <v>1137</v>
      </c>
      <c r="E16" s="267">
        <v>44799</v>
      </c>
      <c r="F16" s="267">
        <v>46464</v>
      </c>
      <c r="G16" s="268">
        <v>55333127</v>
      </c>
      <c r="H16" s="268">
        <v>60898036.619999997</v>
      </c>
    </row>
    <row r="17" spans="1:11" s="3" customFormat="1" x14ac:dyDescent="0.2">
      <c r="A17" s="271" t="s">
        <v>2020</v>
      </c>
      <c r="B17" s="272" t="s">
        <v>2021</v>
      </c>
      <c r="C17" s="272"/>
      <c r="D17" s="273">
        <v>1137</v>
      </c>
      <c r="E17" s="274">
        <v>44799</v>
      </c>
      <c r="F17" s="274">
        <v>46464</v>
      </c>
      <c r="G17" s="275">
        <v>55333127</v>
      </c>
      <c r="H17" s="275">
        <v>60898036.619999997</v>
      </c>
      <c r="I17" s="286">
        <v>5533312.7000000002</v>
      </c>
      <c r="J17" s="286">
        <v>11066625.4</v>
      </c>
      <c r="K17" s="286">
        <v>16599938.1</v>
      </c>
    </row>
    <row r="18" spans="1:11" s="3" customFormat="1" x14ac:dyDescent="0.2">
      <c r="A18" s="276" t="s">
        <v>2022</v>
      </c>
      <c r="B18" s="277" t="s">
        <v>2023</v>
      </c>
      <c r="C18" s="277"/>
      <c r="D18" s="278">
        <v>1057</v>
      </c>
      <c r="E18" s="279">
        <v>44799</v>
      </c>
      <c r="F18" s="279">
        <v>46344</v>
      </c>
      <c r="G18" s="280">
        <v>30779145</v>
      </c>
      <c r="H18" s="280">
        <v>33809005</v>
      </c>
    </row>
    <row r="19" spans="1:11" s="3" customFormat="1" x14ac:dyDescent="0.2">
      <c r="A19" s="276" t="s">
        <v>2024</v>
      </c>
      <c r="B19" s="277" t="s">
        <v>2025</v>
      </c>
      <c r="C19" s="277"/>
      <c r="D19" s="278">
        <v>1057</v>
      </c>
      <c r="E19" s="279">
        <v>44859</v>
      </c>
      <c r="F19" s="279">
        <v>46407</v>
      </c>
      <c r="G19" s="280">
        <v>8456395</v>
      </c>
      <c r="H19" s="280">
        <v>9316072.8399999999</v>
      </c>
    </row>
    <row r="20" spans="1:11" s="3" customFormat="1" x14ac:dyDescent="0.2">
      <c r="A20" s="276" t="s">
        <v>2026</v>
      </c>
      <c r="B20" s="277" t="s">
        <v>2027</v>
      </c>
      <c r="C20" s="277"/>
      <c r="D20" s="278">
        <v>1057</v>
      </c>
      <c r="E20" s="279">
        <v>44918</v>
      </c>
      <c r="F20" s="279">
        <v>46464</v>
      </c>
      <c r="G20" s="280">
        <v>4982587</v>
      </c>
      <c r="H20" s="280">
        <v>5504800.7999999998</v>
      </c>
    </row>
    <row r="21" spans="1:11" s="3" customFormat="1" x14ac:dyDescent="0.2">
      <c r="A21" s="276" t="s">
        <v>2028</v>
      </c>
      <c r="B21" s="277" t="s">
        <v>2029</v>
      </c>
      <c r="C21" s="277"/>
      <c r="D21" s="278">
        <v>520</v>
      </c>
      <c r="E21" s="279">
        <v>45205</v>
      </c>
      <c r="F21" s="279">
        <v>45965</v>
      </c>
      <c r="G21" s="280">
        <v>1235000</v>
      </c>
      <c r="H21" s="280">
        <v>1339649.6599999999</v>
      </c>
    </row>
    <row r="22" spans="1:11" s="3" customFormat="1" x14ac:dyDescent="0.2">
      <c r="A22" s="276" t="s">
        <v>2030</v>
      </c>
      <c r="B22" s="277" t="s">
        <v>2031</v>
      </c>
      <c r="C22" s="277"/>
      <c r="D22" s="278">
        <v>500</v>
      </c>
      <c r="E22" s="279">
        <v>45541</v>
      </c>
      <c r="F22" s="279">
        <v>46269</v>
      </c>
      <c r="G22" s="280">
        <v>9880000</v>
      </c>
      <c r="H22" s="280">
        <v>10928508.32</v>
      </c>
    </row>
    <row r="23" spans="1:11" s="270" customFormat="1" x14ac:dyDescent="0.2">
      <c r="A23" s="264">
        <v>6.05</v>
      </c>
      <c r="B23" s="265" t="s">
        <v>2032</v>
      </c>
      <c r="C23" s="265"/>
      <c r="D23" s="266">
        <v>500</v>
      </c>
      <c r="E23" s="267">
        <v>46365</v>
      </c>
      <c r="F23" s="267">
        <v>47094</v>
      </c>
      <c r="G23" s="268">
        <v>5251500</v>
      </c>
      <c r="H23" s="268">
        <v>6108560.5300000003</v>
      </c>
    </row>
    <row r="24" spans="1:11" s="3" customFormat="1" x14ac:dyDescent="0.2">
      <c r="A24" s="271" t="s">
        <v>2033</v>
      </c>
      <c r="B24" s="272" t="s">
        <v>2034</v>
      </c>
      <c r="C24" s="272"/>
      <c r="D24" s="273">
        <v>500</v>
      </c>
      <c r="E24" s="274">
        <v>46365</v>
      </c>
      <c r="F24" s="274">
        <v>47094</v>
      </c>
      <c r="G24" s="275">
        <v>5251500</v>
      </c>
      <c r="H24" s="275">
        <v>6108560.5300000003</v>
      </c>
      <c r="I24" s="286">
        <v>525150</v>
      </c>
      <c r="J24" s="286">
        <v>1050300</v>
      </c>
      <c r="K24" s="286">
        <v>1575450</v>
      </c>
    </row>
    <row r="25" spans="1:11" s="3" customFormat="1" x14ac:dyDescent="0.2">
      <c r="A25" s="276" t="s">
        <v>2035</v>
      </c>
      <c r="B25" s="277" t="s">
        <v>2036</v>
      </c>
      <c r="C25" s="277"/>
      <c r="D25" s="278">
        <v>500</v>
      </c>
      <c r="E25" s="279">
        <v>46365</v>
      </c>
      <c r="F25" s="279">
        <v>47094</v>
      </c>
      <c r="G25" s="280">
        <v>5251500</v>
      </c>
      <c r="H25" s="280">
        <v>6108560.5300000003</v>
      </c>
    </row>
    <row r="26" spans="1:11" s="3" customFormat="1" x14ac:dyDescent="0.2">
      <c r="A26" s="281" t="s">
        <v>2037</v>
      </c>
      <c r="B26" s="282" t="s">
        <v>2038</v>
      </c>
      <c r="C26" s="282"/>
      <c r="D26" s="283">
        <v>500</v>
      </c>
      <c r="E26" s="284">
        <v>46365</v>
      </c>
      <c r="F26" s="284">
        <v>47094</v>
      </c>
      <c r="G26" s="285">
        <v>5251500</v>
      </c>
      <c r="H26" s="285">
        <v>6108560.5300000003</v>
      </c>
    </row>
    <row r="27" spans="1:11" s="270" customFormat="1" x14ac:dyDescent="0.2">
      <c r="A27" s="264">
        <v>6.06</v>
      </c>
      <c r="B27" s="265" t="s">
        <v>2039</v>
      </c>
      <c r="C27" s="265"/>
      <c r="D27" s="266">
        <v>1213</v>
      </c>
      <c r="E27" s="267">
        <v>45155</v>
      </c>
      <c r="F27" s="267">
        <v>46927</v>
      </c>
      <c r="G27" s="268">
        <v>56005091</v>
      </c>
      <c r="H27" s="268">
        <v>62798143.390000001</v>
      </c>
    </row>
    <row r="28" spans="1:11" s="3" customFormat="1" x14ac:dyDescent="0.2">
      <c r="A28" s="271" t="s">
        <v>2040</v>
      </c>
      <c r="B28" s="272" t="s">
        <v>2041</v>
      </c>
      <c r="C28" s="272"/>
      <c r="D28" s="273">
        <v>1213</v>
      </c>
      <c r="E28" s="274">
        <v>45155</v>
      </c>
      <c r="F28" s="274">
        <v>46927</v>
      </c>
      <c r="G28" s="275">
        <v>56005091</v>
      </c>
      <c r="H28" s="275">
        <v>62798143.390000001</v>
      </c>
      <c r="I28" s="286">
        <v>5600509.1000000006</v>
      </c>
      <c r="J28" s="286">
        <v>11201018.200000001</v>
      </c>
      <c r="K28" s="286">
        <v>16801527.300000001</v>
      </c>
    </row>
    <row r="29" spans="1:11" s="3" customFormat="1" x14ac:dyDescent="0.2">
      <c r="A29" s="276" t="s">
        <v>2042</v>
      </c>
      <c r="B29" s="277" t="s">
        <v>2043</v>
      </c>
      <c r="C29" s="277"/>
      <c r="D29" s="278">
        <v>1178</v>
      </c>
      <c r="E29" s="279">
        <v>45205</v>
      </c>
      <c r="F29" s="279">
        <v>46927</v>
      </c>
      <c r="G29" s="280">
        <v>19407684</v>
      </c>
      <c r="H29" s="280">
        <v>21525143.739999998</v>
      </c>
    </row>
    <row r="30" spans="1:11" s="3" customFormat="1" x14ac:dyDescent="0.2">
      <c r="A30" s="281" t="s">
        <v>2044</v>
      </c>
      <c r="B30" s="282" t="s">
        <v>2045</v>
      </c>
      <c r="C30" s="282"/>
      <c r="D30" s="283">
        <v>700</v>
      </c>
      <c r="E30" s="284">
        <v>45281</v>
      </c>
      <c r="F30" s="284">
        <v>46301</v>
      </c>
      <c r="G30" s="285">
        <v>5829510</v>
      </c>
      <c r="H30" s="285">
        <v>6408054.1699999999</v>
      </c>
    </row>
    <row r="31" spans="1:11" s="3" customFormat="1" x14ac:dyDescent="0.2">
      <c r="A31" s="281" t="s">
        <v>2046</v>
      </c>
      <c r="B31" s="282" t="s">
        <v>2047</v>
      </c>
      <c r="C31" s="282"/>
      <c r="D31" s="283">
        <v>770</v>
      </c>
      <c r="E31" s="284">
        <v>45525</v>
      </c>
      <c r="F31" s="284">
        <v>46650</v>
      </c>
      <c r="G31" s="285">
        <v>10517000</v>
      </c>
      <c r="H31" s="285">
        <v>11772807.779999999</v>
      </c>
    </row>
    <row r="32" spans="1:11" s="3" customFormat="1" x14ac:dyDescent="0.2">
      <c r="A32" s="281" t="s">
        <v>2048</v>
      </c>
      <c r="B32" s="282" t="s">
        <v>2049</v>
      </c>
      <c r="C32" s="282"/>
      <c r="D32" s="283">
        <v>250</v>
      </c>
      <c r="E32" s="284">
        <v>45205</v>
      </c>
      <c r="F32" s="284">
        <v>45569</v>
      </c>
      <c r="G32" s="285">
        <v>2413369</v>
      </c>
      <c r="H32" s="285">
        <v>2584701.27</v>
      </c>
    </row>
    <row r="33" spans="1:8" s="3" customFormat="1" x14ac:dyDescent="0.2">
      <c r="A33" s="281" t="s">
        <v>2050</v>
      </c>
      <c r="B33" s="282" t="s">
        <v>2051</v>
      </c>
      <c r="C33" s="282"/>
      <c r="D33" s="283">
        <v>100</v>
      </c>
      <c r="E33" s="284">
        <v>46786</v>
      </c>
      <c r="F33" s="284">
        <v>46927</v>
      </c>
      <c r="G33" s="285">
        <v>647805</v>
      </c>
      <c r="H33" s="285">
        <v>759580.51</v>
      </c>
    </row>
    <row r="34" spans="1:8" s="3" customFormat="1" x14ac:dyDescent="0.2">
      <c r="A34" s="276" t="s">
        <v>2052</v>
      </c>
      <c r="B34" s="277" t="s">
        <v>2053</v>
      </c>
      <c r="C34" s="277"/>
      <c r="D34" s="278">
        <v>845</v>
      </c>
      <c r="E34" s="279">
        <v>45572</v>
      </c>
      <c r="F34" s="279">
        <v>46811</v>
      </c>
      <c r="G34" s="280">
        <v>30188464</v>
      </c>
      <c r="H34" s="280">
        <v>34126449.219999999</v>
      </c>
    </row>
    <row r="35" spans="1:8" s="3" customFormat="1" x14ac:dyDescent="0.2">
      <c r="A35" s="276" t="s">
        <v>2054</v>
      </c>
      <c r="B35" s="277" t="s">
        <v>2055</v>
      </c>
      <c r="C35" s="277"/>
      <c r="D35" s="278">
        <v>930</v>
      </c>
      <c r="E35" s="279">
        <v>45504</v>
      </c>
      <c r="F35" s="279">
        <v>46863</v>
      </c>
      <c r="G35" s="280">
        <v>4958943</v>
      </c>
      <c r="H35" s="280">
        <v>5571083.2300000004</v>
      </c>
    </row>
    <row r="36" spans="1:8" s="3" customFormat="1" x14ac:dyDescent="0.2">
      <c r="A36" s="276" t="s">
        <v>2056</v>
      </c>
      <c r="B36" s="277" t="s">
        <v>2057</v>
      </c>
      <c r="C36" s="277"/>
      <c r="D36" s="278">
        <v>792</v>
      </c>
      <c r="E36" s="279">
        <v>45155</v>
      </c>
      <c r="F36" s="279">
        <v>46311</v>
      </c>
      <c r="G36" s="280">
        <v>1450000</v>
      </c>
      <c r="H36" s="280">
        <v>1575467.2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05E868F1D799488345E0954BEFE65C" ma:contentTypeVersion="4" ma:contentTypeDescription="Create a new document." ma:contentTypeScope="" ma:versionID="cf26f0e0e506fde963152b62f53722c6">
  <xsd:schema xmlns:xsd="http://www.w3.org/2001/XMLSchema" xmlns:xs="http://www.w3.org/2001/XMLSchema" xmlns:p="http://schemas.microsoft.com/office/2006/metadata/properties" xmlns:ns2="e699bcc5-1ac0-4025-9820-2cdd0110e46a" targetNamespace="http://schemas.microsoft.com/office/2006/metadata/properties" ma:root="true" ma:fieldsID="5b0505e480c9809b56cde48af175550f" ns2:_="">
    <xsd:import namespace="e699bcc5-1ac0-4025-9820-2cdd0110e46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99bcc5-1ac0-4025-9820-2cdd0110e4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BD4E3FD-62A0-4672-BCE5-24A39F90309B}"/>
</file>

<file path=customXml/itemProps2.xml><?xml version="1.0" encoding="utf-8"?>
<ds:datastoreItem xmlns:ds="http://schemas.openxmlformats.org/officeDocument/2006/customXml" ds:itemID="{4602D2ED-949C-4365-A07D-7159B578C0F7}">
  <ds:schemaRefs>
    <ds:schemaRef ds:uri="http://schemas.microsoft.com/sharepoint/v3/contenttype/forms"/>
  </ds:schemaRefs>
</ds:datastoreItem>
</file>

<file path=customXml/itemProps3.xml><?xml version="1.0" encoding="utf-8"?>
<ds:datastoreItem xmlns:ds="http://schemas.openxmlformats.org/officeDocument/2006/customXml" ds:itemID="{5B6F1066-B511-4F25-BF6B-B5FDCFDC1FBB}">
  <ds:schemaRefs>
    <ds:schemaRef ds:uri="http://schemas.microsoft.com/office/2006/metadata/properties"/>
    <ds:schemaRef ds:uri="http://schemas.microsoft.com/office/infopath/2007/PartnerControls"/>
    <ds:schemaRef ds:uri="3bfd71d5-c7ac-4dca-b865-a609d1eb4074"/>
    <ds:schemaRef ds:uri="6671582b-2cdd-4988-ad21-73b8730351d8"/>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Definitions</vt:lpstr>
      <vt:lpstr>Proposed Risk Form</vt:lpstr>
      <vt:lpstr>Risks</vt:lpstr>
      <vt:lpstr>Risk Count</vt:lpstr>
      <vt:lpstr>CD-1 Retired Risks</vt:lpstr>
      <vt:lpstr>Risk Matrices</vt:lpstr>
      <vt:lpstr>Presentation Template</vt:lpstr>
      <vt:lpstr>Magnet Procurements</vt:lpstr>
      <vt:lpstr>BOE 6_11</vt:lpstr>
      <vt:lpstr>Risk BOE 6_01</vt:lpstr>
      <vt:lpstr> ICR-001</vt:lpstr>
      <vt:lpstr>DOE Monthly</vt:lpstr>
      <vt:lpstr>ICR-002</vt:lpstr>
      <vt:lpstr>over $250K P6 Data</vt:lpstr>
      <vt:lpstr>'Risk BOE 6_01'!Print_Area</vt:lpstr>
      <vt:lpstr>'Risk BOE 6_01'!Print_Titles</vt:lpstr>
    </vt:vector>
  </TitlesOfParts>
  <Manager/>
  <Company>Brookhaven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irina@bnl.gov</dc:creator>
  <cp:keywords/>
  <dc:description/>
  <cp:lastModifiedBy>Elke-Caroline Aschenauer</cp:lastModifiedBy>
  <cp:revision/>
  <dcterms:created xsi:type="dcterms:W3CDTF">2009-12-04T22:10:34Z</dcterms:created>
  <dcterms:modified xsi:type="dcterms:W3CDTF">2024-10-10T16:03:27Z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Owner">
    <vt:lpwstr>219</vt:lpwstr>
  </property>
  <property fmtid="{D5CDD505-2E9C-101B-9397-08002B2CF9AE}" pid="3" name="ContentType">
    <vt:lpwstr>Document</vt:lpwstr>
  </property>
  <property fmtid="{D5CDD505-2E9C-101B-9397-08002B2CF9AE}" pid="4" name="Tier">
    <vt:lpwstr>Tier 4 (Supporting forms/templates)</vt:lpwstr>
  </property>
  <property fmtid="{D5CDD505-2E9C-101B-9397-08002B2CF9AE}" pid="5" name="Revision Date">
    <vt:lpwstr>2009-12-04T00:00:00Z</vt:lpwstr>
  </property>
  <property fmtid="{D5CDD505-2E9C-101B-9397-08002B2CF9AE}" pid="6" name="display_urn:schemas-microsoft-com:office:office#Document_x0020_Owner">
    <vt:lpwstr>Flick, Karl D.</vt:lpwstr>
  </property>
  <property fmtid="{D5CDD505-2E9C-101B-9397-08002B2CF9AE}" pid="7" name="Document Type">
    <vt:lpwstr>Template</vt:lpwstr>
  </property>
  <property fmtid="{D5CDD505-2E9C-101B-9397-08002B2CF9AE}" pid="8" name="Revision">
    <vt:lpwstr>2.00000000000000</vt:lpwstr>
  </property>
  <property fmtid="{D5CDD505-2E9C-101B-9397-08002B2CF9AE}" pid="9" name="Review Frequency">
    <vt:lpwstr>TBD</vt:lpwstr>
  </property>
  <property fmtid="{D5CDD505-2E9C-101B-9397-08002B2CF9AE}" pid="10" name="Status">
    <vt:lpwstr>Draft</vt:lpwstr>
  </property>
  <property fmtid="{D5CDD505-2E9C-101B-9397-08002B2CF9AE}" pid="11" name="ContentTypeId">
    <vt:lpwstr>0x010100D705E868F1D799488345E0954BEFE65C</vt:lpwstr>
  </property>
  <property fmtid="{D5CDD505-2E9C-101B-9397-08002B2CF9AE}" pid="12" name="MediaServiceImageTags">
    <vt:lpwstr/>
  </property>
  <property fmtid="{D5CDD505-2E9C-101B-9397-08002B2CF9AE}" pid="13" name="Order">
    <vt:r8>143600</vt:r8>
  </property>
  <property fmtid="{D5CDD505-2E9C-101B-9397-08002B2CF9AE}" pid="14" name="xd_Signature">
    <vt:bool>false</vt:bool>
  </property>
  <property fmtid="{D5CDD505-2E9C-101B-9397-08002B2CF9AE}" pid="15" name="xd_ProgID">
    <vt:lpwstr/>
  </property>
  <property fmtid="{D5CDD505-2E9C-101B-9397-08002B2CF9AE}" pid="16" name="_SourceUrl">
    <vt:lpwstr/>
  </property>
  <property fmtid="{D5CDD505-2E9C-101B-9397-08002B2CF9AE}" pid="17" name="_SharedFileIndex">
    <vt:lpwstr/>
  </property>
  <property fmtid="{D5CDD505-2E9C-101B-9397-08002B2CF9AE}" pid="18" name="ComplianceAssetId">
    <vt:lpwstr/>
  </property>
  <property fmtid="{D5CDD505-2E9C-101B-9397-08002B2CF9AE}" pid="19" name="TemplateUrl">
    <vt:lpwstr/>
  </property>
  <property fmtid="{D5CDD505-2E9C-101B-9397-08002B2CF9AE}" pid="20" name="_ExtendedDescription">
    <vt:lpwstr/>
  </property>
  <property fmtid="{D5CDD505-2E9C-101B-9397-08002B2CF9AE}" pid="21" name="TriggerFlowInfo">
    <vt:lpwstr/>
  </property>
</Properties>
</file>