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bnlnt2\STSG\00EIC\ECCE\Other\"/>
    </mc:Choice>
  </mc:AlternateContent>
  <xr:revisionPtr revIDLastSave="0" documentId="13_ncr:1_{CFC09547-516E-4357-BD55-5F25F9F4D2C4}" xr6:coauthVersionLast="47" xr6:coauthVersionMax="47" xr10:uidLastSave="{00000000-0000-0000-0000-000000000000}"/>
  <bookViews>
    <workbookView xWindow="-108" yWindow="-108" windowWidth="23256" windowHeight="12576" activeTab="1" xr2:uid="{79834043-0DB8-407D-ACD3-B078FD514FB8}"/>
  </bookViews>
  <sheets>
    <sheet name="Material Density" sheetId="6" r:id="rId1"/>
    <sheet name="Services Density Estimate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" l="1"/>
  <c r="J157" i="7"/>
  <c r="J177" i="7" l="1"/>
  <c r="J140" i="7"/>
  <c r="K140" i="7" s="1"/>
  <c r="J143" i="7"/>
  <c r="K143" i="7" s="1"/>
  <c r="J38" i="7"/>
  <c r="K38" i="7" s="1"/>
  <c r="J35" i="7"/>
  <c r="K35" i="7" s="1"/>
  <c r="J41" i="7"/>
  <c r="K41" i="7" s="1"/>
  <c r="J152" i="7"/>
  <c r="K152" i="7" s="1"/>
  <c r="J162" i="7"/>
  <c r="K162" i="7" s="1"/>
  <c r="J134" i="7"/>
  <c r="K134" i="7" s="1"/>
  <c r="J29" i="7"/>
  <c r="K29" i="7" s="1"/>
  <c r="J180" i="7"/>
  <c r="J179" i="7"/>
  <c r="K179" i="7" s="1"/>
  <c r="J178" i="7"/>
  <c r="K178" i="7" s="1"/>
  <c r="K177" i="7"/>
  <c r="J167" i="7"/>
  <c r="K167" i="7" s="1"/>
  <c r="J166" i="7"/>
  <c r="K166" i="7" s="1"/>
  <c r="J165" i="7"/>
  <c r="K165" i="7" s="1"/>
  <c r="J164" i="7"/>
  <c r="K164" i="7" s="1"/>
  <c r="J163" i="7"/>
  <c r="K163" i="7" s="1"/>
  <c r="J160" i="7"/>
  <c r="K160" i="7" s="1"/>
  <c r="J159" i="7"/>
  <c r="K159" i="7" s="1"/>
  <c r="J158" i="7"/>
  <c r="K158" i="7" s="1"/>
  <c r="J155" i="7"/>
  <c r="J154" i="7"/>
  <c r="K154" i="7" s="1"/>
  <c r="J153" i="7"/>
  <c r="K153" i="7" s="1"/>
  <c r="J142" i="7"/>
  <c r="K142" i="7" s="1"/>
  <c r="J141" i="7"/>
  <c r="K141" i="7" s="1"/>
  <c r="J139" i="7"/>
  <c r="K139" i="7" s="1"/>
  <c r="J137" i="7"/>
  <c r="K137" i="7" s="1"/>
  <c r="J136" i="7"/>
  <c r="J135" i="7"/>
  <c r="K135" i="7" s="1"/>
  <c r="J133" i="7"/>
  <c r="K133" i="7" s="1"/>
  <c r="J128" i="7"/>
  <c r="K128" i="7" s="1"/>
  <c r="J127" i="7"/>
  <c r="J126" i="7"/>
  <c r="J124" i="7"/>
  <c r="K124" i="7" s="1"/>
  <c r="J123" i="7"/>
  <c r="K123" i="7" s="1"/>
  <c r="J121" i="7"/>
  <c r="K121" i="7" s="1"/>
  <c r="J120" i="7"/>
  <c r="J119" i="7"/>
  <c r="J117" i="7"/>
  <c r="K117" i="7" s="1"/>
  <c r="J116" i="7"/>
  <c r="K116" i="7" s="1"/>
  <c r="J114" i="7"/>
  <c r="K114" i="7" s="1"/>
  <c r="J113" i="7"/>
  <c r="K113" i="7" s="1"/>
  <c r="J112" i="7"/>
  <c r="K112" i="7" s="1"/>
  <c r="J111" i="7"/>
  <c r="K111" i="7" s="1"/>
  <c r="J109" i="7"/>
  <c r="K109" i="7" s="1"/>
  <c r="J108" i="7"/>
  <c r="K108" i="7" s="1"/>
  <c r="J107" i="7"/>
  <c r="K107" i="7" s="1"/>
  <c r="J106" i="7"/>
  <c r="J104" i="7"/>
  <c r="K104" i="7" s="1"/>
  <c r="J103" i="7"/>
  <c r="K103" i="7" s="1"/>
  <c r="J102" i="7"/>
  <c r="K102" i="7" s="1"/>
  <c r="J101" i="7"/>
  <c r="J99" i="7"/>
  <c r="J98" i="7"/>
  <c r="J97" i="7"/>
  <c r="J96" i="7"/>
  <c r="J68" i="7"/>
  <c r="K68" i="7" s="1"/>
  <c r="J67" i="7"/>
  <c r="K67" i="7" s="1"/>
  <c r="J66" i="7"/>
  <c r="K66" i="7" s="1"/>
  <c r="J65" i="7"/>
  <c r="K65" i="7" s="1"/>
  <c r="J60" i="7"/>
  <c r="K60" i="7" s="1"/>
  <c r="J59" i="7"/>
  <c r="K59" i="7" s="1"/>
  <c r="J58" i="7"/>
  <c r="K58" i="7" s="1"/>
  <c r="J57" i="7"/>
  <c r="J56" i="7"/>
  <c r="K56" i="7" s="1"/>
  <c r="J55" i="7"/>
  <c r="J44" i="7"/>
  <c r="K44" i="7" s="1"/>
  <c r="J43" i="7"/>
  <c r="K43" i="7" s="1"/>
  <c r="J42" i="7"/>
  <c r="J40" i="7"/>
  <c r="K40" i="7" s="1"/>
  <c r="J37" i="7"/>
  <c r="K37" i="7" s="1"/>
  <c r="J36" i="7"/>
  <c r="K36" i="7" s="1"/>
  <c r="J34" i="7"/>
  <c r="K34" i="7" s="1"/>
  <c r="J32" i="7"/>
  <c r="K32" i="7" s="1"/>
  <c r="J31" i="7"/>
  <c r="J30" i="7"/>
  <c r="K30" i="7" s="1"/>
  <c r="J28" i="7"/>
  <c r="K28" i="7" s="1"/>
  <c r="J25" i="7"/>
  <c r="K25" i="7" s="1"/>
  <c r="J24" i="7"/>
  <c r="K24" i="7" s="1"/>
  <c r="J23" i="7"/>
  <c r="K23" i="7" s="1"/>
  <c r="J21" i="7"/>
  <c r="K21" i="7" s="1"/>
  <c r="J20" i="7"/>
  <c r="K20" i="7" s="1"/>
  <c r="J18" i="7"/>
  <c r="K18" i="7" s="1"/>
  <c r="J17" i="7"/>
  <c r="K17" i="7" s="1"/>
  <c r="J16" i="7"/>
  <c r="K16" i="7" s="1"/>
  <c r="J15" i="7"/>
  <c r="K15" i="7" s="1"/>
  <c r="J13" i="7"/>
  <c r="K13" i="7" s="1"/>
  <c r="J12" i="7"/>
  <c r="K12" i="7" s="1"/>
  <c r="J11" i="7"/>
  <c r="K11" i="7" s="1"/>
  <c r="J10" i="7"/>
  <c r="J8" i="7"/>
  <c r="K8" i="7" s="1"/>
  <c r="J7" i="7"/>
  <c r="K7" i="7" s="1"/>
  <c r="J6" i="7"/>
  <c r="K6" i="7" s="1"/>
  <c r="J5" i="7"/>
  <c r="J3" i="7"/>
  <c r="K3" i="7" s="1"/>
  <c r="N8" i="7" s="1"/>
  <c r="K180" i="7"/>
  <c r="K155" i="7"/>
  <c r="K157" i="7"/>
  <c r="K99" i="7"/>
  <c r="K119" i="7"/>
  <c r="K120" i="7"/>
  <c r="K126" i="7"/>
  <c r="K127" i="7"/>
  <c r="K98" i="7"/>
  <c r="K97" i="7"/>
  <c r="K96" i="7"/>
  <c r="K42" i="7"/>
  <c r="J50" i="7"/>
  <c r="K50" i="7"/>
  <c r="H198" i="7"/>
  <c r="J198" i="7" s="1"/>
  <c r="K198" i="7" s="1"/>
  <c r="H197" i="7"/>
  <c r="J197" i="7" s="1"/>
  <c r="K197" i="7" s="1"/>
  <c r="H196" i="7"/>
  <c r="J196" i="7" s="1"/>
  <c r="K196" i="7" s="1"/>
  <c r="H195" i="7"/>
  <c r="J195" i="7" s="1"/>
  <c r="K195" i="7" s="1"/>
  <c r="H194" i="7"/>
  <c r="J194" i="7" s="1"/>
  <c r="K194" i="7" s="1"/>
  <c r="H193" i="7"/>
  <c r="J193" i="7" s="1"/>
  <c r="K193" i="7" s="1"/>
  <c r="H192" i="7"/>
  <c r="J192" i="7" s="1"/>
  <c r="K192" i="7" s="1"/>
  <c r="H191" i="7"/>
  <c r="J191" i="7" s="1"/>
  <c r="K191" i="7" s="1"/>
  <c r="H190" i="7"/>
  <c r="J190" i="7" s="1"/>
  <c r="K190" i="7" s="1"/>
  <c r="H189" i="7"/>
  <c r="J189" i="7" s="1"/>
  <c r="K189" i="7" s="1"/>
  <c r="H188" i="7"/>
  <c r="J188" i="7" s="1"/>
  <c r="K188" i="7" s="1"/>
  <c r="H187" i="7"/>
  <c r="J187" i="7" s="1"/>
  <c r="K187" i="7" s="1"/>
  <c r="H186" i="7"/>
  <c r="J186" i="7" s="1"/>
  <c r="K186" i="7" s="1"/>
  <c r="H185" i="7"/>
  <c r="J185" i="7" s="1"/>
  <c r="K185" i="7" s="1"/>
  <c r="H179" i="7"/>
  <c r="H178" i="7"/>
  <c r="H177" i="7"/>
  <c r="H167" i="7"/>
  <c r="H166" i="7"/>
  <c r="H164" i="7"/>
  <c r="H163" i="7"/>
  <c r="H162" i="7"/>
  <c r="H160" i="7"/>
  <c r="H159" i="7"/>
  <c r="H158" i="7"/>
  <c r="H157" i="7"/>
  <c r="H155" i="7"/>
  <c r="H154" i="7"/>
  <c r="H153" i="7"/>
  <c r="H152" i="7"/>
  <c r="H143" i="7"/>
  <c r="H142" i="7"/>
  <c r="H141" i="7"/>
  <c r="H140" i="7"/>
  <c r="H139" i="7"/>
  <c r="H137" i="7"/>
  <c r="F136" i="7"/>
  <c r="H136" i="7" s="1"/>
  <c r="H135" i="7"/>
  <c r="H134" i="7"/>
  <c r="H133" i="7"/>
  <c r="H128" i="7"/>
  <c r="H127" i="7"/>
  <c r="H126" i="7"/>
  <c r="H124" i="7"/>
  <c r="H123" i="7"/>
  <c r="H121" i="7"/>
  <c r="H120" i="7"/>
  <c r="H119" i="7"/>
  <c r="H117" i="7"/>
  <c r="H116" i="7"/>
  <c r="H114" i="7"/>
  <c r="H113" i="7"/>
  <c r="H112" i="7"/>
  <c r="H111" i="7"/>
  <c r="H109" i="7"/>
  <c r="H107" i="7"/>
  <c r="F106" i="7"/>
  <c r="H106" i="7" s="1"/>
  <c r="H103" i="7"/>
  <c r="H104" i="7" s="1"/>
  <c r="H102" i="7"/>
  <c r="F101" i="7"/>
  <c r="H101" i="7" s="1"/>
  <c r="H98" i="7"/>
  <c r="H97" i="7"/>
  <c r="H96" i="7"/>
  <c r="H88" i="7"/>
  <c r="F87" i="7"/>
  <c r="H87" i="7" s="1"/>
  <c r="J87" i="7" s="1"/>
  <c r="K87" i="7" s="1"/>
  <c r="H85" i="7"/>
  <c r="H82" i="7"/>
  <c r="J82" i="7" s="1"/>
  <c r="K82" i="7" s="1"/>
  <c r="N101" i="7" s="1"/>
  <c r="H81" i="7"/>
  <c r="J81" i="7" s="1"/>
  <c r="K81" i="7" s="1"/>
  <c r="H80" i="7"/>
  <c r="J80" i="7" s="1"/>
  <c r="K80" i="7" s="1"/>
  <c r="H77" i="7"/>
  <c r="J77" i="7" s="1"/>
  <c r="K77" i="7" s="1"/>
  <c r="H76" i="7"/>
  <c r="J76" i="7" s="1"/>
  <c r="K76" i="7" s="1"/>
  <c r="H75" i="7"/>
  <c r="H74" i="7"/>
  <c r="J74" i="7" s="1"/>
  <c r="K74" i="7" s="1"/>
  <c r="H73" i="7"/>
  <c r="J73" i="7" s="1"/>
  <c r="K73" i="7" s="1"/>
  <c r="H72" i="7"/>
  <c r="J72" i="7" s="1"/>
  <c r="K72" i="7" s="1"/>
  <c r="H71" i="7"/>
  <c r="J71" i="7" s="1"/>
  <c r="K71" i="7" s="1"/>
  <c r="H70" i="7"/>
  <c r="J70" i="7" s="1"/>
  <c r="K70" i="7" s="1"/>
  <c r="H68" i="7"/>
  <c r="H67" i="7"/>
  <c r="H66" i="7"/>
  <c r="H65" i="7"/>
  <c r="G64" i="7"/>
  <c r="H60" i="7"/>
  <c r="H59" i="7"/>
  <c r="F57" i="7"/>
  <c r="H57" i="7" s="1"/>
  <c r="H56" i="7"/>
  <c r="F55" i="7"/>
  <c r="H55" i="7" s="1"/>
  <c r="H44" i="7"/>
  <c r="H43" i="7"/>
  <c r="H42" i="7"/>
  <c r="H41" i="7"/>
  <c r="H40" i="7"/>
  <c r="H38" i="7"/>
  <c r="H37" i="7"/>
  <c r="H36" i="7"/>
  <c r="H35" i="7"/>
  <c r="H34" i="7"/>
  <c r="H32" i="7"/>
  <c r="F31" i="7"/>
  <c r="H31" i="7" s="1"/>
  <c r="H30" i="7"/>
  <c r="H29" i="7"/>
  <c r="H28" i="7"/>
  <c r="H25" i="7"/>
  <c r="H24" i="7"/>
  <c r="H23" i="7"/>
  <c r="H21" i="7"/>
  <c r="H20" i="7"/>
  <c r="H18" i="7"/>
  <c r="H17" i="7"/>
  <c r="H16" i="7"/>
  <c r="H15" i="7"/>
  <c r="H13" i="7"/>
  <c r="H11" i="7"/>
  <c r="F10" i="7"/>
  <c r="H10" i="7" s="1"/>
  <c r="H8" i="7"/>
  <c r="H6" i="7"/>
  <c r="F5" i="7"/>
  <c r="D3" i="6"/>
  <c r="D4" i="6"/>
  <c r="D5" i="6"/>
  <c r="D6" i="6"/>
  <c r="D2" i="6"/>
  <c r="K31" i="7" l="1"/>
  <c r="K136" i="7"/>
  <c r="R119" i="7" s="1"/>
  <c r="K106" i="7"/>
  <c r="K101" i="7"/>
  <c r="N128" i="7" s="1"/>
  <c r="K10" i="7"/>
  <c r="K5" i="7"/>
  <c r="N26" i="7" s="1"/>
  <c r="K55" i="7"/>
  <c r="K57" i="7"/>
  <c r="J88" i="7"/>
  <c r="K88" i="7" s="1"/>
  <c r="J62" i="7"/>
  <c r="J75" i="7"/>
  <c r="K75" i="7" s="1"/>
  <c r="J85" i="7"/>
  <c r="K85" i="7" s="1"/>
  <c r="F148" i="7"/>
  <c r="F150" i="7" s="1"/>
  <c r="F174" i="7" s="1"/>
  <c r="F176" i="7" s="1"/>
  <c r="F182" i="7" s="1"/>
  <c r="F184" i="7" s="1"/>
  <c r="F202" i="7" s="1"/>
  <c r="F48" i="7"/>
  <c r="F50" i="7" s="1"/>
  <c r="F62" i="7" s="1"/>
  <c r="F64" i="7" s="1"/>
  <c r="F94" i="7" s="1"/>
  <c r="H148" i="7"/>
  <c r="H150" i="7" s="1"/>
  <c r="H174" i="7" s="1"/>
  <c r="H176" i="7" s="1"/>
  <c r="H182" i="7" s="1"/>
  <c r="H184" i="7" s="1"/>
  <c r="H202" i="7" s="1"/>
  <c r="H5" i="7"/>
  <c r="K62" i="7" l="1"/>
  <c r="K64" i="7" s="1"/>
  <c r="K94" i="7" s="1"/>
  <c r="N146" i="7"/>
  <c r="N137" i="7"/>
  <c r="N33" i="7"/>
  <c r="N110" i="7"/>
  <c r="N119" i="7"/>
  <c r="N17" i="7"/>
  <c r="N51" i="7"/>
  <c r="N42" i="7"/>
  <c r="J64" i="7"/>
  <c r="J94" i="7" s="1"/>
  <c r="K148" i="7"/>
  <c r="K150" i="7" s="1"/>
  <c r="K174" i="7" s="1"/>
  <c r="K176" i="7" s="1"/>
  <c r="N157" i="7" s="1"/>
  <c r="J148" i="7"/>
  <c r="J150" i="7" s="1"/>
  <c r="J174" i="7" s="1"/>
  <c r="J176" i="7" s="1"/>
  <c r="J182" i="7" s="1"/>
  <c r="J184" i="7" s="1"/>
  <c r="J202" i="7" s="1"/>
  <c r="H48" i="7"/>
  <c r="H50" i="7" s="1"/>
  <c r="H62" i="7" s="1"/>
  <c r="K182" i="7" l="1"/>
  <c r="K184" i="7" s="1"/>
  <c r="K202" i="7" s="1"/>
  <c r="N166" i="7"/>
  <c r="H64" i="7"/>
  <c r="H94" i="7" s="1"/>
</calcChain>
</file>

<file path=xl/sharedStrings.xml><?xml version="1.0" encoding="utf-8"?>
<sst xmlns="http://schemas.openxmlformats.org/spreadsheetml/2006/main" count="494" uniqueCount="132">
  <si>
    <t>Item</t>
  </si>
  <si>
    <t>Subsytem</t>
  </si>
  <si>
    <t>Type</t>
  </si>
  <si>
    <t>Material</t>
  </si>
  <si>
    <t>Quantity</t>
  </si>
  <si>
    <t>Diameter (cm)</t>
  </si>
  <si>
    <t>Cross Area (cm^2)</t>
  </si>
  <si>
    <t>Power</t>
  </si>
  <si>
    <t>Signal</t>
  </si>
  <si>
    <t>Red Path IP to pfRICH Inner face</t>
  </si>
  <si>
    <t>Spaces</t>
  </si>
  <si>
    <t>Width ea. (deg)</t>
  </si>
  <si>
    <t>Cooling</t>
  </si>
  <si>
    <t>Cooling *</t>
  </si>
  <si>
    <t>cooling</t>
  </si>
  <si>
    <t>tygon</t>
  </si>
  <si>
    <t>Data</t>
  </si>
  <si>
    <t>Inner MPGD</t>
  </si>
  <si>
    <t>Hv</t>
  </si>
  <si>
    <t>Copper</t>
  </si>
  <si>
    <t>LV</t>
  </si>
  <si>
    <t>Gas</t>
  </si>
  <si>
    <t>MPGD Disk</t>
  </si>
  <si>
    <t>Ribbon</t>
  </si>
  <si>
    <t>Fibers</t>
  </si>
  <si>
    <t>AC LGAD TOF</t>
  </si>
  <si>
    <t>LV FEE</t>
  </si>
  <si>
    <t> </t>
  </si>
  <si>
    <t>HV FEE</t>
  </si>
  <si>
    <t>Fiber *</t>
  </si>
  <si>
    <t>Fiber</t>
  </si>
  <si>
    <t>Aluminum</t>
  </si>
  <si>
    <t>Tygon</t>
  </si>
  <si>
    <t>Total</t>
  </si>
  <si>
    <t>Red Path From pfRICH to EEEMCAL Inner face</t>
  </si>
  <si>
    <t>Previous totals</t>
  </si>
  <si>
    <t>pfRICH</t>
  </si>
  <si>
    <t>HV HRPPD</t>
  </si>
  <si>
    <t>MM Fiber</t>
  </si>
  <si>
    <t>Dry Nitrogen</t>
  </si>
  <si>
    <t>Water neg pres</t>
  </si>
  <si>
    <t>Red Path From EEEMCAL to Flux Return Bars</t>
  </si>
  <si>
    <t>EE EMCAL</t>
  </si>
  <si>
    <t>Optical Links</t>
  </si>
  <si>
    <t>Lv, Bias</t>
  </si>
  <si>
    <t>DIRC</t>
  </si>
  <si>
    <t>Lv</t>
  </si>
  <si>
    <t>Hv *</t>
  </si>
  <si>
    <t>Optical *</t>
  </si>
  <si>
    <t>PWR *</t>
  </si>
  <si>
    <t>Gas *</t>
  </si>
  <si>
    <t>Barrel EMCAL</t>
  </si>
  <si>
    <t>power</t>
  </si>
  <si>
    <t>Upstream Bias</t>
  </si>
  <si>
    <t>RG58</t>
  </si>
  <si>
    <t>Upstream</t>
  </si>
  <si>
    <t>22 awg</t>
  </si>
  <si>
    <t>Astropix</t>
  </si>
  <si>
    <t>EE HCAL</t>
  </si>
  <si>
    <t>2 cond 16AWG</t>
  </si>
  <si>
    <t>HV Bias</t>
  </si>
  <si>
    <t>Data Signal Cable</t>
  </si>
  <si>
    <t>Slow Controls</t>
  </si>
  <si>
    <t>Orange Path From IP to AC-LGAD Disk</t>
  </si>
  <si>
    <t>Orange Path From AC-LGAD disk to Aerogel</t>
  </si>
  <si>
    <t>FE AC LGAD TOF</t>
  </si>
  <si>
    <t>Lv *</t>
  </si>
  <si>
    <t>Outer MPGD</t>
  </si>
  <si>
    <t>FEE PWR</t>
  </si>
  <si>
    <t>FEE data</t>
  </si>
  <si>
    <t>2kv Hv</t>
  </si>
  <si>
    <t>Orange Path From dRICH Aerogel to Dogbones</t>
  </si>
  <si>
    <t>DRICH</t>
  </si>
  <si>
    <t>Nitrogen sipm</t>
  </si>
  <si>
    <t>Nitrogen Aerogel</t>
  </si>
  <si>
    <t>C2F6 Gas</t>
  </si>
  <si>
    <t>FEE Cooling</t>
  </si>
  <si>
    <t>sipm Cooling</t>
  </si>
  <si>
    <t>Orange Path From 4 to 5</t>
  </si>
  <si>
    <t>Lv Digital *</t>
  </si>
  <si>
    <t>Lv Anaglog *</t>
  </si>
  <si>
    <t>Ancillary</t>
  </si>
  <si>
    <t>HV Bias *</t>
  </si>
  <si>
    <t>Lv Motor*</t>
  </si>
  <si>
    <t>DAQ Fiber</t>
  </si>
  <si>
    <t>Laser Fiber</t>
  </si>
  <si>
    <t>Point A- Vertex &amp; Inner Disk</t>
  </si>
  <si>
    <t>Outer Radius Start</t>
  </si>
  <si>
    <t>Plane Z</t>
  </si>
  <si>
    <t>Point B- Barrel Layers &amp; Inner Disk</t>
  </si>
  <si>
    <t>Cooling radius</t>
  </si>
  <si>
    <t>Point C- All SVT</t>
  </si>
  <si>
    <t>Point E- SVT, MPGD, ToF, oMPGD</t>
  </si>
  <si>
    <t>Cooling length</t>
  </si>
  <si>
    <t>Point G- Inner and EMCAL</t>
  </si>
  <si>
    <t>Point H- Inner and EMCAL</t>
  </si>
  <si>
    <t>Point M- Vertex &amp; Inner Disk</t>
  </si>
  <si>
    <t>Point N- Barrel Layers &amp; Inner Disk</t>
  </si>
  <si>
    <t>Point O- All SVT</t>
  </si>
  <si>
    <t>Point P- SVT &amp; MPGD</t>
  </si>
  <si>
    <t>Point Q- SVT, MPGD, ToF, oMPGD</t>
  </si>
  <si>
    <t>Point R- Inner and EMCAL</t>
  </si>
  <si>
    <t>Lv  SIPM</t>
  </si>
  <si>
    <t>Point D- SVT, MPGD &amp; ToF</t>
  </si>
  <si>
    <t>SVT Disks</t>
  </si>
  <si>
    <t>SVT Inner Barrel</t>
  </si>
  <si>
    <t>Air Exhaust</t>
  </si>
  <si>
    <t xml:space="preserve">LV </t>
  </si>
  <si>
    <t>Multi-Conductor Cable</t>
  </si>
  <si>
    <t>144 Fiber Cable</t>
  </si>
  <si>
    <t>Air</t>
  </si>
  <si>
    <t>Exhaust</t>
  </si>
  <si>
    <t xml:space="preserve">SVT Outer Barrel </t>
  </si>
  <si>
    <t>Outer Barrel / Disks CB</t>
  </si>
  <si>
    <t>Ext Voltage Source</t>
  </si>
  <si>
    <t>Water</t>
  </si>
  <si>
    <t>Inner Barrel SCB</t>
  </si>
  <si>
    <t>Control Fibers</t>
  </si>
  <si>
    <t>Inner Barrel DPB</t>
  </si>
  <si>
    <t>Control Fiber</t>
  </si>
  <si>
    <t>Bulk Power</t>
  </si>
  <si>
    <t>SC Fibers FIB</t>
  </si>
  <si>
    <t>SC Fibers FPC</t>
  </si>
  <si>
    <t>Aluminium</t>
  </si>
  <si>
    <t>g/cm^3</t>
  </si>
  <si>
    <t>Plastic</t>
  </si>
  <si>
    <t>Point D- CYMBAL &amp; ToF</t>
  </si>
  <si>
    <t>Factor to Convert to Al</t>
  </si>
  <si>
    <t>Coverted Area in Al per</t>
  </si>
  <si>
    <t>Total Equivilant Area</t>
  </si>
  <si>
    <t>Inner Radius</t>
  </si>
  <si>
    <t>Volume Conversion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</si>
</sst>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FF00"/>
      <name val="Calibri"/>
      <family val="2"/>
    </font>
    <font>
      <sz val="11"/>
      <color rgb="FF000000"/>
      <name val="Aptos Narrow"/>
      <family val="2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rgb="FFFFCDCD"/>
        <bgColor rgb="FF000000"/>
      </patternFill>
    </fill>
    <fill>
      <patternFill patternType="solid">
        <fgColor rgb="FFFF9F9F"/>
        <bgColor rgb="FF000000"/>
      </patternFill>
    </fill>
    <fill>
      <patternFill patternType="solid">
        <fgColor rgb="FFFF9F9F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ED7D31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6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2" fontId="3" fillId="2" borderId="2" xfId="1" quotePrefix="1" applyNumberFormat="1" applyFont="1" applyFill="1" applyBorder="1" applyAlignment="1">
      <alignment horizontal="center" vertical="center" wrapText="1"/>
    </xf>
    <xf numFmtId="0" fontId="2" fillId="0" borderId="0" xfId="1"/>
    <xf numFmtId="0" fontId="2" fillId="0" borderId="0" xfId="1" applyAlignment="1">
      <alignment horizontal="left"/>
    </xf>
    <xf numFmtId="0" fontId="4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/>
    </xf>
    <xf numFmtId="2" fontId="3" fillId="4" borderId="6" xfId="1" applyNumberFormat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3" fillId="5" borderId="8" xfId="1" applyFont="1" applyFill="1" applyBorder="1" applyAlignment="1">
      <alignment horizontal="center"/>
    </xf>
    <xf numFmtId="2" fontId="3" fillId="5" borderId="8" xfId="1" applyNumberFormat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/>
    </xf>
    <xf numFmtId="2" fontId="3" fillId="4" borderId="8" xfId="1" applyNumberFormat="1" applyFont="1" applyFill="1" applyBorder="1" applyAlignment="1">
      <alignment horizontal="center"/>
    </xf>
    <xf numFmtId="0" fontId="3" fillId="6" borderId="8" xfId="1" applyFont="1" applyFill="1" applyBorder="1" applyAlignment="1">
      <alignment horizontal="center"/>
    </xf>
    <xf numFmtId="2" fontId="3" fillId="6" borderId="8" xfId="1" applyNumberFormat="1" applyFont="1" applyFill="1" applyBorder="1" applyAlignment="1">
      <alignment horizontal="center"/>
    </xf>
    <xf numFmtId="0" fontId="4" fillId="5" borderId="9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/>
    </xf>
    <xf numFmtId="0" fontId="3" fillId="7" borderId="8" xfId="1" applyFont="1" applyFill="1" applyBorder="1" applyAlignment="1">
      <alignment horizontal="center"/>
    </xf>
    <xf numFmtId="2" fontId="3" fillId="7" borderId="8" xfId="1" applyNumberFormat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/>
    </xf>
    <xf numFmtId="0" fontId="3" fillId="6" borderId="16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/>
    </xf>
    <xf numFmtId="0" fontId="3" fillId="5" borderId="22" xfId="1" applyFont="1" applyFill="1" applyBorder="1" applyAlignment="1">
      <alignment horizontal="center" vertical="center"/>
    </xf>
    <xf numFmtId="0" fontId="3" fillId="5" borderId="22" xfId="1" applyFont="1" applyFill="1" applyBorder="1" applyAlignment="1">
      <alignment horizontal="center"/>
    </xf>
    <xf numFmtId="2" fontId="3" fillId="5" borderId="22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/>
    </xf>
    <xf numFmtId="2" fontId="3" fillId="5" borderId="6" xfId="1" applyNumberFormat="1" applyFont="1" applyFill="1" applyBorder="1" applyAlignment="1">
      <alignment horizontal="center"/>
    </xf>
    <xf numFmtId="2" fontId="3" fillId="5" borderId="14" xfId="1" applyNumberFormat="1" applyFont="1" applyFill="1" applyBorder="1" applyAlignment="1">
      <alignment horizontal="center"/>
    </xf>
    <xf numFmtId="2" fontId="3" fillId="4" borderId="18" xfId="1" applyNumberFormat="1" applyFont="1" applyFill="1" applyBorder="1" applyAlignment="1">
      <alignment horizontal="center"/>
    </xf>
    <xf numFmtId="2" fontId="3" fillId="5" borderId="18" xfId="1" applyNumberFormat="1" applyFont="1" applyFill="1" applyBorder="1" applyAlignment="1">
      <alignment horizontal="center"/>
    </xf>
    <xf numFmtId="2" fontId="3" fillId="4" borderId="8" xfId="1" quotePrefix="1" applyNumberFormat="1" applyFont="1" applyFill="1" applyBorder="1" applyAlignment="1">
      <alignment horizontal="center"/>
    </xf>
    <xf numFmtId="2" fontId="3" fillId="4" borderId="18" xfId="1" quotePrefix="1" applyNumberFormat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 vertical="center"/>
    </xf>
    <xf numFmtId="2" fontId="5" fillId="5" borderId="8" xfId="1" applyNumberFormat="1" applyFont="1" applyFill="1" applyBorder="1" applyAlignment="1">
      <alignment horizontal="center"/>
    </xf>
    <xf numFmtId="2" fontId="5" fillId="4" borderId="8" xfId="1" applyNumberFormat="1" applyFont="1" applyFill="1" applyBorder="1" applyAlignment="1">
      <alignment horizontal="center"/>
    </xf>
    <xf numFmtId="0" fontId="3" fillId="5" borderId="14" xfId="1" applyFont="1" applyFill="1" applyBorder="1" applyAlignment="1">
      <alignment horizontal="center" vertical="center"/>
    </xf>
    <xf numFmtId="0" fontId="4" fillId="9" borderId="17" xfId="1" applyFont="1" applyFill="1" applyBorder="1" applyAlignment="1">
      <alignment horizontal="center" vertical="center"/>
    </xf>
    <xf numFmtId="0" fontId="3" fillId="9" borderId="23" xfId="1" applyFont="1" applyFill="1" applyBorder="1" applyAlignment="1">
      <alignment horizontal="center"/>
    </xf>
    <xf numFmtId="0" fontId="3" fillId="9" borderId="8" xfId="1" applyFont="1" applyFill="1" applyBorder="1" applyAlignment="1">
      <alignment horizontal="center"/>
    </xf>
    <xf numFmtId="2" fontId="3" fillId="9" borderId="8" xfId="1" applyNumberFormat="1" applyFont="1" applyFill="1" applyBorder="1" applyAlignment="1">
      <alignment horizontal="center"/>
    </xf>
    <xf numFmtId="0" fontId="3" fillId="10" borderId="4" xfId="1" applyFont="1" applyFill="1" applyBorder="1" applyAlignment="1">
      <alignment horizontal="center"/>
    </xf>
    <xf numFmtId="0" fontId="3" fillId="10" borderId="8" xfId="1" applyFont="1" applyFill="1" applyBorder="1" applyAlignment="1">
      <alignment horizontal="center"/>
    </xf>
    <xf numFmtId="2" fontId="3" fillId="10" borderId="8" xfId="1" applyNumberFormat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/>
    </xf>
    <xf numFmtId="0" fontId="4" fillId="10" borderId="17" xfId="1" applyFont="1" applyFill="1" applyBorder="1" applyAlignment="1">
      <alignment horizontal="center" vertical="center"/>
    </xf>
    <xf numFmtId="0" fontId="4" fillId="11" borderId="17" xfId="1" applyFont="1" applyFill="1" applyBorder="1" applyAlignment="1">
      <alignment horizontal="center" vertical="center"/>
    </xf>
    <xf numFmtId="0" fontId="3" fillId="11" borderId="4" xfId="1" applyFont="1" applyFill="1" applyBorder="1" applyAlignment="1">
      <alignment horizontal="center" vertical="center"/>
    </xf>
    <xf numFmtId="0" fontId="3" fillId="11" borderId="8" xfId="1" applyFont="1" applyFill="1" applyBorder="1" applyAlignment="1">
      <alignment horizontal="center" vertical="center"/>
    </xf>
    <xf numFmtId="0" fontId="3" fillId="11" borderId="8" xfId="1" applyFont="1" applyFill="1" applyBorder="1" applyAlignment="1">
      <alignment horizontal="center"/>
    </xf>
    <xf numFmtId="2" fontId="3" fillId="11" borderId="8" xfId="1" applyNumberFormat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 vertical="center"/>
    </xf>
    <xf numFmtId="0" fontId="3" fillId="9" borderId="8" xfId="1" applyFont="1" applyFill="1" applyBorder="1" applyAlignment="1">
      <alignment horizontal="center" vertical="center"/>
    </xf>
    <xf numFmtId="0" fontId="3" fillId="9" borderId="22" xfId="1" applyFont="1" applyFill="1" applyBorder="1" applyAlignment="1">
      <alignment horizontal="center" vertical="center"/>
    </xf>
    <xf numFmtId="0" fontId="3" fillId="9" borderId="22" xfId="1" applyFont="1" applyFill="1" applyBorder="1" applyAlignment="1">
      <alignment horizontal="center"/>
    </xf>
    <xf numFmtId="2" fontId="3" fillId="9" borderId="22" xfId="1" applyNumberFormat="1" applyFont="1" applyFill="1" applyBorder="1" applyAlignment="1">
      <alignment horizontal="center"/>
    </xf>
    <xf numFmtId="0" fontId="3" fillId="9" borderId="6" xfId="1" applyFont="1" applyFill="1" applyBorder="1" applyAlignment="1">
      <alignment horizontal="center" vertical="center"/>
    </xf>
    <xf numFmtId="0" fontId="3" fillId="9" borderId="6" xfId="1" applyFont="1" applyFill="1" applyBorder="1" applyAlignment="1">
      <alignment horizontal="center"/>
    </xf>
    <xf numFmtId="2" fontId="3" fillId="9" borderId="6" xfId="1" applyNumberFormat="1" applyFont="1" applyFill="1" applyBorder="1" applyAlignment="1">
      <alignment horizontal="center"/>
    </xf>
    <xf numFmtId="0" fontId="3" fillId="10" borderId="23" xfId="1" applyFont="1" applyFill="1" applyBorder="1" applyAlignment="1">
      <alignment horizontal="center"/>
    </xf>
    <xf numFmtId="0" fontId="3" fillId="11" borderId="4" xfId="1" applyFont="1" applyFill="1" applyBorder="1" applyAlignment="1">
      <alignment horizontal="center"/>
    </xf>
    <xf numFmtId="0" fontId="4" fillId="10" borderId="7" xfId="1" applyFont="1" applyFill="1" applyBorder="1" applyAlignment="1">
      <alignment horizontal="center" vertical="center"/>
    </xf>
    <xf numFmtId="0" fontId="4" fillId="9" borderId="7" xfId="1" applyFont="1" applyFill="1" applyBorder="1" applyAlignment="1">
      <alignment horizontal="center" vertical="center"/>
    </xf>
    <xf numFmtId="2" fontId="2" fillId="0" borderId="0" xfId="1" applyNumberFormat="1"/>
    <xf numFmtId="2" fontId="2" fillId="0" borderId="0" xfId="1" applyNumberFormat="1" applyAlignment="1">
      <alignment horizontal="center"/>
    </xf>
    <xf numFmtId="0" fontId="6" fillId="0" borderId="0" xfId="1" applyFont="1"/>
    <xf numFmtId="0" fontId="6" fillId="0" borderId="0" xfId="1" quotePrefix="1" applyFont="1"/>
    <xf numFmtId="2" fontId="6" fillId="0" borderId="0" xfId="1" applyNumberFormat="1" applyFont="1"/>
    <xf numFmtId="0" fontId="6" fillId="0" borderId="0" xfId="1" applyFont="1" applyAlignment="1">
      <alignment wrapText="1"/>
    </xf>
    <xf numFmtId="2" fontId="0" fillId="0" borderId="0" xfId="0" applyNumberFormat="1"/>
    <xf numFmtId="0" fontId="0" fillId="0" borderId="0" xfId="1" applyFont="1"/>
    <xf numFmtId="2" fontId="2" fillId="0" borderId="0" xfId="1" applyNumberFormat="1" applyAlignment="1">
      <alignment horizontal="right"/>
    </xf>
    <xf numFmtId="0" fontId="0" fillId="0" borderId="0" xfId="1" applyFont="1" applyAlignment="1">
      <alignment horizontal="left"/>
    </xf>
    <xf numFmtId="0" fontId="2" fillId="0" borderId="0" xfId="1" applyAlignment="1">
      <alignment horizontal="right"/>
    </xf>
    <xf numFmtId="0" fontId="3" fillId="12" borderId="8" xfId="1" applyFont="1" applyFill="1" applyBorder="1" applyAlignment="1">
      <alignment horizontal="center"/>
    </xf>
    <xf numFmtId="2" fontId="3" fillId="13" borderId="8" xfId="1" applyNumberFormat="1" applyFont="1" applyFill="1" applyBorder="1" applyAlignment="1">
      <alignment horizontal="center"/>
    </xf>
    <xf numFmtId="2" fontId="3" fillId="12" borderId="8" xfId="1" applyNumberFormat="1" applyFont="1" applyFill="1" applyBorder="1" applyAlignment="1">
      <alignment horizontal="center"/>
    </xf>
    <xf numFmtId="0" fontId="3" fillId="13" borderId="8" xfId="1" applyFont="1" applyFill="1" applyBorder="1" applyAlignment="1">
      <alignment horizontal="center"/>
    </xf>
    <xf numFmtId="0" fontId="3" fillId="12" borderId="22" xfId="1" applyFont="1" applyFill="1" applyBorder="1" applyAlignment="1">
      <alignment horizontal="center" vertical="center"/>
    </xf>
    <xf numFmtId="0" fontId="3" fillId="12" borderId="22" xfId="1" applyFont="1" applyFill="1" applyBorder="1" applyAlignment="1">
      <alignment horizontal="center"/>
    </xf>
    <xf numFmtId="2" fontId="3" fillId="12" borderId="22" xfId="1" applyNumberFormat="1" applyFont="1" applyFill="1" applyBorder="1" applyAlignment="1">
      <alignment horizontal="center"/>
    </xf>
    <xf numFmtId="0" fontId="3" fillId="14" borderId="8" xfId="1" applyFont="1" applyFill="1" applyBorder="1" applyAlignment="1">
      <alignment horizontal="center"/>
    </xf>
    <xf numFmtId="2" fontId="3" fillId="15" borderId="8" xfId="1" applyNumberFormat="1" applyFont="1" applyFill="1" applyBorder="1" applyAlignment="1">
      <alignment horizontal="center"/>
    </xf>
    <xf numFmtId="2" fontId="3" fillId="14" borderId="8" xfId="1" applyNumberFormat="1" applyFont="1" applyFill="1" applyBorder="1" applyAlignment="1">
      <alignment horizontal="center"/>
    </xf>
    <xf numFmtId="0" fontId="3" fillId="15" borderId="8" xfId="1" applyFont="1" applyFill="1" applyBorder="1" applyAlignment="1">
      <alignment horizontal="center"/>
    </xf>
    <xf numFmtId="0" fontId="4" fillId="14" borderId="7" xfId="1" applyFont="1" applyFill="1" applyBorder="1" applyAlignment="1">
      <alignment horizontal="center" vertical="center"/>
    </xf>
    <xf numFmtId="164" fontId="2" fillId="0" borderId="0" xfId="1" applyNumberFormat="1"/>
    <xf numFmtId="164" fontId="0" fillId="0" borderId="0" xfId="1" applyNumberFormat="1" applyFont="1"/>
    <xf numFmtId="164" fontId="2" fillId="0" borderId="0" xfId="1" applyNumberFormat="1" applyAlignment="1">
      <alignment horizontal="left"/>
    </xf>
    <xf numFmtId="164" fontId="0" fillId="0" borderId="0" xfId="1" applyNumberFormat="1" applyFont="1" applyAlignment="1">
      <alignment horizontal="left"/>
    </xf>
    <xf numFmtId="164" fontId="2" fillId="0" borderId="0" xfId="1" applyNumberFormat="1" applyAlignment="1">
      <alignment horizontal="right"/>
    </xf>
    <xf numFmtId="0" fontId="3" fillId="5" borderId="4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/>
    </xf>
    <xf numFmtId="0" fontId="4" fillId="7" borderId="13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11" borderId="7" xfId="1" applyFont="1" applyFill="1" applyBorder="1" applyAlignment="1">
      <alignment horizontal="center" vertical="center"/>
    </xf>
    <xf numFmtId="0" fontId="4" fillId="12" borderId="7" xfId="1" applyFont="1" applyFill="1" applyBorder="1" applyAlignment="1">
      <alignment horizontal="center" vertical="center"/>
    </xf>
    <xf numFmtId="0" fontId="4" fillId="13" borderId="7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5" borderId="26" xfId="1" applyFont="1" applyFill="1" applyBorder="1" applyAlignment="1">
      <alignment horizontal="center" vertical="center"/>
    </xf>
    <xf numFmtId="0" fontId="3" fillId="5" borderId="27" xfId="1" applyFont="1" applyFill="1" applyBorder="1" applyAlignment="1">
      <alignment horizontal="center" vertical="center"/>
    </xf>
    <xf numFmtId="0" fontId="3" fillId="5" borderId="21" xfId="1" applyFont="1" applyFill="1" applyBorder="1" applyAlignment="1">
      <alignment horizontal="center" vertical="center"/>
    </xf>
    <xf numFmtId="0" fontId="3" fillId="3" borderId="41" xfId="1" applyFont="1" applyFill="1" applyBorder="1" applyAlignment="1">
      <alignment horizontal="center" vertical="center" wrapText="1"/>
    </xf>
    <xf numFmtId="0" fontId="3" fillId="3" borderId="42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/>
    </xf>
    <xf numFmtId="0" fontId="3" fillId="5" borderId="18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3" fillId="5" borderId="24" xfId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/>
    </xf>
    <xf numFmtId="0" fontId="3" fillId="5" borderId="20" xfId="1" applyFont="1" applyFill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4" fillId="4" borderId="37" xfId="1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4" fillId="11" borderId="44" xfId="1" applyFont="1" applyFill="1" applyBorder="1" applyAlignment="1">
      <alignment horizontal="center" vertical="center" wrapText="1"/>
    </xf>
    <xf numFmtId="0" fontId="4" fillId="11" borderId="45" xfId="1" applyFont="1" applyFill="1" applyBorder="1" applyAlignment="1">
      <alignment horizontal="center" vertical="center" wrapText="1"/>
    </xf>
    <xf numFmtId="0" fontId="4" fillId="11" borderId="46" xfId="1" applyFont="1" applyFill="1" applyBorder="1" applyAlignment="1">
      <alignment horizontal="center" vertical="center" wrapText="1"/>
    </xf>
    <xf numFmtId="0" fontId="3" fillId="12" borderId="19" xfId="1" applyFont="1" applyFill="1" applyBorder="1" applyAlignment="1">
      <alignment horizontal="center" vertical="center"/>
    </xf>
    <xf numFmtId="0" fontId="3" fillId="12" borderId="20" xfId="1" applyFont="1" applyFill="1" applyBorder="1" applyAlignment="1">
      <alignment horizontal="center" vertical="center"/>
    </xf>
    <xf numFmtId="0" fontId="3" fillId="12" borderId="21" xfId="1" applyFont="1" applyFill="1" applyBorder="1" applyAlignment="1">
      <alignment horizontal="center" vertical="center"/>
    </xf>
    <xf numFmtId="0" fontId="3" fillId="9" borderId="19" xfId="1" applyFont="1" applyFill="1" applyBorder="1" applyAlignment="1">
      <alignment horizontal="center" vertical="center"/>
    </xf>
    <xf numFmtId="0" fontId="3" fillId="9" borderId="20" xfId="1" applyFont="1" applyFill="1" applyBorder="1" applyAlignment="1">
      <alignment horizontal="center" vertical="center"/>
    </xf>
    <xf numFmtId="0" fontId="3" fillId="9" borderId="21" xfId="1" applyFont="1" applyFill="1" applyBorder="1" applyAlignment="1">
      <alignment horizontal="center" vertical="center"/>
    </xf>
    <xf numFmtId="0" fontId="3" fillId="5" borderId="29" xfId="1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3" fillId="5" borderId="30" xfId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0" fontId="3" fillId="8" borderId="33" xfId="1" applyFont="1" applyFill="1" applyBorder="1" applyAlignment="1">
      <alignment horizontal="center" vertical="center" wrapText="1"/>
    </xf>
    <xf numFmtId="0" fontId="3" fillId="9" borderId="34" xfId="1" applyFont="1" applyFill="1" applyBorder="1" applyAlignment="1">
      <alignment horizontal="center" vertical="center"/>
    </xf>
    <xf numFmtId="0" fontId="3" fillId="9" borderId="35" xfId="1" applyFont="1" applyFill="1" applyBorder="1" applyAlignment="1">
      <alignment horizontal="center" vertical="center"/>
    </xf>
    <xf numFmtId="0" fontId="3" fillId="9" borderId="36" xfId="1" applyFont="1" applyFill="1" applyBorder="1" applyAlignment="1">
      <alignment horizontal="center" vertical="center"/>
    </xf>
    <xf numFmtId="0" fontId="3" fillId="9" borderId="24" xfId="1" applyFont="1" applyFill="1" applyBorder="1" applyAlignment="1">
      <alignment horizontal="center" vertical="center"/>
    </xf>
    <xf numFmtId="0" fontId="3" fillId="9" borderId="25" xfId="1" applyFont="1" applyFill="1" applyBorder="1" applyAlignment="1">
      <alignment horizontal="center" vertical="center"/>
    </xf>
    <xf numFmtId="0" fontId="3" fillId="9" borderId="6" xfId="1" applyFont="1" applyFill="1" applyBorder="1" applyAlignment="1">
      <alignment horizontal="center" vertical="center"/>
    </xf>
    <xf numFmtId="0" fontId="1" fillId="0" borderId="38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1" fillId="0" borderId="40" xfId="1" applyFont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2" fillId="0" borderId="0" xfId="1" applyFill="1" applyBorder="1"/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vertical="center"/>
    </xf>
    <xf numFmtId="2" fontId="2" fillId="0" borderId="0" xfId="1" applyNumberFormat="1" applyFill="1" applyBorder="1" applyAlignment="1">
      <alignment vertical="center"/>
    </xf>
    <xf numFmtId="164" fontId="2" fillId="0" borderId="0" xfId="1" applyNumberFormat="1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" fontId="7" fillId="0" borderId="0" xfId="1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164" fontId="2" fillId="0" borderId="0" xfId="1" applyNumberFormat="1" applyFill="1" applyBorder="1"/>
    <xf numFmtId="0" fontId="0" fillId="0" borderId="0" xfId="1" applyFont="1" applyFill="1" applyBorder="1"/>
    <xf numFmtId="2" fontId="2" fillId="0" borderId="0" xfId="1" applyNumberFormat="1" applyFill="1" applyBorder="1"/>
    <xf numFmtId="0" fontId="0" fillId="0" borderId="0" xfId="0" applyAlignment="1"/>
  </cellXfs>
  <cellStyles count="2">
    <cellStyle name="Normal" xfId="0" builtinId="0"/>
    <cellStyle name="Normal 2" xfId="1" xr:uid="{91F0E6DF-3038-4E2D-BBFE-FA9FDDCF9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CE7AC-CE51-4682-9286-F63946046689}">
  <dimension ref="A1:D6"/>
  <sheetViews>
    <sheetView zoomScale="190" zoomScaleNormal="190" workbookViewId="0">
      <selection activeCell="E8" sqref="E8"/>
    </sheetView>
  </sheetViews>
  <sheetFormatPr defaultRowHeight="14.4" x14ac:dyDescent="0.3"/>
  <cols>
    <col min="1" max="1" width="9.6640625" bestFit="1" customWidth="1"/>
    <col min="4" max="4" width="22.77734375" style="79" bestFit="1" customWidth="1"/>
  </cols>
  <sheetData>
    <row r="1" spans="1:4" x14ac:dyDescent="0.3">
      <c r="D1" s="79" t="s">
        <v>131</v>
      </c>
    </row>
    <row r="2" spans="1:4" x14ac:dyDescent="0.3">
      <c r="A2" t="s">
        <v>123</v>
      </c>
      <c r="B2">
        <v>2.7</v>
      </c>
      <c r="C2" t="s">
        <v>124</v>
      </c>
      <c r="D2" s="79">
        <f>B2/B$2</f>
        <v>1</v>
      </c>
    </row>
    <row r="3" spans="1:4" x14ac:dyDescent="0.3">
      <c r="A3" t="s">
        <v>19</v>
      </c>
      <c r="B3">
        <v>8.9600000000000009</v>
      </c>
      <c r="C3" t="s">
        <v>124</v>
      </c>
      <c r="D3" s="79">
        <f t="shared" ref="D3:D6" si="0">B3/B$2</f>
        <v>3.3185185185185184</v>
      </c>
    </row>
    <row r="4" spans="1:4" x14ac:dyDescent="0.3">
      <c r="A4" t="s">
        <v>125</v>
      </c>
      <c r="B4">
        <v>1.35</v>
      </c>
      <c r="C4" t="s">
        <v>124</v>
      </c>
      <c r="D4" s="79">
        <f t="shared" si="0"/>
        <v>0.5</v>
      </c>
    </row>
    <row r="5" spans="1:4" x14ac:dyDescent="0.3">
      <c r="A5" t="s">
        <v>115</v>
      </c>
      <c r="B5">
        <v>1</v>
      </c>
      <c r="C5" t="s">
        <v>124</v>
      </c>
      <c r="D5" s="79">
        <f t="shared" si="0"/>
        <v>0.37037037037037035</v>
      </c>
    </row>
    <row r="6" spans="1:4" x14ac:dyDescent="0.3">
      <c r="A6" t="s">
        <v>24</v>
      </c>
      <c r="B6">
        <v>2.2000000000000002</v>
      </c>
      <c r="C6" t="s">
        <v>124</v>
      </c>
      <c r="D6" s="79">
        <f t="shared" si="0"/>
        <v>0.81481481481481488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30EEB-CEF8-4934-9EF5-BAB342C10E3D}">
  <sheetPr>
    <tabColor rgb="FF76D6FF"/>
  </sheetPr>
  <dimension ref="B1:BD230"/>
  <sheetViews>
    <sheetView tabSelected="1" zoomScaleNormal="100" workbookViewId="0">
      <pane ySplit="1" topLeftCell="A2" activePane="bottomLeft" state="frozen"/>
      <selection activeCell="E8" sqref="E8"/>
      <selection pane="bottomLeft" activeCell="E8" sqref="E8"/>
    </sheetView>
  </sheetViews>
  <sheetFormatPr defaultColWidth="9.109375" defaultRowHeight="14.4" x14ac:dyDescent="0.3"/>
  <cols>
    <col min="1" max="1" width="1.6640625" style="4" customWidth="1"/>
    <col min="2" max="2" width="15.44140625" style="111" bestFit="1" customWidth="1"/>
    <col min="3" max="3" width="15.44140625" style="9" customWidth="1"/>
    <col min="4" max="4" width="15.6640625" style="9" customWidth="1"/>
    <col min="5" max="5" width="19.109375" style="9" customWidth="1"/>
    <col min="6" max="7" width="12.6640625" style="9" customWidth="1"/>
    <col min="8" max="10" width="12.6640625" style="74" customWidth="1"/>
    <col min="11" max="11" width="14.44140625" style="74" customWidth="1"/>
    <col min="12" max="12" width="1.6640625" style="4" customWidth="1"/>
    <col min="13" max="13" width="19.88671875" style="4" customWidth="1"/>
    <col min="14" max="14" width="15.44140625" style="5" customWidth="1"/>
    <col min="15" max="15" width="10.109375" style="4" customWidth="1"/>
    <col min="16" max="18" width="10.77734375" style="4" customWidth="1"/>
    <col min="19" max="20" width="9.109375" style="4"/>
    <col min="21" max="22" width="16.77734375" style="4" customWidth="1"/>
    <col min="23" max="23" width="16.77734375" style="96" customWidth="1"/>
    <col min="24" max="25" width="16.77734375" style="4" customWidth="1"/>
    <col min="26" max="26" width="16.77734375" style="96" customWidth="1"/>
    <col min="27" max="29" width="9.109375" style="4"/>
    <col min="30" max="30" width="14.88671875" style="4" bestFit="1" customWidth="1"/>
    <col min="31" max="43" width="9.109375" style="4"/>
    <col min="44" max="44" width="14.88671875" style="4" bestFit="1" customWidth="1"/>
    <col min="45" max="50" width="9.109375" style="4"/>
    <col min="51" max="51" width="14.88671875" style="4" bestFit="1" customWidth="1"/>
    <col min="52" max="16384" width="9.109375" style="4"/>
  </cols>
  <sheetData>
    <row r="1" spans="2:27" ht="29.4" thickBot="1" x14ac:dyDescent="0.35">
      <c r="B1" s="102" t="s">
        <v>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2" t="s">
        <v>6</v>
      </c>
      <c r="I1" s="2" t="s">
        <v>127</v>
      </c>
      <c r="J1" s="3" t="s">
        <v>128</v>
      </c>
      <c r="K1" s="3" t="s">
        <v>129</v>
      </c>
    </row>
    <row r="2" spans="2:27" ht="15" thickBot="1" x14ac:dyDescent="0.35">
      <c r="B2" s="125" t="s">
        <v>9</v>
      </c>
      <c r="C2" s="126"/>
      <c r="D2" s="126"/>
      <c r="E2" s="126"/>
      <c r="F2" s="126"/>
      <c r="G2" s="126"/>
      <c r="H2" s="126"/>
      <c r="I2" s="126"/>
      <c r="J2" s="126"/>
      <c r="K2" s="126"/>
    </row>
    <row r="3" spans="2:27" x14ac:dyDescent="0.3">
      <c r="B3" s="6" t="s">
        <v>105</v>
      </c>
      <c r="C3" s="7" t="s">
        <v>12</v>
      </c>
      <c r="D3" s="7" t="s">
        <v>12</v>
      </c>
      <c r="E3" s="7" t="s">
        <v>106</v>
      </c>
      <c r="F3" s="7"/>
      <c r="G3" s="7">
        <v>2</v>
      </c>
      <c r="H3" s="8">
        <v>40.54</v>
      </c>
      <c r="I3" s="8">
        <v>0.01</v>
      </c>
      <c r="J3" s="13">
        <f>PI()*((G3/2)^2-((G3-0.1)/2)^2)*0.5+(PI()*I3*((G3-0.1)/2)^2)</f>
        <v>0.18150551556115035</v>
      </c>
      <c r="K3" s="8">
        <f>H3*J3</f>
        <v>7.3582336008490357</v>
      </c>
      <c r="M3" s="113" t="s">
        <v>96</v>
      </c>
      <c r="N3" s="113"/>
      <c r="O3" s="113"/>
      <c r="P3" s="113"/>
      <c r="Q3"/>
      <c r="T3" s="158"/>
      <c r="U3" s="159"/>
      <c r="V3" s="160"/>
      <c r="W3" s="160"/>
      <c r="X3" s="160"/>
      <c r="Y3" s="160"/>
      <c r="Z3" s="160"/>
      <c r="AA3" s="158"/>
    </row>
    <row r="4" spans="2:27" x14ac:dyDescent="0.3">
      <c r="B4" s="43"/>
      <c r="C4" s="10"/>
      <c r="D4" s="10"/>
      <c r="E4" s="10"/>
      <c r="F4" s="10"/>
      <c r="G4" s="10"/>
      <c r="H4" s="11"/>
      <c r="I4" s="11"/>
      <c r="J4" s="15"/>
      <c r="K4" s="11"/>
      <c r="M4" s="80" t="s">
        <v>88</v>
      </c>
      <c r="N4" s="4">
        <v>26</v>
      </c>
      <c r="T4" s="158"/>
      <c r="U4" s="159"/>
      <c r="V4" s="159"/>
      <c r="W4" s="161"/>
      <c r="X4" s="159"/>
      <c r="Y4" s="161"/>
      <c r="Z4" s="161"/>
      <c r="AA4" s="158"/>
    </row>
    <row r="5" spans="2:27" x14ac:dyDescent="0.3">
      <c r="B5" s="20" t="s">
        <v>112</v>
      </c>
      <c r="C5" s="12" t="s">
        <v>7</v>
      </c>
      <c r="D5" s="12" t="s">
        <v>107</v>
      </c>
      <c r="E5" s="12" t="s">
        <v>108</v>
      </c>
      <c r="F5" s="12">
        <f>186/2</f>
        <v>93</v>
      </c>
      <c r="G5" s="12">
        <v>0.55000000000000004</v>
      </c>
      <c r="H5" s="13">
        <f>IFERROR(F5*PI()*(G5/2)^2,"--")</f>
        <v>22.095213831778715</v>
      </c>
      <c r="I5" s="13">
        <v>1</v>
      </c>
      <c r="J5" s="13">
        <f>PI()*((G5/2)^2-((G5-0.1)/2)^2)*0.5+(PI()*I5*((G5-0.1)/2)^2)</f>
        <v>0.19831303625785573</v>
      </c>
      <c r="K5" s="13">
        <f>F5*J5</f>
        <v>18.443112371980583</v>
      </c>
      <c r="M5" s="5" t="s">
        <v>87</v>
      </c>
      <c r="N5" s="4">
        <v>26</v>
      </c>
      <c r="T5" s="158"/>
      <c r="U5" s="162"/>
      <c r="V5" s="163"/>
      <c r="W5" s="164"/>
      <c r="X5" s="165"/>
      <c r="Y5" s="166"/>
      <c r="Z5" s="167"/>
      <c r="AA5" s="158"/>
    </row>
    <row r="6" spans="2:27" x14ac:dyDescent="0.3">
      <c r="B6" s="103"/>
      <c r="C6" s="14" t="s">
        <v>8</v>
      </c>
      <c r="D6" s="14" t="s">
        <v>16</v>
      </c>
      <c r="E6" s="14" t="s">
        <v>109</v>
      </c>
      <c r="F6" s="14">
        <v>6</v>
      </c>
      <c r="G6" s="14">
        <v>0.89</v>
      </c>
      <c r="H6" s="15">
        <f>IFERROR(F6*PI()*(G6/2)^2,"--")</f>
        <v>3.7326833113627127</v>
      </c>
      <c r="I6" s="15">
        <v>0.81</v>
      </c>
      <c r="J6" s="15">
        <f>PI()*((G6/2)^2-((G6-0.1)/2)^2)*0.5+(PI()*I6*((G6-0.1)/2)^2)</f>
        <v>0.46300871068422722</v>
      </c>
      <c r="K6" s="11">
        <f>F6*J6</f>
        <v>2.7780522641053631</v>
      </c>
      <c r="M6" s="5"/>
      <c r="N6" s="4"/>
      <c r="T6" s="158"/>
      <c r="U6" s="162"/>
      <c r="V6" s="163"/>
      <c r="W6" s="164"/>
      <c r="X6" s="165"/>
      <c r="Y6" s="166"/>
      <c r="Z6" s="167"/>
      <c r="AA6" s="158"/>
    </row>
    <row r="7" spans="2:27" x14ac:dyDescent="0.3">
      <c r="B7" s="20"/>
      <c r="C7" s="12" t="s">
        <v>12</v>
      </c>
      <c r="D7" s="12" t="s">
        <v>14</v>
      </c>
      <c r="E7" s="12" t="s">
        <v>110</v>
      </c>
      <c r="F7" s="12">
        <v>8</v>
      </c>
      <c r="G7" s="12">
        <v>2.54</v>
      </c>
      <c r="H7" s="13">
        <f>IFERROR(F7*PI()*(G7/2)^2,"--")</f>
        <v>40.536598327799815</v>
      </c>
      <c r="I7" s="13">
        <v>0.01</v>
      </c>
      <c r="J7" s="13">
        <f>PI()*((G7/2)^2-((G7-0.1)/2)^2)*0.5+(PI()*I7*((G7-0.1)/2)^2)</f>
        <v>0.24232360774199518</v>
      </c>
      <c r="K7" s="13">
        <f t="shared" ref="K7:K44" si="0">F7*J7</f>
        <v>1.9385888619359615</v>
      </c>
      <c r="M7" s="5"/>
      <c r="N7" s="4"/>
      <c r="T7" s="158"/>
      <c r="U7" s="162"/>
      <c r="V7" s="163"/>
      <c r="W7" s="164"/>
      <c r="X7" s="165"/>
      <c r="Y7" s="166"/>
      <c r="Z7" s="167"/>
      <c r="AA7" s="158"/>
    </row>
    <row r="8" spans="2:27" x14ac:dyDescent="0.3">
      <c r="B8" s="16"/>
      <c r="C8" s="17" t="s">
        <v>12</v>
      </c>
      <c r="D8" s="18" t="s">
        <v>111</v>
      </c>
      <c r="E8" s="19" t="s">
        <v>110</v>
      </c>
      <c r="F8" s="10">
        <v>32</v>
      </c>
      <c r="G8" s="10">
        <v>2.54</v>
      </c>
      <c r="H8" s="11">
        <f>4*H7</f>
        <v>162.14639331119926</v>
      </c>
      <c r="I8" s="11">
        <v>0.01</v>
      </c>
      <c r="J8" s="15">
        <f>PI()*((G8/2)^2-((G8-0.1)/2)^2)*0.5+(PI()*I8*((G8-0.1)/2)^2)</f>
        <v>0.24232360774199518</v>
      </c>
      <c r="K8" s="11">
        <f t="shared" si="0"/>
        <v>7.7543554477438459</v>
      </c>
      <c r="M8" s="80" t="s">
        <v>90</v>
      </c>
      <c r="N8" s="81">
        <f>SQRT(((PI()*N5^2)-K3)/PI())</f>
        <v>25.95491863789983</v>
      </c>
      <c r="T8" s="158"/>
      <c r="U8" s="162"/>
      <c r="V8" s="163"/>
      <c r="W8" s="164"/>
      <c r="X8" s="165"/>
      <c r="Y8" s="166"/>
      <c r="Z8" s="167"/>
      <c r="AA8" s="158"/>
    </row>
    <row r="9" spans="2:27" x14ac:dyDescent="0.3">
      <c r="B9" s="20"/>
      <c r="C9" s="12"/>
      <c r="D9" s="12"/>
      <c r="E9" s="12"/>
      <c r="F9" s="12"/>
      <c r="G9" s="12"/>
      <c r="H9" s="13"/>
      <c r="I9" s="13"/>
      <c r="J9" s="13"/>
      <c r="K9" s="13"/>
      <c r="M9" s="80"/>
      <c r="N9" s="81"/>
      <c r="P9" s="80"/>
      <c r="Q9" s="80"/>
      <c r="R9" s="80"/>
      <c r="T9" s="158"/>
      <c r="U9" s="162"/>
      <c r="V9" s="163"/>
      <c r="W9" s="164"/>
      <c r="X9" s="165"/>
      <c r="Y9" s="166"/>
      <c r="Z9" s="167"/>
      <c r="AA9" s="158"/>
    </row>
    <row r="10" spans="2:27" x14ac:dyDescent="0.3">
      <c r="B10" s="43" t="s">
        <v>104</v>
      </c>
      <c r="C10" s="10" t="s">
        <v>7</v>
      </c>
      <c r="D10" s="10" t="s">
        <v>107</v>
      </c>
      <c r="E10" s="10" t="s">
        <v>108</v>
      </c>
      <c r="F10" s="10">
        <f>370/2</f>
        <v>185</v>
      </c>
      <c r="G10" s="10">
        <v>0.55000000000000004</v>
      </c>
      <c r="H10" s="11">
        <f>IFERROR(F10*PI()*(G10/2)^2,"--")</f>
        <v>43.9528447191297</v>
      </c>
      <c r="I10" s="11">
        <v>1</v>
      </c>
      <c r="J10" s="15">
        <f>PI()*((G10/2)^2-((G10-0.1)/2)^2)*0.5+(PI()*I10*((G10-0.1)/2)^2)</f>
        <v>0.19831303625785573</v>
      </c>
      <c r="K10" s="11">
        <f t="shared" si="0"/>
        <v>36.687911707703314</v>
      </c>
      <c r="M10" s="80"/>
      <c r="N10" s="81"/>
      <c r="P10" s="81"/>
      <c r="Q10" s="81"/>
      <c r="R10" s="81"/>
      <c r="T10" s="158"/>
      <c r="U10" s="162"/>
      <c r="V10" s="163"/>
      <c r="W10" s="164"/>
      <c r="X10" s="165"/>
      <c r="Y10" s="166"/>
      <c r="Z10" s="167"/>
      <c r="AA10" s="158"/>
    </row>
    <row r="11" spans="2:27" x14ac:dyDescent="0.3">
      <c r="B11" s="104"/>
      <c r="C11" s="21" t="s">
        <v>8</v>
      </c>
      <c r="D11" s="22" t="s">
        <v>16</v>
      </c>
      <c r="E11" s="22" t="s">
        <v>109</v>
      </c>
      <c r="F11" s="22">
        <v>12</v>
      </c>
      <c r="G11" s="22">
        <v>0.89</v>
      </c>
      <c r="H11" s="23">
        <f>IFERROR(F11*PI()*(G11/2)^2,"--")</f>
        <v>7.4653666227254254</v>
      </c>
      <c r="I11" s="23">
        <v>0.81</v>
      </c>
      <c r="J11" s="13">
        <f>PI()*((G11/2)^2-((G11-0.1)/2)^2)*0.5+(PI()*I11*((G11-0.1)/2)^2)</f>
        <v>0.46300871068422722</v>
      </c>
      <c r="K11" s="13">
        <f t="shared" si="0"/>
        <v>5.5561045282107262</v>
      </c>
      <c r="T11" s="158"/>
      <c r="U11" s="162"/>
      <c r="V11" s="163"/>
      <c r="W11" s="164"/>
      <c r="X11" s="165"/>
      <c r="Y11" s="166"/>
      <c r="Z11" s="167"/>
      <c r="AA11" s="158"/>
    </row>
    <row r="12" spans="2:27" x14ac:dyDescent="0.3">
      <c r="B12" s="105"/>
      <c r="C12" s="24" t="s">
        <v>12</v>
      </c>
      <c r="D12" s="25" t="s">
        <v>12</v>
      </c>
      <c r="E12" s="26" t="s">
        <v>110</v>
      </c>
      <c r="F12" s="10">
        <v>10</v>
      </c>
      <c r="G12" s="10">
        <v>2.54</v>
      </c>
      <c r="H12" s="11">
        <v>50.65</v>
      </c>
      <c r="I12" s="11">
        <v>0.01</v>
      </c>
      <c r="J12" s="15">
        <f>PI()*((G12/2)^2-((G12-0.1)/2)^2)*0.5+(PI()*I12*((G12-0.1)/2)^2)</f>
        <v>0.24232360774199518</v>
      </c>
      <c r="K12" s="11">
        <f t="shared" si="0"/>
        <v>2.423236077419952</v>
      </c>
      <c r="M12" s="113" t="s">
        <v>97</v>
      </c>
      <c r="N12" s="113"/>
      <c r="O12" s="113"/>
      <c r="P12" s="113"/>
      <c r="T12" s="158"/>
      <c r="U12" s="162"/>
      <c r="V12" s="163"/>
      <c r="W12" s="164"/>
      <c r="X12" s="165"/>
      <c r="Y12" s="166"/>
      <c r="Z12" s="167"/>
      <c r="AA12" s="158"/>
    </row>
    <row r="13" spans="2:27" x14ac:dyDescent="0.3">
      <c r="B13" s="20"/>
      <c r="C13" s="12" t="s">
        <v>12</v>
      </c>
      <c r="D13" s="12" t="s">
        <v>111</v>
      </c>
      <c r="E13" s="12" t="s">
        <v>110</v>
      </c>
      <c r="F13" s="12">
        <v>40</v>
      </c>
      <c r="G13" s="12">
        <v>2.54</v>
      </c>
      <c r="H13" s="13">
        <f>4*H12</f>
        <v>202.6</v>
      </c>
      <c r="I13" s="13">
        <v>0.01</v>
      </c>
      <c r="J13" s="13">
        <f>PI()*((G13/2)^2-((G13-0.1)/2)^2)*0.5+(PI()*I13*((G13-0.1)/2)^2)</f>
        <v>0.24232360774199518</v>
      </c>
      <c r="K13" s="13">
        <f t="shared" si="0"/>
        <v>9.6929443096798078</v>
      </c>
      <c r="M13" s="80" t="s">
        <v>88</v>
      </c>
      <c r="N13" s="4">
        <v>45</v>
      </c>
      <c r="T13" s="158"/>
      <c r="U13" s="162"/>
      <c r="V13" s="163"/>
      <c r="W13" s="164"/>
      <c r="X13" s="165"/>
      <c r="Y13" s="166"/>
      <c r="Z13" s="167"/>
      <c r="AA13" s="158"/>
    </row>
    <row r="14" spans="2:27" ht="14.25" customHeight="1" x14ac:dyDescent="0.3">
      <c r="B14" s="103"/>
      <c r="C14" s="14"/>
      <c r="D14" s="14"/>
      <c r="E14" s="14"/>
      <c r="F14" s="14"/>
      <c r="G14" s="14"/>
      <c r="H14" s="15"/>
      <c r="I14" s="15"/>
      <c r="J14" s="15"/>
      <c r="K14" s="11"/>
      <c r="M14" s="5" t="s">
        <v>87</v>
      </c>
      <c r="N14" s="4">
        <v>48.5</v>
      </c>
      <c r="T14" s="158"/>
      <c r="U14" s="162"/>
      <c r="V14" s="163"/>
      <c r="W14" s="164"/>
      <c r="X14" s="165"/>
      <c r="Y14" s="166"/>
      <c r="Z14" s="167"/>
      <c r="AA14" s="158"/>
    </row>
    <row r="15" spans="2:27" x14ac:dyDescent="0.3">
      <c r="B15" s="131" t="s">
        <v>113</v>
      </c>
      <c r="C15" s="27" t="s">
        <v>8</v>
      </c>
      <c r="D15" s="12" t="s">
        <v>121</v>
      </c>
      <c r="E15" s="12" t="s">
        <v>109</v>
      </c>
      <c r="F15" s="12">
        <v>1</v>
      </c>
      <c r="G15" s="12">
        <v>0.89</v>
      </c>
      <c r="H15" s="13">
        <f>IFERROR(F15*PI()*(G15/2)^2,"--")</f>
        <v>0.62211388522711886</v>
      </c>
      <c r="I15" s="13">
        <v>0.81</v>
      </c>
      <c r="J15" s="13">
        <f>PI()*((G15/2)^2-((G15-0.1)/2)^2)*0.5+(PI()*I15*((G15-0.1)/2)^2)</f>
        <v>0.46300871068422722</v>
      </c>
      <c r="K15" s="13">
        <f t="shared" si="0"/>
        <v>0.46300871068422722</v>
      </c>
      <c r="M15" s="5" t="s">
        <v>10</v>
      </c>
      <c r="N15" s="4">
        <v>360</v>
      </c>
      <c r="T15" s="158"/>
      <c r="U15" s="162"/>
      <c r="V15" s="163"/>
      <c r="W15" s="164"/>
      <c r="X15" s="165"/>
      <c r="Y15" s="166"/>
      <c r="Z15" s="167"/>
      <c r="AA15" s="158"/>
    </row>
    <row r="16" spans="2:27" x14ac:dyDescent="0.3">
      <c r="B16" s="131"/>
      <c r="C16" s="101" t="s">
        <v>8</v>
      </c>
      <c r="D16" s="28" t="s">
        <v>122</v>
      </c>
      <c r="E16" s="26" t="s">
        <v>109</v>
      </c>
      <c r="F16" s="10">
        <v>1</v>
      </c>
      <c r="G16" s="10">
        <v>0.89</v>
      </c>
      <c r="H16" s="11">
        <f>IFERROR(F16*PI()*(G16/2)^2,"--")</f>
        <v>0.62211388522711886</v>
      </c>
      <c r="I16" s="11">
        <v>0.81</v>
      </c>
      <c r="J16" s="15">
        <f>PI()*((G16/2)^2-((G16-0.1)/2)^2)*0.5+(PI()*I16*((G16-0.1)/2)^2)</f>
        <v>0.46300871068422722</v>
      </c>
      <c r="K16" s="11">
        <f t="shared" si="0"/>
        <v>0.46300871068422722</v>
      </c>
      <c r="M16" s="5" t="s">
        <v>11</v>
      </c>
      <c r="N16" s="4">
        <v>1</v>
      </c>
      <c r="T16" s="158"/>
      <c r="U16" s="162"/>
      <c r="V16" s="163"/>
      <c r="W16" s="164"/>
      <c r="X16" s="165"/>
      <c r="Y16" s="166"/>
      <c r="Z16" s="167"/>
      <c r="AA16" s="158"/>
    </row>
    <row r="17" spans="2:27" x14ac:dyDescent="0.3">
      <c r="B17" s="131"/>
      <c r="C17" s="12" t="s">
        <v>7</v>
      </c>
      <c r="D17" s="12" t="s">
        <v>114</v>
      </c>
      <c r="E17" s="12"/>
      <c r="F17" s="12">
        <v>26</v>
      </c>
      <c r="G17" s="12">
        <v>0.55000000000000004</v>
      </c>
      <c r="H17" s="13">
        <f>IFERROR(F17*PI()*(G17/2)^2,"--")</f>
        <v>6.1771565551209324</v>
      </c>
      <c r="I17" s="13">
        <v>1</v>
      </c>
      <c r="J17" s="13">
        <f>PI()*((G17/2)^2-((G17-0.1)/2)^2)*0.5+(PI()*I17*((G17-0.1)/2)^2)</f>
        <v>0.19831303625785573</v>
      </c>
      <c r="K17" s="13">
        <f t="shared" si="0"/>
        <v>5.1561389427042492</v>
      </c>
      <c r="M17" s="80" t="s">
        <v>90</v>
      </c>
      <c r="N17" s="81">
        <f>SQRT(((PI()*N14^2)-SUM(K3:K8,K15:K25))/PI())</f>
        <v>48.325659509208975</v>
      </c>
      <c r="T17" s="158"/>
      <c r="U17" s="162"/>
      <c r="V17" s="163"/>
      <c r="W17" s="164"/>
      <c r="X17" s="165"/>
      <c r="Y17" s="166"/>
      <c r="Z17" s="167"/>
      <c r="AA17" s="158"/>
    </row>
    <row r="18" spans="2:27" x14ac:dyDescent="0.3">
      <c r="B18" s="16"/>
      <c r="C18" s="17" t="s">
        <v>12</v>
      </c>
      <c r="D18" s="18" t="s">
        <v>12</v>
      </c>
      <c r="E18" s="26" t="s">
        <v>115</v>
      </c>
      <c r="F18" s="10">
        <v>28</v>
      </c>
      <c r="G18" s="10">
        <v>0.63</v>
      </c>
      <c r="H18" s="11">
        <f>IFERROR(F18*PI()*(G18/2)^2,"--")</f>
        <v>8.7282868694685227</v>
      </c>
      <c r="I18" s="11">
        <v>0.37</v>
      </c>
      <c r="J18" s="15">
        <f>PI()*((G18/2)^2-((G18-0.1)/2)^2)*0.5+(PI()*I18*((G18-0.1)/2)^2)</f>
        <v>0.12718188079343901</v>
      </c>
      <c r="K18" s="11">
        <f t="shared" si="0"/>
        <v>3.5610926622162919</v>
      </c>
      <c r="M18" s="80"/>
      <c r="N18" s="81"/>
      <c r="P18" s="80"/>
      <c r="Q18" s="80"/>
      <c r="R18" s="80"/>
      <c r="T18" s="158"/>
      <c r="U18" s="162"/>
      <c r="V18" s="163"/>
      <c r="W18" s="164"/>
      <c r="X18" s="165"/>
      <c r="Y18" s="166"/>
      <c r="Z18" s="167"/>
      <c r="AA18" s="158"/>
    </row>
    <row r="19" spans="2:27" x14ac:dyDescent="0.3">
      <c r="B19" s="20"/>
      <c r="C19" s="12"/>
      <c r="D19" s="12"/>
      <c r="E19" s="12"/>
      <c r="F19" s="12"/>
      <c r="G19" s="12"/>
      <c r="H19" s="13"/>
      <c r="I19" s="13"/>
      <c r="J19" s="13"/>
      <c r="K19" s="13"/>
      <c r="M19" s="80"/>
      <c r="N19" s="81"/>
      <c r="P19" s="81"/>
      <c r="Q19" s="81"/>
      <c r="R19" s="81"/>
      <c r="T19" s="158"/>
      <c r="U19" s="162"/>
      <c r="V19" s="163"/>
      <c r="W19" s="164"/>
      <c r="X19" s="165"/>
      <c r="Y19" s="166"/>
      <c r="Z19" s="167"/>
      <c r="AA19" s="158"/>
    </row>
    <row r="20" spans="2:27" x14ac:dyDescent="0.3">
      <c r="B20" s="43" t="s">
        <v>116</v>
      </c>
      <c r="C20" s="29" t="s">
        <v>8</v>
      </c>
      <c r="D20" s="10" t="s">
        <v>117</v>
      </c>
      <c r="E20" s="10" t="s">
        <v>109</v>
      </c>
      <c r="F20" s="10">
        <v>1</v>
      </c>
      <c r="G20" s="10">
        <v>0.89</v>
      </c>
      <c r="H20" s="11">
        <f t="shared" ref="H20:H25" si="1">IFERROR(F20*PI()*(G20/2)^2,"--")</f>
        <v>0.62211388522711886</v>
      </c>
      <c r="I20" s="11">
        <v>0.81</v>
      </c>
      <c r="J20" s="15">
        <f>PI()*((G20/2)^2-((G20-0.1)/2)^2)*0.5+(PI()*I20*((G20-0.1)/2)^2)</f>
        <v>0.46300871068422722</v>
      </c>
      <c r="K20" s="11">
        <f t="shared" si="0"/>
        <v>0.46300871068422722</v>
      </c>
      <c r="T20" s="158"/>
      <c r="U20" s="162"/>
      <c r="V20" s="163"/>
      <c r="W20" s="164"/>
      <c r="X20" s="165"/>
      <c r="Y20" s="166"/>
      <c r="Z20" s="167"/>
      <c r="AA20" s="158"/>
    </row>
    <row r="21" spans="2:27" x14ac:dyDescent="0.3">
      <c r="B21" s="30"/>
      <c r="C21" s="31" t="s">
        <v>12</v>
      </c>
      <c r="D21" s="12" t="s">
        <v>12</v>
      </c>
      <c r="E21" s="12" t="s">
        <v>115</v>
      </c>
      <c r="F21" s="12">
        <v>4</v>
      </c>
      <c r="G21" s="12">
        <v>0.63</v>
      </c>
      <c r="H21" s="13">
        <f t="shared" si="1"/>
        <v>1.246898124209789</v>
      </c>
      <c r="I21" s="13">
        <v>0.37</v>
      </c>
      <c r="J21" s="13">
        <f>PI()*((G21/2)^2-((G21-0.1)/2)^2)*0.5+(PI()*I21*((G21-0.1)/2)^2)</f>
        <v>0.12718188079343901</v>
      </c>
      <c r="K21" s="13">
        <f t="shared" si="0"/>
        <v>0.50872752317375602</v>
      </c>
      <c r="M21" s="113" t="s">
        <v>98</v>
      </c>
      <c r="N21" s="113"/>
      <c r="O21" s="113"/>
      <c r="P21" s="113"/>
      <c r="T21" s="158"/>
      <c r="U21" s="162"/>
      <c r="V21" s="163"/>
      <c r="W21" s="164"/>
      <c r="X21" s="165"/>
      <c r="Y21" s="166"/>
      <c r="Z21" s="167"/>
      <c r="AA21" s="158"/>
    </row>
    <row r="22" spans="2:27" x14ac:dyDescent="0.3">
      <c r="B22" s="43"/>
      <c r="C22" s="10"/>
      <c r="D22" s="10"/>
      <c r="E22" s="10"/>
      <c r="F22" s="10"/>
      <c r="G22" s="10"/>
      <c r="H22" s="11"/>
      <c r="I22" s="11"/>
      <c r="J22" s="15"/>
      <c r="K22" s="11"/>
      <c r="M22" s="80" t="s">
        <v>88</v>
      </c>
      <c r="N22" s="4">
        <v>108</v>
      </c>
      <c r="T22" s="158"/>
      <c r="U22" s="162"/>
      <c r="V22" s="163"/>
      <c r="W22" s="164"/>
      <c r="X22" s="165"/>
      <c r="Y22" s="166"/>
      <c r="Z22" s="167"/>
      <c r="AA22" s="158"/>
    </row>
    <row r="23" spans="2:27" x14ac:dyDescent="0.3">
      <c r="B23" s="20" t="s">
        <v>118</v>
      </c>
      <c r="C23" s="12" t="s">
        <v>8</v>
      </c>
      <c r="D23" s="12" t="s">
        <v>119</v>
      </c>
      <c r="E23" s="12" t="s">
        <v>109</v>
      </c>
      <c r="F23" s="12">
        <v>1</v>
      </c>
      <c r="G23" s="12">
        <v>0.89</v>
      </c>
      <c r="H23" s="13">
        <f t="shared" si="1"/>
        <v>0.62211388522711886</v>
      </c>
      <c r="I23" s="13">
        <v>0.81</v>
      </c>
      <c r="J23" s="13">
        <f>PI()*((G23/2)^2-((G23-0.1)/2)^2)*0.5+(PI()*I23*((G23-0.1)/2)^2)</f>
        <v>0.46300871068422722</v>
      </c>
      <c r="K23" s="13">
        <f t="shared" si="0"/>
        <v>0.46300871068422722</v>
      </c>
      <c r="M23" s="5" t="s">
        <v>87</v>
      </c>
      <c r="N23" s="4">
        <v>48.5</v>
      </c>
      <c r="T23" s="158"/>
      <c r="U23" s="165"/>
      <c r="V23" s="165"/>
      <c r="W23" s="168"/>
      <c r="X23" s="165"/>
      <c r="Y23" s="166"/>
      <c r="Z23" s="167"/>
      <c r="AA23" s="158"/>
    </row>
    <row r="24" spans="2:27" x14ac:dyDescent="0.3">
      <c r="B24" s="16"/>
      <c r="C24" s="17" t="s">
        <v>7</v>
      </c>
      <c r="D24" s="18" t="s">
        <v>120</v>
      </c>
      <c r="E24" s="26" t="s">
        <v>108</v>
      </c>
      <c r="F24" s="10">
        <v>16</v>
      </c>
      <c r="G24" s="10">
        <v>0.55000000000000004</v>
      </c>
      <c r="H24" s="11">
        <f t="shared" si="1"/>
        <v>3.8013271108436504</v>
      </c>
      <c r="I24" s="11">
        <v>1</v>
      </c>
      <c r="J24" s="15">
        <f>PI()*((G24/2)^2-((G24-0.1)/2)^2)*0.5+(PI()*I24*((G24-0.1)/2)^2)</f>
        <v>0.19831303625785573</v>
      </c>
      <c r="K24" s="11">
        <f t="shared" si="0"/>
        <v>3.1730085801256918</v>
      </c>
      <c r="M24" s="5" t="s">
        <v>10</v>
      </c>
      <c r="N24" s="4">
        <v>360</v>
      </c>
      <c r="T24" s="158"/>
      <c r="U24" s="169"/>
      <c r="V24" s="170"/>
      <c r="W24" s="171"/>
      <c r="X24" s="170"/>
      <c r="Y24" s="170"/>
      <c r="Z24" s="171"/>
      <c r="AA24" s="158"/>
    </row>
    <row r="25" spans="2:27" x14ac:dyDescent="0.3">
      <c r="B25" s="20"/>
      <c r="C25" s="12" t="s">
        <v>12</v>
      </c>
      <c r="D25" s="12" t="s">
        <v>12</v>
      </c>
      <c r="E25" s="12" t="s">
        <v>115</v>
      </c>
      <c r="F25" s="12">
        <v>4</v>
      </c>
      <c r="G25" s="12">
        <v>0.63</v>
      </c>
      <c r="H25" s="13">
        <f t="shared" si="1"/>
        <v>1.246898124209789</v>
      </c>
      <c r="I25" s="13">
        <v>0.37</v>
      </c>
      <c r="J25" s="13">
        <f>PI()*((G25/2)^2-((G25-0.1)/2)^2)*0.5+(PI()*I25*((G25-0.1)/2)^2)</f>
        <v>0.12718188079343901</v>
      </c>
      <c r="K25" s="13">
        <f t="shared" si="0"/>
        <v>0.50872752317375602</v>
      </c>
      <c r="M25" s="5" t="s">
        <v>11</v>
      </c>
      <c r="N25" s="4">
        <v>1</v>
      </c>
      <c r="T25" s="158"/>
      <c r="U25" s="158"/>
      <c r="V25" s="158"/>
      <c r="W25" s="172"/>
      <c r="X25" s="173"/>
      <c r="Y25" s="174"/>
      <c r="Z25" s="172"/>
      <c r="AA25" s="158"/>
    </row>
    <row r="26" spans="2:27" x14ac:dyDescent="0.3">
      <c r="B26" s="43"/>
      <c r="C26" s="10"/>
      <c r="D26" s="10"/>
      <c r="E26" s="10"/>
      <c r="F26" s="10"/>
      <c r="G26" s="10"/>
      <c r="H26" s="11"/>
      <c r="I26" s="11"/>
      <c r="J26" s="15"/>
      <c r="K26" s="11"/>
      <c r="M26" s="80" t="s">
        <v>90</v>
      </c>
      <c r="N26" s="81">
        <f>SQRT(((PI()*N23^2)-(SUM(K3:K25)/$N24*360/$N25))/PI())</f>
        <v>48.146297666591146</v>
      </c>
    </row>
    <row r="27" spans="2:27" x14ac:dyDescent="0.3">
      <c r="B27" s="20"/>
      <c r="C27" s="12"/>
      <c r="D27" s="12"/>
      <c r="E27" s="12"/>
      <c r="F27" s="12"/>
      <c r="G27" s="12"/>
      <c r="H27" s="13"/>
      <c r="I27" s="13"/>
      <c r="J27" s="13"/>
      <c r="K27" s="13"/>
      <c r="M27" s="80"/>
      <c r="N27" s="81"/>
      <c r="P27" s="80"/>
      <c r="Q27" s="80"/>
      <c r="R27" s="80"/>
    </row>
    <row r="28" spans="2:27" x14ac:dyDescent="0.3">
      <c r="B28" s="16" t="s">
        <v>17</v>
      </c>
      <c r="C28" s="24" t="s">
        <v>7</v>
      </c>
      <c r="D28" s="28" t="s">
        <v>18</v>
      </c>
      <c r="E28" s="26" t="s">
        <v>19</v>
      </c>
      <c r="F28" s="10">
        <v>16</v>
      </c>
      <c r="G28" s="10">
        <v>0.32</v>
      </c>
      <c r="H28" s="11">
        <f>F28*(PI()*(G28/2)^2)*1.15</f>
        <v>1.479815803546936</v>
      </c>
      <c r="I28" s="11">
        <v>3.32</v>
      </c>
      <c r="J28" s="15">
        <f>PI()*((G28/2)^2-((G28-0.1)/2)^2)*0.5+(PI()*I28*((G28-0.1)/2)^2)</f>
        <v>0.14740981049174029</v>
      </c>
      <c r="K28" s="11">
        <f t="shared" si="0"/>
        <v>2.3585569678678446</v>
      </c>
      <c r="M28" s="113" t="s">
        <v>99</v>
      </c>
      <c r="N28" s="113"/>
      <c r="O28" s="113"/>
      <c r="P28" s="113"/>
    </row>
    <row r="29" spans="2:27" x14ac:dyDescent="0.3">
      <c r="B29" s="20"/>
      <c r="C29" s="12" t="s">
        <v>7</v>
      </c>
      <c r="D29" s="12" t="s">
        <v>20</v>
      </c>
      <c r="E29" s="12"/>
      <c r="F29" s="12">
        <v>64</v>
      </c>
      <c r="G29" s="12">
        <v>1.163</v>
      </c>
      <c r="H29" s="13">
        <f>F29*(PI()*(G29/2)^2)*1.15</f>
        <v>78.185663343268587</v>
      </c>
      <c r="I29" s="13">
        <v>3.32</v>
      </c>
      <c r="J29" s="13">
        <f>PI()*((G29/2)^2-((G29-0.3)/2)^2)*0.5+(PI()*I29*((G29-0.3)/2)^2)</f>
        <v>2.1806839816442602</v>
      </c>
      <c r="K29" s="13">
        <f t="shared" si="0"/>
        <v>139.56377482523266</v>
      </c>
      <c r="M29" s="80" t="s">
        <v>88</v>
      </c>
      <c r="N29" s="4">
        <v>126</v>
      </c>
    </row>
    <row r="30" spans="2:27" x14ac:dyDescent="0.3">
      <c r="B30" s="16"/>
      <c r="C30" s="17" t="s">
        <v>12</v>
      </c>
      <c r="D30" s="18" t="s">
        <v>21</v>
      </c>
      <c r="E30" s="26"/>
      <c r="F30" s="10">
        <v>32</v>
      </c>
      <c r="G30" s="10">
        <v>0.4</v>
      </c>
      <c r="H30" s="11">
        <f>F30*(PI()*(G30/2)^2)*1.15</f>
        <v>4.6244243860841756</v>
      </c>
      <c r="I30" s="11">
        <v>0.01</v>
      </c>
      <c r="J30" s="15">
        <f>PI()*((G30/2)^2-((G30-0.1)/2)^2)*0.5+(PI()*I30*((G30-0.1)/2)^2)</f>
        <v>2.8195794065968397E-2</v>
      </c>
      <c r="K30" s="11">
        <f t="shared" si="0"/>
        <v>0.90226541011098871</v>
      </c>
      <c r="M30" s="5" t="s">
        <v>87</v>
      </c>
      <c r="N30" s="4">
        <v>71</v>
      </c>
      <c r="Q30" s="73"/>
    </row>
    <row r="31" spans="2:27" ht="14.25" customHeight="1" x14ac:dyDescent="0.3">
      <c r="B31" s="20"/>
      <c r="C31" s="12" t="s">
        <v>12</v>
      </c>
      <c r="D31" s="12" t="s">
        <v>12</v>
      </c>
      <c r="E31" s="12"/>
      <c r="F31" s="12">
        <f>16*8</f>
        <v>128</v>
      </c>
      <c r="G31" s="12">
        <v>0.625</v>
      </c>
      <c r="H31" s="13">
        <f>F31*(PI()*(G31/2)^2)*1.15</f>
        <v>45.160394395353272</v>
      </c>
      <c r="I31" s="13">
        <v>0.37</v>
      </c>
      <c r="J31" s="13">
        <f>PI()*((G31/2)^2-((G31-0.1)/2)^2)*0.5+(PI()*I31*((G31-0.1)/2)^2)</f>
        <v>0.12525628084632928</v>
      </c>
      <c r="K31" s="13">
        <f t="shared" si="0"/>
        <v>16.032803948330148</v>
      </c>
      <c r="M31" s="5" t="s">
        <v>10</v>
      </c>
      <c r="N31" s="4">
        <v>360</v>
      </c>
      <c r="P31" s="80"/>
      <c r="Q31" s="73"/>
    </row>
    <row r="32" spans="2:27" x14ac:dyDescent="0.3">
      <c r="B32" s="43"/>
      <c r="C32" s="29" t="s">
        <v>8</v>
      </c>
      <c r="D32" s="10" t="s">
        <v>8</v>
      </c>
      <c r="E32" s="10"/>
      <c r="F32" s="10">
        <v>64</v>
      </c>
      <c r="G32" s="10">
        <v>0.3</v>
      </c>
      <c r="H32" s="11">
        <f>1.1*0.4*1.15</f>
        <v>0.50600000000000001</v>
      </c>
      <c r="I32" s="11">
        <v>3.32</v>
      </c>
      <c r="J32" s="15">
        <f>PI()*((G32/2)^2-((G32-0.1)/2)^2)*0.5+(PI()*I32*((G32-0.1)/2)^2)</f>
        <v>0.12393583018411732</v>
      </c>
      <c r="K32" s="11">
        <f t="shared" si="0"/>
        <v>7.9318931317835082</v>
      </c>
      <c r="M32" s="5" t="s">
        <v>11</v>
      </c>
      <c r="N32" s="4">
        <v>1</v>
      </c>
    </row>
    <row r="33" spans="2:18" x14ac:dyDescent="0.3">
      <c r="B33" s="30"/>
      <c r="C33" s="31"/>
      <c r="D33" s="12"/>
      <c r="E33" s="12"/>
      <c r="F33" s="12"/>
      <c r="G33" s="12"/>
      <c r="H33" s="13"/>
      <c r="I33" s="13"/>
      <c r="J33" s="13"/>
      <c r="K33" s="13"/>
      <c r="M33" s="80" t="s">
        <v>90</v>
      </c>
      <c r="N33" s="81">
        <f>SQRT(((PI()*N30^2)-(SUM(K3:K45)/$N31*360/$N32))/PI())</f>
        <v>70.078401271147726</v>
      </c>
    </row>
    <row r="34" spans="2:18" x14ac:dyDescent="0.3">
      <c r="B34" s="43" t="s">
        <v>22</v>
      </c>
      <c r="C34" s="10" t="s">
        <v>7</v>
      </c>
      <c r="D34" s="10" t="s">
        <v>18</v>
      </c>
      <c r="E34" s="10"/>
      <c r="F34" s="10">
        <v>16</v>
      </c>
      <c r="G34" s="10">
        <v>0.32</v>
      </c>
      <c r="H34" s="11">
        <f>F34*(PI()*(G34/2)^2)</f>
        <v>1.2867963509103792</v>
      </c>
      <c r="I34" s="11">
        <v>3.32</v>
      </c>
      <c r="J34" s="15">
        <f>PI()*((G34/2)^2-((G34-0.1)/2)^2)*0.5+(PI()*I34*((G34-0.1)/2)^2)</f>
        <v>0.14740981049174029</v>
      </c>
      <c r="K34" s="11">
        <f t="shared" si="0"/>
        <v>2.3585569678678446</v>
      </c>
      <c r="M34" s="80"/>
      <c r="N34" s="81"/>
      <c r="P34" s="80"/>
      <c r="Q34" s="80"/>
      <c r="R34" s="80"/>
    </row>
    <row r="35" spans="2:18" ht="14.7" customHeight="1" x14ac:dyDescent="0.3">
      <c r="B35" s="20"/>
      <c r="C35" s="12" t="s">
        <v>7</v>
      </c>
      <c r="D35" s="12" t="s">
        <v>20</v>
      </c>
      <c r="E35" s="12"/>
      <c r="F35" s="12">
        <v>32</v>
      </c>
      <c r="G35" s="12">
        <v>0.9</v>
      </c>
      <c r="H35" s="13">
        <f>F35*(PI()*(G35/2)^2)</f>
        <v>20.357520395261862</v>
      </c>
      <c r="I35" s="13">
        <v>3.32</v>
      </c>
      <c r="J35" s="13">
        <f>PI()*((G35/2)^2-((G35-0.3)/2)^2)*0.5+(PI()*I35*((G35-0.3)/2)^2)</f>
        <v>1.1154224716570562</v>
      </c>
      <c r="K35" s="13">
        <f t="shared" si="0"/>
        <v>35.693519093025799</v>
      </c>
      <c r="M35" s="80"/>
      <c r="N35" s="81"/>
      <c r="P35" s="81"/>
      <c r="Q35" s="81"/>
      <c r="R35" s="81"/>
    </row>
    <row r="36" spans="2:18" x14ac:dyDescent="0.3">
      <c r="B36" s="16"/>
      <c r="C36" s="17" t="s">
        <v>12</v>
      </c>
      <c r="D36" s="18" t="s">
        <v>21</v>
      </c>
      <c r="E36" s="26"/>
      <c r="F36" s="10">
        <v>8</v>
      </c>
      <c r="G36" s="10">
        <v>0.4</v>
      </c>
      <c r="H36" s="11">
        <f>F36*(PI()*(G36/2)^2)</f>
        <v>1.0053096491487339</v>
      </c>
      <c r="I36" s="11">
        <v>0.01</v>
      </c>
      <c r="J36" s="15">
        <f>PI()*((G36/2)^2-((G36-0.1)/2)^2)*0.5+(PI()*I36*((G36-0.1)/2)^2)</f>
        <v>2.8195794065968397E-2</v>
      </c>
      <c r="K36" s="11">
        <f t="shared" si="0"/>
        <v>0.22556635252774718</v>
      </c>
    </row>
    <row r="37" spans="2:18" x14ac:dyDescent="0.3">
      <c r="B37" s="20"/>
      <c r="C37" s="12" t="s">
        <v>12</v>
      </c>
      <c r="D37" s="12" t="s">
        <v>12</v>
      </c>
      <c r="E37" s="12"/>
      <c r="F37" s="12">
        <v>16</v>
      </c>
      <c r="G37" s="12">
        <v>0.625</v>
      </c>
      <c r="H37" s="13">
        <f>F37*(PI()*(G37/2)^2)</f>
        <v>4.908738521234052</v>
      </c>
      <c r="I37" s="13">
        <v>0.37</v>
      </c>
      <c r="J37" s="13">
        <f>PI()*((G37/2)^2-((G37-0.1)/2)^2)*0.5+(PI()*I37*((G37-0.1)/2)^2)</f>
        <v>0.12525628084632928</v>
      </c>
      <c r="K37" s="13">
        <f t="shared" si="0"/>
        <v>2.0041004935412685</v>
      </c>
      <c r="M37" s="113" t="s">
        <v>100</v>
      </c>
      <c r="N37" s="113"/>
      <c r="O37" s="113"/>
      <c r="P37" s="113"/>
      <c r="Q37" s="73"/>
    </row>
    <row r="38" spans="2:18" x14ac:dyDescent="0.3">
      <c r="B38" s="43"/>
      <c r="C38" s="10" t="s">
        <v>8</v>
      </c>
      <c r="D38" s="10" t="s">
        <v>8</v>
      </c>
      <c r="E38" s="10" t="s">
        <v>23</v>
      </c>
      <c r="F38" s="10">
        <v>64</v>
      </c>
      <c r="G38" s="10">
        <v>0.6</v>
      </c>
      <c r="H38" s="11">
        <f>2*0.3*F38</f>
        <v>38.4</v>
      </c>
      <c r="I38" s="11">
        <v>3.32</v>
      </c>
      <c r="J38" s="15">
        <f>PI()*((G38/2)^2-((G38-0.3)/2)^2)*0.5+(PI()*I38*((G38-0.3)/2)^2)</f>
        <v>0.34070572328181303</v>
      </c>
      <c r="K38" s="11">
        <f t="shared" si="0"/>
        <v>21.805166290036034</v>
      </c>
      <c r="M38" s="80" t="s">
        <v>88</v>
      </c>
      <c r="N38" s="4">
        <v>185</v>
      </c>
    </row>
    <row r="39" spans="2:18" x14ac:dyDescent="0.3">
      <c r="B39" s="20"/>
      <c r="C39" s="12"/>
      <c r="D39" s="12"/>
      <c r="E39" s="12"/>
      <c r="F39" s="12"/>
      <c r="G39" s="12"/>
      <c r="H39" s="13"/>
      <c r="I39" s="13"/>
      <c r="J39" s="13"/>
      <c r="K39" s="13"/>
      <c r="M39" s="5" t="s">
        <v>87</v>
      </c>
      <c r="N39" s="4">
        <v>71</v>
      </c>
      <c r="Q39" s="73"/>
    </row>
    <row r="40" spans="2:18" x14ac:dyDescent="0.3">
      <c r="B40" s="43"/>
      <c r="C40" s="10" t="s">
        <v>8</v>
      </c>
      <c r="D40" s="10" t="s">
        <v>24</v>
      </c>
      <c r="E40" s="10" t="s">
        <v>24</v>
      </c>
      <c r="F40" s="10">
        <v>32</v>
      </c>
      <c r="G40" s="10">
        <v>0.32</v>
      </c>
      <c r="H40" s="11">
        <f>F40*(PI()*(G40/2)^2)</f>
        <v>2.5735927018207585</v>
      </c>
      <c r="I40" s="11">
        <v>0.81</v>
      </c>
      <c r="J40" s="15">
        <f>PI()*((G40/2)^2-((G40-0.1)/2)^2)*0.5+(PI()*I40*((G40-0.1)/2)^2)</f>
        <v>5.199650000956467E-2</v>
      </c>
      <c r="K40" s="11">
        <f t="shared" si="0"/>
        <v>1.6638880003060694</v>
      </c>
      <c r="M40" s="5" t="s">
        <v>10</v>
      </c>
      <c r="N40" s="4">
        <v>360</v>
      </c>
      <c r="P40" s="80"/>
      <c r="Q40" s="73"/>
    </row>
    <row r="41" spans="2:18" x14ac:dyDescent="0.3">
      <c r="B41" s="106" t="s">
        <v>25</v>
      </c>
      <c r="C41" s="31" t="s">
        <v>7</v>
      </c>
      <c r="D41" s="12" t="s">
        <v>26</v>
      </c>
      <c r="E41" s="12"/>
      <c r="F41" s="12">
        <v>72</v>
      </c>
      <c r="G41" s="12">
        <v>0.63</v>
      </c>
      <c r="H41" s="13">
        <f>F41*(PI()*(G41/2)^2)</f>
        <v>22.444166235776201</v>
      </c>
      <c r="I41" s="13">
        <v>3.32</v>
      </c>
      <c r="J41" s="13">
        <f>PI()*((G41/2)^2-((G41-0.3)/2)^2)*0.5+(PI()*I41*((G41-0.3)/2)^2)</f>
        <v>0.39705647070925321</v>
      </c>
      <c r="K41" s="13">
        <f t="shared" si="0"/>
        <v>28.588065891066229</v>
      </c>
      <c r="M41" s="5" t="s">
        <v>11</v>
      </c>
      <c r="N41" s="4">
        <v>1</v>
      </c>
      <c r="P41" s="80"/>
    </row>
    <row r="42" spans="2:18" x14ac:dyDescent="0.3">
      <c r="B42" s="16" t="s">
        <v>27</v>
      </c>
      <c r="C42" s="17" t="s">
        <v>7</v>
      </c>
      <c r="D42" s="18" t="s">
        <v>28</v>
      </c>
      <c r="E42" s="26"/>
      <c r="F42" s="10">
        <v>72</v>
      </c>
      <c r="G42" s="10">
        <v>0.15</v>
      </c>
      <c r="H42" s="11">
        <f>F42*(PI()*(G42/2)^2)</f>
        <v>1.2723450247038663</v>
      </c>
      <c r="I42" s="11">
        <v>3.32</v>
      </c>
      <c r="J42" s="15">
        <f>PI()*((G42/2)^2-((G42-0.1)/2)^2)*0.5+(PI()*I42*((G42-0.1)/2)^2)</f>
        <v>1.4372786390173302E-2</v>
      </c>
      <c r="K42" s="11">
        <f t="shared" si="0"/>
        <v>1.0348406200924778</v>
      </c>
      <c r="M42" s="80" t="s">
        <v>90</v>
      </c>
      <c r="N42" s="81">
        <f>SQRT(((PI()*N39^2)-(SUM(K3:K45,K55:K60)/$N40*360/$N41))/PI())</f>
        <v>69.727402240582578</v>
      </c>
    </row>
    <row r="43" spans="2:18" x14ac:dyDescent="0.3">
      <c r="B43" s="20"/>
      <c r="C43" s="12" t="s">
        <v>8</v>
      </c>
      <c r="D43" s="12" t="s">
        <v>29</v>
      </c>
      <c r="E43" s="12" t="s">
        <v>30</v>
      </c>
      <c r="F43" s="12">
        <v>144</v>
      </c>
      <c r="G43" s="12">
        <v>0.6</v>
      </c>
      <c r="H43" s="23">
        <f>F43*(PI()*(G43/2)^2)</f>
        <v>40.715040790523723</v>
      </c>
      <c r="I43" s="23">
        <v>0.81</v>
      </c>
      <c r="J43" s="13">
        <f>PI()*((G43/2)^2-((G43-0.1)/2)^2)*0.5+(PI()*I43*((G43-0.1)/2)^2)</f>
        <v>0.20224002707484295</v>
      </c>
      <c r="K43" s="13">
        <f t="shared" si="0"/>
        <v>29.122563898777386</v>
      </c>
      <c r="M43" s="80"/>
      <c r="N43" s="81"/>
      <c r="P43" s="80"/>
      <c r="Q43" s="80"/>
      <c r="R43" s="80"/>
    </row>
    <row r="44" spans="2:18" x14ac:dyDescent="0.3">
      <c r="B44" s="43"/>
      <c r="C44" s="10" t="s">
        <v>12</v>
      </c>
      <c r="D44" s="10" t="s">
        <v>31</v>
      </c>
      <c r="E44" s="10" t="s">
        <v>32</v>
      </c>
      <c r="F44" s="10">
        <v>144</v>
      </c>
      <c r="G44" s="10">
        <v>0.5</v>
      </c>
      <c r="H44" s="11">
        <f>F44*(PI()*(G44/2)^2)</f>
        <v>28.274333882308138</v>
      </c>
      <c r="I44" s="11">
        <v>0.37</v>
      </c>
      <c r="J44" s="15">
        <f>PI()*((G44/2)^2-((G44-0.1)/2)^2)*0.5+(PI()*I44*((G44-0.1)/2)^2)</f>
        <v>8.1838488626014116E-2</v>
      </c>
      <c r="K44" s="11">
        <f t="shared" si="0"/>
        <v>11.784742362146034</v>
      </c>
      <c r="M44" s="80"/>
      <c r="N44" s="81"/>
      <c r="P44" s="81"/>
      <c r="Q44" s="81"/>
      <c r="R44" s="81"/>
    </row>
    <row r="45" spans="2:18" x14ac:dyDescent="0.3">
      <c r="B45" s="106"/>
      <c r="C45" s="27"/>
      <c r="D45" s="12"/>
      <c r="E45" s="12"/>
      <c r="F45" s="12"/>
      <c r="G45" s="12"/>
      <c r="H45" s="23"/>
      <c r="I45" s="23"/>
      <c r="J45" s="23"/>
      <c r="K45" s="13"/>
    </row>
    <row r="46" spans="2:18" x14ac:dyDescent="0.3">
      <c r="B46" s="105"/>
      <c r="C46" s="24"/>
      <c r="D46" s="25"/>
      <c r="E46" s="26"/>
      <c r="F46" s="10"/>
      <c r="G46" s="10"/>
      <c r="H46" s="11"/>
      <c r="I46" s="11"/>
      <c r="J46" s="11"/>
      <c r="K46" s="11"/>
      <c r="M46" s="113" t="s">
        <v>101</v>
      </c>
      <c r="N46" s="113"/>
      <c r="O46" s="113"/>
      <c r="P46" s="113"/>
      <c r="Q46" s="113"/>
      <c r="R46" s="113"/>
    </row>
    <row r="47" spans="2:18" x14ac:dyDescent="0.3">
      <c r="B47" s="107"/>
      <c r="C47" s="31"/>
      <c r="D47" s="12"/>
      <c r="E47" s="12"/>
      <c r="F47" s="12"/>
      <c r="G47" s="12"/>
      <c r="H47" s="13"/>
      <c r="I47" s="13"/>
      <c r="J47" s="13"/>
      <c r="K47" s="13"/>
      <c r="M47" s="80" t="s">
        <v>88</v>
      </c>
      <c r="N47" s="4">
        <v>312</v>
      </c>
    </row>
    <row r="48" spans="2:18" ht="15" thickBot="1" x14ac:dyDescent="0.35">
      <c r="B48" s="127" t="s">
        <v>33</v>
      </c>
      <c r="C48" s="128"/>
      <c r="D48" s="116"/>
      <c r="E48" s="32"/>
      <c r="F48" s="33">
        <f>SUM(F3:F47)</f>
        <v>1372</v>
      </c>
      <c r="G48" s="33"/>
      <c r="H48" s="34">
        <f>SUM(H3:H47)</f>
        <v>888.60226392869765</v>
      </c>
      <c r="I48" s="34"/>
      <c r="J48" s="34"/>
      <c r="K48" s="11"/>
      <c r="M48" s="5" t="s">
        <v>87</v>
      </c>
      <c r="N48" s="4">
        <v>71</v>
      </c>
      <c r="Q48" s="73"/>
    </row>
    <row r="49" spans="2:18" ht="15" thickBot="1" x14ac:dyDescent="0.35">
      <c r="B49" s="129" t="s">
        <v>34</v>
      </c>
      <c r="C49" s="130"/>
      <c r="D49" s="130"/>
      <c r="E49" s="130"/>
      <c r="F49" s="130"/>
      <c r="G49" s="130"/>
      <c r="H49" s="130"/>
      <c r="I49" s="130"/>
      <c r="J49" s="130"/>
      <c r="K49" s="130"/>
      <c r="M49" s="5" t="s">
        <v>10</v>
      </c>
      <c r="N49" s="4">
        <v>360</v>
      </c>
      <c r="P49" s="80"/>
      <c r="Q49" s="73"/>
    </row>
    <row r="50" spans="2:18" x14ac:dyDescent="0.3">
      <c r="B50" s="122" t="s">
        <v>35</v>
      </c>
      <c r="C50" s="123"/>
      <c r="D50" s="124"/>
      <c r="E50" s="35"/>
      <c r="F50" s="36">
        <f>F48</f>
        <v>1372</v>
      </c>
      <c r="G50" s="36"/>
      <c r="H50" s="37">
        <f t="shared" ref="H50:K50" si="2">H48</f>
        <v>888.60226392869765</v>
      </c>
      <c r="I50" s="37"/>
      <c r="J50" s="37">
        <f t="shared" si="2"/>
        <v>0</v>
      </c>
      <c r="K50" s="37">
        <f t="shared" si="2"/>
        <v>0</v>
      </c>
      <c r="M50" s="5" t="s">
        <v>11</v>
      </c>
      <c r="N50" s="4">
        <v>1</v>
      </c>
      <c r="P50" s="80"/>
    </row>
    <row r="51" spans="2:18" x14ac:dyDescent="0.3">
      <c r="B51" s="20"/>
      <c r="C51" s="12"/>
      <c r="D51" s="12"/>
      <c r="E51" s="12"/>
      <c r="F51" s="12"/>
      <c r="G51" s="12"/>
      <c r="H51" s="13"/>
      <c r="I51" s="13"/>
      <c r="J51" s="13"/>
      <c r="K51" s="13"/>
      <c r="M51" s="80" t="s">
        <v>90</v>
      </c>
      <c r="N51" s="81">
        <f>SQRT(((PI()*N48^2)-(SUM(K3:K45,K55:K60,K65:K68)/$N49*360/$N50))/PI())</f>
        <v>69.688077339097248</v>
      </c>
    </row>
    <row r="52" spans="2:18" x14ac:dyDescent="0.3">
      <c r="B52" s="105"/>
      <c r="C52" s="24"/>
      <c r="D52" s="25"/>
      <c r="E52" s="26"/>
      <c r="F52" s="10"/>
      <c r="G52" s="10"/>
      <c r="H52" s="11"/>
      <c r="I52" s="11"/>
      <c r="J52" s="11"/>
      <c r="K52" s="11"/>
      <c r="M52" s="80"/>
      <c r="N52" s="81"/>
      <c r="P52" s="80"/>
      <c r="Q52" s="80"/>
      <c r="R52" s="80"/>
    </row>
    <row r="53" spans="2:18" x14ac:dyDescent="0.3">
      <c r="B53" s="20"/>
      <c r="C53" s="12"/>
      <c r="D53" s="12"/>
      <c r="E53" s="12"/>
      <c r="F53" s="12"/>
      <c r="G53" s="12"/>
      <c r="H53" s="13"/>
      <c r="I53" s="13"/>
      <c r="J53" s="13"/>
      <c r="K53" s="13"/>
      <c r="M53" s="80"/>
      <c r="N53" s="81"/>
      <c r="P53" s="81"/>
      <c r="Q53" s="81"/>
      <c r="R53" s="81"/>
    </row>
    <row r="54" spans="2:18" x14ac:dyDescent="0.3">
      <c r="B54" s="43"/>
      <c r="C54" s="10"/>
      <c r="D54" s="10"/>
      <c r="E54" s="10"/>
      <c r="F54" s="10"/>
      <c r="G54" s="10"/>
      <c r="H54" s="11"/>
      <c r="I54" s="11"/>
      <c r="J54" s="11"/>
      <c r="K54" s="11"/>
    </row>
    <row r="55" spans="2:18" x14ac:dyDescent="0.3">
      <c r="B55" s="20" t="s">
        <v>36</v>
      </c>
      <c r="C55" s="12" t="s">
        <v>7</v>
      </c>
      <c r="D55" s="12" t="s">
        <v>26</v>
      </c>
      <c r="E55" s="12"/>
      <c r="F55" s="12">
        <f>4*68</f>
        <v>272</v>
      </c>
      <c r="G55" s="12">
        <v>0.2</v>
      </c>
      <c r="H55" s="13">
        <f>F55*(PI()*(G55/2)^2)</f>
        <v>8.5451320177642387</v>
      </c>
      <c r="I55" s="13">
        <v>3.32</v>
      </c>
      <c r="J55" s="13">
        <f t="shared" ref="J55:J60" si="3">PI()*((G55/2)^2-((G55-0.1)/2)^2)*0.5+(PI()*I55*((G55-0.1)/2)^2)</f>
        <v>3.7856191475757014E-2</v>
      </c>
      <c r="K55" s="13">
        <f t="shared" ref="K55:K56" si="4">F55*J55</f>
        <v>10.296884081405908</v>
      </c>
      <c r="M55" s="113"/>
      <c r="N55" s="113"/>
      <c r="O55" s="113"/>
      <c r="P55" s="113"/>
      <c r="Q55" s="113"/>
      <c r="R55" s="113"/>
    </row>
    <row r="56" spans="2:18" x14ac:dyDescent="0.3">
      <c r="B56" s="43"/>
      <c r="C56" s="10" t="s">
        <v>7</v>
      </c>
      <c r="D56" s="10" t="s">
        <v>37</v>
      </c>
      <c r="E56" s="10"/>
      <c r="F56" s="10">
        <v>23</v>
      </c>
      <c r="G56" s="10">
        <v>1.6</v>
      </c>
      <c r="H56" s="11">
        <f>F56*(PI()*(G56/2)^2)</f>
        <v>46.244243860841756</v>
      </c>
      <c r="I56" s="11">
        <v>3.32</v>
      </c>
      <c r="J56" s="15">
        <f t="shared" si="3"/>
        <v>5.9886609959055432</v>
      </c>
      <c r="K56" s="11">
        <f t="shared" si="4"/>
        <v>137.73920290582748</v>
      </c>
      <c r="M56" s="80"/>
      <c r="N56" s="4"/>
    </row>
    <row r="57" spans="2:18" x14ac:dyDescent="0.3">
      <c r="B57" s="20"/>
      <c r="C57" s="12" t="s">
        <v>8</v>
      </c>
      <c r="D57" s="12" t="s">
        <v>38</v>
      </c>
      <c r="E57" s="12"/>
      <c r="F57" s="12">
        <f>4*68</f>
        <v>272</v>
      </c>
      <c r="G57" s="12">
        <v>0.2</v>
      </c>
      <c r="H57" s="13">
        <f>F57*(PI()*(G57/2)^2)</f>
        <v>8.5451320177642387</v>
      </c>
      <c r="I57" s="13">
        <v>0.81</v>
      </c>
      <c r="J57" s="13">
        <f t="shared" si="3"/>
        <v>1.8142697574481059E-2</v>
      </c>
      <c r="K57" s="13">
        <f t="shared" ref="K57:K60" si="5">F57*J57</f>
        <v>4.9348137402588481</v>
      </c>
      <c r="M57" s="5"/>
      <c r="N57" s="4"/>
    </row>
    <row r="58" spans="2:18" x14ac:dyDescent="0.3">
      <c r="B58" s="43"/>
      <c r="C58" s="10"/>
      <c r="D58" s="10"/>
      <c r="E58" s="10"/>
      <c r="F58" s="10"/>
      <c r="G58" s="10"/>
      <c r="H58" s="11"/>
      <c r="I58" s="11"/>
      <c r="J58" s="15">
        <f t="shared" si="3"/>
        <v>-3.9269908169872417E-3</v>
      </c>
      <c r="K58" s="11">
        <f t="shared" si="5"/>
        <v>0</v>
      </c>
      <c r="M58" s="5"/>
      <c r="N58" s="4"/>
    </row>
    <row r="59" spans="2:18" ht="14.7" customHeight="1" x14ac:dyDescent="0.3">
      <c r="B59" s="20"/>
      <c r="C59" s="12" t="s">
        <v>12</v>
      </c>
      <c r="D59" s="12" t="s">
        <v>39</v>
      </c>
      <c r="E59" s="12"/>
      <c r="F59" s="12">
        <v>1</v>
      </c>
      <c r="G59" s="12">
        <v>0.63</v>
      </c>
      <c r="H59" s="13">
        <f>F59*(PI()*(G59/2)^2)</f>
        <v>0.31172453105244724</v>
      </c>
      <c r="I59" s="13">
        <v>0.01</v>
      </c>
      <c r="J59" s="13">
        <f t="shared" si="3"/>
        <v>4.7759276918035429E-2</v>
      </c>
      <c r="K59" s="13">
        <f t="shared" si="5"/>
        <v>4.7759276918035429E-2</v>
      </c>
      <c r="M59" s="5"/>
      <c r="N59" s="4"/>
      <c r="P59" s="80"/>
    </row>
    <row r="60" spans="2:18" x14ac:dyDescent="0.3">
      <c r="B60" s="43"/>
      <c r="C60" s="10" t="s">
        <v>12</v>
      </c>
      <c r="D60" s="10" t="s">
        <v>40</v>
      </c>
      <c r="E60" s="10"/>
      <c r="F60" s="10">
        <v>9</v>
      </c>
      <c r="G60" s="10">
        <v>0.63</v>
      </c>
      <c r="H60" s="11">
        <f>F60*(PI()*(G60/2)^2)</f>
        <v>2.8055207794720252</v>
      </c>
      <c r="I60" s="11">
        <v>0.37</v>
      </c>
      <c r="J60" s="15">
        <f t="shared" si="3"/>
        <v>0.12718188079343901</v>
      </c>
      <c r="K60" s="11">
        <f t="shared" si="5"/>
        <v>1.1446369271409511</v>
      </c>
      <c r="M60" s="80"/>
      <c r="N60" s="81"/>
    </row>
    <row r="61" spans="2:18" x14ac:dyDescent="0.3">
      <c r="B61" s="107"/>
      <c r="C61" s="31"/>
      <c r="D61" s="12"/>
      <c r="E61" s="12"/>
      <c r="F61" s="12"/>
      <c r="G61" s="12"/>
      <c r="H61" s="13"/>
      <c r="I61" s="13"/>
      <c r="J61" s="41"/>
      <c r="K61" s="42"/>
      <c r="M61" s="80"/>
      <c r="N61" s="81"/>
      <c r="P61" s="81"/>
      <c r="Q61" s="81"/>
      <c r="R61" s="81"/>
    </row>
    <row r="62" spans="2:18" ht="15" thickBot="1" x14ac:dyDescent="0.35">
      <c r="B62" s="114" t="s">
        <v>33</v>
      </c>
      <c r="C62" s="115"/>
      <c r="D62" s="116"/>
      <c r="E62" s="32"/>
      <c r="F62" s="33">
        <f>SUM(F50:F61)</f>
        <v>1949</v>
      </c>
      <c r="G62" s="33"/>
      <c r="H62" s="34">
        <f>SUM(H50:H61)</f>
        <v>955.05401713559218</v>
      </c>
      <c r="I62" s="34"/>
      <c r="J62" s="34">
        <f>SUM(J50:J61)</f>
        <v>6.215674051850268</v>
      </c>
      <c r="K62" s="34">
        <f>SUM(K50:K61)</f>
        <v>154.16329693155126</v>
      </c>
    </row>
    <row r="63" spans="2:18" ht="15" thickBot="1" x14ac:dyDescent="0.35">
      <c r="B63" s="117" t="s">
        <v>41</v>
      </c>
      <c r="C63" s="118"/>
      <c r="D63" s="118"/>
      <c r="E63" s="118"/>
      <c r="F63" s="118"/>
      <c r="G63" s="118"/>
      <c r="H63" s="118"/>
      <c r="I63" s="118"/>
      <c r="J63" s="118"/>
      <c r="K63" s="118"/>
    </row>
    <row r="64" spans="2:18" x14ac:dyDescent="0.3">
      <c r="B64" s="119" t="s">
        <v>35</v>
      </c>
      <c r="C64" s="120"/>
      <c r="D64" s="121"/>
      <c r="E64" s="26"/>
      <c r="F64" s="10">
        <f>F62</f>
        <v>1949</v>
      </c>
      <c r="G64" s="10">
        <f t="shared" ref="G64:K64" si="6">G62</f>
        <v>0</v>
      </c>
      <c r="H64" s="11">
        <f t="shared" si="6"/>
        <v>955.05401713559218</v>
      </c>
      <c r="I64" s="11"/>
      <c r="J64" s="11">
        <f t="shared" si="6"/>
        <v>6.215674051850268</v>
      </c>
      <c r="K64" s="11">
        <f t="shared" si="6"/>
        <v>154.16329693155126</v>
      </c>
    </row>
    <row r="65" spans="2:18" x14ac:dyDescent="0.3">
      <c r="B65" s="20" t="s">
        <v>42</v>
      </c>
      <c r="C65" s="12" t="s">
        <v>8</v>
      </c>
      <c r="D65" s="12" t="s">
        <v>43</v>
      </c>
      <c r="E65" s="13" t="s">
        <v>30</v>
      </c>
      <c r="F65" s="12">
        <v>252</v>
      </c>
      <c r="G65" s="12">
        <v>0.2</v>
      </c>
      <c r="H65" s="13">
        <f>F65*(PI()*(G65/2)^2)</f>
        <v>7.9168134870462792</v>
      </c>
      <c r="I65" s="13"/>
      <c r="J65" s="13">
        <f>PI()*((G65/2)^2-((G65-0.1)/2)^2)*0.5+(PI()*I65*((G65-0.1)/2)^2)</f>
        <v>1.1780972450961727E-2</v>
      </c>
      <c r="K65" s="13">
        <f t="shared" ref="K65:K66" si="7">F65*J65</f>
        <v>2.968805057642355</v>
      </c>
    </row>
    <row r="66" spans="2:18" x14ac:dyDescent="0.3">
      <c r="B66" s="43" t="s">
        <v>27</v>
      </c>
      <c r="C66" s="10" t="s">
        <v>7</v>
      </c>
      <c r="D66" s="10" t="s">
        <v>44</v>
      </c>
      <c r="E66" s="11"/>
      <c r="F66" s="10">
        <v>12</v>
      </c>
      <c r="G66" s="10">
        <v>1.2</v>
      </c>
      <c r="H66" s="11">
        <f>F66*(PI()*(G66/2)^2)</f>
        <v>13.571680263507908</v>
      </c>
      <c r="I66" s="11"/>
      <c r="J66" s="15">
        <f>PI()*((G66/2)^2-((G66-0.1)/2)^2)*0.5+(PI()*I66*((G66-0.1)/2)^2)</f>
        <v>9.0320788790706638E-2</v>
      </c>
      <c r="K66" s="11">
        <f t="shared" si="7"/>
        <v>1.0838494654884796</v>
      </c>
      <c r="M66" s="113"/>
      <c r="N66" s="113"/>
      <c r="O66" s="113"/>
      <c r="P66" s="113"/>
      <c r="Q66" s="113"/>
      <c r="R66" s="113"/>
    </row>
    <row r="67" spans="2:18" x14ac:dyDescent="0.3">
      <c r="B67" s="20" t="s">
        <v>27</v>
      </c>
      <c r="C67" s="12" t="s">
        <v>8</v>
      </c>
      <c r="D67" s="12" t="s">
        <v>24</v>
      </c>
      <c r="E67" s="13"/>
      <c r="F67" s="12">
        <v>3000</v>
      </c>
      <c r="G67" s="12">
        <v>0.1</v>
      </c>
      <c r="H67" s="13">
        <f>F67*(PI()*(G67/2)^2)</f>
        <v>23.56194490192345</v>
      </c>
      <c r="I67" s="13"/>
      <c r="J67" s="13">
        <f>PI()*((G67/2)^2-((G67-0.1)/2)^2)*0.5+(PI()*I67*((G67-0.1)/2)^2)</f>
        <v>3.9269908169872417E-3</v>
      </c>
      <c r="K67" s="13">
        <f t="shared" ref="K67:K68" si="8">F67*J67</f>
        <v>11.780972450961725</v>
      </c>
      <c r="M67" s="80"/>
      <c r="N67" s="4"/>
    </row>
    <row r="68" spans="2:18" x14ac:dyDescent="0.3">
      <c r="B68" s="43" t="s">
        <v>27</v>
      </c>
      <c r="C68" s="10" t="s">
        <v>12</v>
      </c>
      <c r="D68" s="10" t="s">
        <v>12</v>
      </c>
      <c r="E68" s="11"/>
      <c r="F68" s="10">
        <v>30</v>
      </c>
      <c r="G68" s="10">
        <v>0.64</v>
      </c>
      <c r="H68" s="11">
        <f>F68*(PI()*(G68/2)^2)</f>
        <v>9.6509726318278446</v>
      </c>
      <c r="I68" s="11"/>
      <c r="J68" s="15">
        <f>PI()*((G68/2)^2-((G68-0.1)/2)^2)*0.5+(PI()*I68*((G68-0.1)/2)^2)</f>
        <v>4.6338491640449446E-2</v>
      </c>
      <c r="K68" s="11">
        <f t="shared" si="8"/>
        <v>1.3901547492134834</v>
      </c>
      <c r="M68" s="5"/>
      <c r="N68" s="73"/>
    </row>
    <row r="69" spans="2:18" x14ac:dyDescent="0.3">
      <c r="B69" s="20"/>
      <c r="C69" s="12"/>
      <c r="D69" s="12"/>
      <c r="E69" s="13"/>
      <c r="F69" s="13"/>
      <c r="G69" s="12"/>
      <c r="H69" s="13"/>
      <c r="I69" s="13"/>
      <c r="J69" s="13"/>
      <c r="K69" s="13"/>
    </row>
    <row r="70" spans="2:18" x14ac:dyDescent="0.3">
      <c r="B70" s="43" t="s">
        <v>45</v>
      </c>
      <c r="C70" s="10" t="s">
        <v>7</v>
      </c>
      <c r="D70" s="10" t="s">
        <v>46</v>
      </c>
      <c r="E70" s="11"/>
      <c r="F70" s="10">
        <v>36</v>
      </c>
      <c r="G70" s="10">
        <v>0.7</v>
      </c>
      <c r="H70" s="11">
        <f t="shared" ref="H70:H77" si="9">F70*(PI()*(G70/2)^2)</f>
        <v>13.854423602330986</v>
      </c>
      <c r="I70" s="11"/>
      <c r="J70" s="11">
        <f t="shared" ref="J70:J77" si="10">H70*1.5</f>
        <v>20.78163540349648</v>
      </c>
      <c r="K70" s="11">
        <f t="shared" ref="K70:K77" si="11">J70*1.5</f>
        <v>31.17245310524472</v>
      </c>
    </row>
    <row r="71" spans="2:18" x14ac:dyDescent="0.3">
      <c r="B71" s="20"/>
      <c r="C71" s="12" t="s">
        <v>7</v>
      </c>
      <c r="D71" s="12" t="s">
        <v>47</v>
      </c>
      <c r="E71" s="13"/>
      <c r="F71" s="13">
        <v>288</v>
      </c>
      <c r="G71" s="12">
        <v>0.6</v>
      </c>
      <c r="H71" s="13">
        <f t="shared" si="9"/>
        <v>81.430081581047446</v>
      </c>
      <c r="I71" s="13"/>
      <c r="J71" s="13">
        <f t="shared" si="10"/>
        <v>122.14512237157118</v>
      </c>
      <c r="K71" s="13">
        <f t="shared" si="11"/>
        <v>183.21768355735676</v>
      </c>
    </row>
    <row r="72" spans="2:18" x14ac:dyDescent="0.3">
      <c r="B72" s="43"/>
      <c r="C72" s="10" t="s">
        <v>8</v>
      </c>
      <c r="D72" s="10" t="s">
        <v>48</v>
      </c>
      <c r="E72" s="11"/>
      <c r="F72" s="11">
        <v>36</v>
      </c>
      <c r="G72" s="10">
        <v>0.2</v>
      </c>
      <c r="H72" s="11">
        <f t="shared" si="9"/>
        <v>1.1309733552923256</v>
      </c>
      <c r="I72" s="11"/>
      <c r="J72" s="11">
        <f t="shared" si="10"/>
        <v>1.6964600329384885</v>
      </c>
      <c r="K72" s="11">
        <f t="shared" si="11"/>
        <v>2.5446900494077327</v>
      </c>
    </row>
    <row r="73" spans="2:18" x14ac:dyDescent="0.3">
      <c r="B73" s="20"/>
      <c r="C73" s="12" t="s">
        <v>8</v>
      </c>
      <c r="D73" s="12" t="s">
        <v>29</v>
      </c>
      <c r="E73" s="13"/>
      <c r="F73" s="13">
        <v>36</v>
      </c>
      <c r="G73" s="12">
        <v>0.2</v>
      </c>
      <c r="H73" s="13">
        <f t="shared" si="9"/>
        <v>1.1309733552923256</v>
      </c>
      <c r="I73" s="13"/>
      <c r="J73" s="13">
        <f t="shared" si="10"/>
        <v>1.6964600329384885</v>
      </c>
      <c r="K73" s="13">
        <f t="shared" si="11"/>
        <v>2.5446900494077327</v>
      </c>
    </row>
    <row r="74" spans="2:18" x14ac:dyDescent="0.3">
      <c r="B74" s="43"/>
      <c r="C74" s="10" t="s">
        <v>7</v>
      </c>
      <c r="D74" s="10" t="s">
        <v>49</v>
      </c>
      <c r="E74" s="11"/>
      <c r="F74" s="11">
        <v>24</v>
      </c>
      <c r="G74" s="10">
        <v>0.6</v>
      </c>
      <c r="H74" s="11">
        <f t="shared" si="9"/>
        <v>6.7858401317539538</v>
      </c>
      <c r="I74" s="11"/>
      <c r="J74" s="11">
        <f t="shared" si="10"/>
        <v>10.178760197630931</v>
      </c>
      <c r="K74" s="11">
        <f t="shared" si="11"/>
        <v>15.268140296446397</v>
      </c>
    </row>
    <row r="75" spans="2:18" x14ac:dyDescent="0.3">
      <c r="B75" s="20"/>
      <c r="C75" s="12" t="s">
        <v>8</v>
      </c>
      <c r="D75" s="12" t="s">
        <v>48</v>
      </c>
      <c r="E75" s="13"/>
      <c r="F75" s="13">
        <v>24</v>
      </c>
      <c r="G75" s="12">
        <v>0.6</v>
      </c>
      <c r="H75" s="13">
        <f t="shared" si="9"/>
        <v>6.7858401317539538</v>
      </c>
      <c r="I75" s="13"/>
      <c r="J75" s="13">
        <f t="shared" si="10"/>
        <v>10.178760197630931</v>
      </c>
      <c r="K75" s="13">
        <f t="shared" si="11"/>
        <v>15.268140296446397</v>
      </c>
    </row>
    <row r="76" spans="2:18" x14ac:dyDescent="0.3">
      <c r="B76" s="105"/>
      <c r="C76" s="24" t="s">
        <v>12</v>
      </c>
      <c r="D76" s="25" t="s">
        <v>13</v>
      </c>
      <c r="E76" s="11"/>
      <c r="F76" s="26">
        <v>12</v>
      </c>
      <c r="G76" s="10">
        <v>1.2</v>
      </c>
      <c r="H76" s="11">
        <f t="shared" si="9"/>
        <v>13.571680263507908</v>
      </c>
      <c r="I76" s="11"/>
      <c r="J76" s="10">
        <f t="shared" si="10"/>
        <v>20.357520395261862</v>
      </c>
      <c r="K76" s="11">
        <f t="shared" si="11"/>
        <v>30.536280592892794</v>
      </c>
    </row>
    <row r="77" spans="2:18" x14ac:dyDescent="0.3">
      <c r="B77" s="20" t="s">
        <v>27</v>
      </c>
      <c r="C77" s="12" t="s">
        <v>12</v>
      </c>
      <c r="D77" s="12" t="s">
        <v>50</v>
      </c>
      <c r="E77" s="13"/>
      <c r="F77" s="12">
        <v>12</v>
      </c>
      <c r="G77" s="12">
        <v>0.63</v>
      </c>
      <c r="H77" s="13">
        <f t="shared" si="9"/>
        <v>3.7406943726293669</v>
      </c>
      <c r="I77" s="13"/>
      <c r="J77" s="12">
        <f t="shared" si="10"/>
        <v>5.6110415589440503</v>
      </c>
      <c r="K77" s="13">
        <f t="shared" si="11"/>
        <v>8.4165623384160746</v>
      </c>
      <c r="N77" s="132"/>
      <c r="O77" s="132"/>
      <c r="P77" s="132"/>
    </row>
    <row r="78" spans="2:18" x14ac:dyDescent="0.3">
      <c r="B78" s="43"/>
      <c r="C78" s="24"/>
      <c r="D78" s="25"/>
      <c r="E78" s="26"/>
      <c r="F78" s="10"/>
      <c r="G78" s="10"/>
      <c r="H78" s="11"/>
      <c r="I78" s="11"/>
      <c r="J78" s="11"/>
      <c r="K78" s="11"/>
    </row>
    <row r="79" spans="2:18" x14ac:dyDescent="0.3">
      <c r="B79" s="20"/>
      <c r="C79" s="12"/>
      <c r="D79" s="12"/>
      <c r="E79" s="13"/>
      <c r="F79" s="12"/>
      <c r="G79" s="12"/>
      <c r="H79" s="13"/>
      <c r="I79" s="13"/>
      <c r="J79" s="13"/>
      <c r="K79" s="13"/>
    </row>
    <row r="80" spans="2:18" x14ac:dyDescent="0.3">
      <c r="B80" s="43" t="s">
        <v>51</v>
      </c>
      <c r="C80" s="10" t="s">
        <v>52</v>
      </c>
      <c r="D80" s="10" t="s">
        <v>53</v>
      </c>
      <c r="E80" s="44" t="s">
        <v>54</v>
      </c>
      <c r="F80" s="11">
        <v>288</v>
      </c>
      <c r="G80" s="10">
        <v>0.1</v>
      </c>
      <c r="H80" s="11">
        <f>F80*(PI()*(G80/2)^2)</f>
        <v>2.2619467105846511</v>
      </c>
      <c r="I80" s="11"/>
      <c r="J80" s="11">
        <f>H80*1.5</f>
        <v>3.3929200658769769</v>
      </c>
      <c r="K80" s="11">
        <f>J80*1.5</f>
        <v>5.0893800988154654</v>
      </c>
    </row>
    <row r="81" spans="2:17" ht="14.7" customHeight="1" x14ac:dyDescent="0.3">
      <c r="B81" s="20"/>
      <c r="C81" s="12" t="s">
        <v>8</v>
      </c>
      <c r="D81" s="12" t="s">
        <v>55</v>
      </c>
      <c r="E81" s="45" t="s">
        <v>56</v>
      </c>
      <c r="F81" s="13">
        <v>192</v>
      </c>
      <c r="G81" s="12">
        <v>0.2</v>
      </c>
      <c r="H81" s="13">
        <f>F81*(PI()*(G81/2)^2)</f>
        <v>6.0318578948924033</v>
      </c>
      <c r="I81" s="13"/>
      <c r="J81" s="13">
        <f>H81*1.5</f>
        <v>9.0477868423386045</v>
      </c>
      <c r="K81" s="13">
        <f>J81*1.5</f>
        <v>13.571680263507908</v>
      </c>
    </row>
    <row r="82" spans="2:17" x14ac:dyDescent="0.3">
      <c r="B82" s="43"/>
      <c r="C82" s="24" t="s">
        <v>12</v>
      </c>
      <c r="D82" s="25" t="s">
        <v>55</v>
      </c>
      <c r="E82" s="26"/>
      <c r="F82" s="10">
        <v>96</v>
      </c>
      <c r="G82" s="10">
        <v>0.63</v>
      </c>
      <c r="H82" s="11">
        <f>F82*(PI()*(G82/2)^2)</f>
        <v>29.925554981034935</v>
      </c>
      <c r="I82" s="11"/>
      <c r="J82" s="11">
        <f t="shared" ref="J82" si="12">H82*1.5</f>
        <v>44.888332471552403</v>
      </c>
      <c r="K82" s="11">
        <f>J82*1.5</f>
        <v>67.332498707328597</v>
      </c>
      <c r="N82" s="4"/>
    </row>
    <row r="83" spans="2:17" x14ac:dyDescent="0.3">
      <c r="B83" s="20"/>
      <c r="C83" s="12" t="s">
        <v>12</v>
      </c>
      <c r="D83" s="12" t="s">
        <v>57</v>
      </c>
      <c r="E83" s="13"/>
      <c r="F83" s="12"/>
      <c r="G83" s="12"/>
      <c r="H83" s="13"/>
      <c r="I83" s="13"/>
      <c r="J83" s="13"/>
      <c r="K83" s="13"/>
      <c r="N83" s="4"/>
    </row>
    <row r="84" spans="2:17" x14ac:dyDescent="0.3">
      <c r="B84" s="43"/>
      <c r="C84" s="10"/>
      <c r="D84" s="10"/>
      <c r="E84" s="11"/>
      <c r="F84" s="11"/>
      <c r="G84" s="10"/>
      <c r="H84" s="11"/>
      <c r="I84" s="11"/>
      <c r="J84" s="11"/>
      <c r="K84" s="11"/>
      <c r="N84" s="4"/>
    </row>
    <row r="85" spans="2:17" x14ac:dyDescent="0.3">
      <c r="B85" s="20" t="s">
        <v>58</v>
      </c>
      <c r="C85" s="12" t="s">
        <v>7</v>
      </c>
      <c r="D85" s="12" t="s">
        <v>26</v>
      </c>
      <c r="E85" s="13" t="s">
        <v>59</v>
      </c>
      <c r="F85" s="12">
        <v>12</v>
      </c>
      <c r="G85" s="12">
        <v>0.67</v>
      </c>
      <c r="H85" s="13">
        <f>F85*(PI()*(G85/2)^2)</f>
        <v>4.2307828265893752</v>
      </c>
      <c r="I85" s="13"/>
      <c r="J85" s="13">
        <f>H85*1.5</f>
        <v>6.3461742398840624</v>
      </c>
      <c r="K85" s="13">
        <f>J85*1.5</f>
        <v>9.5192613598260927</v>
      </c>
      <c r="N85" s="4"/>
    </row>
    <row r="86" spans="2:17" x14ac:dyDescent="0.3">
      <c r="B86" s="105"/>
      <c r="C86" s="24" t="s">
        <v>7</v>
      </c>
      <c r="D86" s="25" t="s">
        <v>60</v>
      </c>
      <c r="E86" s="26"/>
      <c r="F86" s="10"/>
      <c r="G86" s="10"/>
      <c r="H86" s="11"/>
      <c r="I86" s="11"/>
      <c r="J86" s="11"/>
      <c r="K86" s="11"/>
      <c r="N86" s="4"/>
    </row>
    <row r="87" spans="2:17" x14ac:dyDescent="0.3">
      <c r="B87" s="20"/>
      <c r="C87" s="12" t="s">
        <v>8</v>
      </c>
      <c r="D87" s="12" t="s">
        <v>61</v>
      </c>
      <c r="E87" s="12"/>
      <c r="F87" s="12">
        <f>60*12</f>
        <v>720</v>
      </c>
      <c r="G87" s="12">
        <v>0.3</v>
      </c>
      <c r="H87" s="13">
        <f>F87*(PI()*(G87/2)^2)</f>
        <v>50.893800988154652</v>
      </c>
      <c r="I87" s="13"/>
      <c r="J87" s="13">
        <f>H87*1.5</f>
        <v>76.340701482231978</v>
      </c>
      <c r="K87" s="13">
        <f>J87*1.5</f>
        <v>114.51105222334797</v>
      </c>
      <c r="N87" s="4"/>
    </row>
    <row r="88" spans="2:17" x14ac:dyDescent="0.3">
      <c r="B88" s="43"/>
      <c r="C88" s="10" t="s">
        <v>8</v>
      </c>
      <c r="D88" s="10" t="s">
        <v>62</v>
      </c>
      <c r="E88" s="10"/>
      <c r="F88" s="10">
        <v>600</v>
      </c>
      <c r="G88" s="11">
        <v>0.15</v>
      </c>
      <c r="H88" s="11">
        <f>F88*(PI()*(G88/2)^2)</f>
        <v>10.602875205865551</v>
      </c>
      <c r="I88" s="11"/>
      <c r="J88" s="11">
        <f>H88*1.5</f>
        <v>15.904312808798327</v>
      </c>
      <c r="K88" s="11">
        <f>J88*1.5</f>
        <v>23.856469213197492</v>
      </c>
      <c r="N88" s="4"/>
    </row>
    <row r="89" spans="2:17" x14ac:dyDescent="0.3">
      <c r="B89" s="106"/>
      <c r="C89" s="27"/>
      <c r="D89" s="12"/>
      <c r="E89" s="12"/>
      <c r="F89" s="12"/>
      <c r="G89" s="12"/>
      <c r="H89" s="13"/>
      <c r="I89" s="13"/>
      <c r="J89" s="13"/>
      <c r="K89" s="13"/>
      <c r="N89" s="4"/>
    </row>
    <row r="90" spans="2:17" x14ac:dyDescent="0.3">
      <c r="B90" s="105"/>
      <c r="C90" s="24"/>
      <c r="D90" s="25"/>
      <c r="E90" s="26"/>
      <c r="F90" s="10"/>
      <c r="G90" s="10"/>
      <c r="H90" s="11"/>
      <c r="I90" s="11"/>
      <c r="J90" s="11"/>
      <c r="K90" s="11"/>
      <c r="N90" s="4"/>
    </row>
    <row r="91" spans="2:17" x14ac:dyDescent="0.3">
      <c r="B91" s="107"/>
      <c r="C91" s="31"/>
      <c r="D91" s="12"/>
      <c r="E91" s="12"/>
      <c r="F91" s="12"/>
      <c r="G91" s="12"/>
      <c r="H91" s="13"/>
      <c r="I91" s="13"/>
      <c r="J91" s="13"/>
      <c r="K91" s="39"/>
      <c r="N91" s="4"/>
    </row>
    <row r="92" spans="2:17" x14ac:dyDescent="0.3">
      <c r="B92" s="105"/>
      <c r="C92" s="24"/>
      <c r="D92" s="25"/>
      <c r="E92" s="26"/>
      <c r="F92" s="10"/>
      <c r="G92" s="10"/>
      <c r="H92" s="11"/>
      <c r="I92" s="11"/>
      <c r="J92" s="11"/>
      <c r="K92" s="40"/>
      <c r="N92" s="4"/>
    </row>
    <row r="93" spans="2:17" x14ac:dyDescent="0.3">
      <c r="B93" s="107"/>
      <c r="C93" s="31"/>
      <c r="D93" s="12"/>
      <c r="E93" s="12"/>
      <c r="F93" s="12"/>
      <c r="G93" s="12"/>
      <c r="H93" s="13"/>
      <c r="I93" s="13"/>
      <c r="J93" s="13"/>
      <c r="K93" s="39"/>
      <c r="N93" s="4"/>
    </row>
    <row r="94" spans="2:17" ht="15" thickBot="1" x14ac:dyDescent="0.35">
      <c r="B94" s="142" t="s">
        <v>33</v>
      </c>
      <c r="C94" s="143"/>
      <c r="D94" s="144"/>
      <c r="E94" s="46"/>
      <c r="F94" s="29">
        <f>SUM(F62:F93)</f>
        <v>9568</v>
      </c>
      <c r="G94" s="29"/>
      <c r="H94" s="38">
        <f>SUM(H62:H93)</f>
        <v>2197.1867709562189</v>
      </c>
      <c r="I94" s="38"/>
      <c r="J94" s="38">
        <f>SUM(J62:J93)</f>
        <v>361.14970344849445</v>
      </c>
      <c r="K94" s="38">
        <f>SUM(K62:K93)</f>
        <v>848.39935773805053</v>
      </c>
      <c r="N94" s="4"/>
    </row>
    <row r="95" spans="2:17" ht="15" thickBot="1" x14ac:dyDescent="0.35">
      <c r="B95" s="145" t="s">
        <v>63</v>
      </c>
      <c r="C95" s="146"/>
      <c r="D95" s="146"/>
      <c r="E95" s="146"/>
      <c r="F95" s="146"/>
      <c r="G95" s="146"/>
      <c r="H95" s="146"/>
      <c r="I95" s="146"/>
      <c r="J95" s="146"/>
      <c r="K95" s="146"/>
      <c r="N95" s="4"/>
    </row>
    <row r="96" spans="2:17" x14ac:dyDescent="0.3">
      <c r="B96" s="47" t="s">
        <v>105</v>
      </c>
      <c r="C96" s="48" t="s">
        <v>7</v>
      </c>
      <c r="D96" s="49" t="s">
        <v>107</v>
      </c>
      <c r="E96" s="49" t="s">
        <v>108</v>
      </c>
      <c r="F96" s="49">
        <v>16</v>
      </c>
      <c r="G96" s="49">
        <v>0.9</v>
      </c>
      <c r="H96" s="50">
        <f>IFERROR(F96*PI()*(G96/2)^2,"--")</f>
        <v>10.178760197630931</v>
      </c>
      <c r="I96" s="50">
        <v>1</v>
      </c>
      <c r="J96" s="50">
        <f>PI()*((G96/2)^2-((G96-0.1)/2)^2)*0.5+(PI()*I96*((G96-0.1)/2)^2)</f>
        <v>0.56941366846315</v>
      </c>
      <c r="K96" s="50">
        <f>F96*J96</f>
        <v>9.1106186954104</v>
      </c>
      <c r="M96" s="113" t="s">
        <v>86</v>
      </c>
      <c r="N96" s="113"/>
      <c r="O96" s="113"/>
      <c r="P96" s="113"/>
      <c r="Q96"/>
    </row>
    <row r="97" spans="2:54" x14ac:dyDescent="0.3">
      <c r="B97" s="55"/>
      <c r="C97" s="51" t="s">
        <v>8</v>
      </c>
      <c r="D97" s="52" t="s">
        <v>16</v>
      </c>
      <c r="E97" s="52" t="s">
        <v>109</v>
      </c>
      <c r="F97" s="52">
        <v>4</v>
      </c>
      <c r="G97" s="52">
        <v>0.89</v>
      </c>
      <c r="H97" s="53">
        <f>IFERROR(F97*PI()*(G97/2)^2,"--")</f>
        <v>2.4884555409084754</v>
      </c>
      <c r="I97" s="53">
        <v>0.81</v>
      </c>
      <c r="J97" s="53">
        <f>PI()*((G97/2)^2-((G97-0.1)/2)^2)*0.5+(PI()*I97*((G97-0.1)/2)^2)</f>
        <v>0.46300871068422722</v>
      </c>
      <c r="K97" s="53">
        <f>F97*J97</f>
        <v>1.8520348427369089</v>
      </c>
      <c r="M97" s="80" t="s">
        <v>88</v>
      </c>
      <c r="N97" s="4">
        <v>-26</v>
      </c>
    </row>
    <row r="98" spans="2:54" x14ac:dyDescent="0.3">
      <c r="B98" s="47"/>
      <c r="C98" s="54" t="s">
        <v>12</v>
      </c>
      <c r="D98" s="49" t="s">
        <v>14</v>
      </c>
      <c r="E98" s="49" t="s">
        <v>110</v>
      </c>
      <c r="F98" s="49">
        <v>2</v>
      </c>
      <c r="G98" s="49">
        <v>2.54</v>
      </c>
      <c r="H98" s="50">
        <f>IFERROR(F98*PI()*(G98/2)^2,"--")</f>
        <v>10.134149581949954</v>
      </c>
      <c r="I98" s="50">
        <v>0.01</v>
      </c>
      <c r="J98" s="50">
        <f>PI()*((G98/2)^2-((G98-0.1)/2)^2)*0.5+(PI()*I98*((G98-0.1)/2)^2)</f>
        <v>0.24232360774199518</v>
      </c>
      <c r="K98" s="50">
        <f>F98*J98</f>
        <v>0.48464721548399037</v>
      </c>
      <c r="M98" s="5" t="s">
        <v>87</v>
      </c>
      <c r="N98" s="4">
        <v>26</v>
      </c>
    </row>
    <row r="99" spans="2:54" x14ac:dyDescent="0.3">
      <c r="B99" s="55"/>
      <c r="C99" s="51" t="s">
        <v>12</v>
      </c>
      <c r="D99" s="52" t="s">
        <v>111</v>
      </c>
      <c r="E99" s="52" t="s">
        <v>110</v>
      </c>
      <c r="F99" s="52">
        <v>4</v>
      </c>
      <c r="G99" s="52">
        <v>2.54</v>
      </c>
      <c r="H99" s="53">
        <v>40.54</v>
      </c>
      <c r="I99" s="53">
        <v>0.01</v>
      </c>
      <c r="J99" s="53">
        <f>PI()*((G99/2)^2-((G99-0.1)/2)^2)*0.5+(PI()*I99*((G99-0.1)/2)^2)</f>
        <v>0.24232360774199518</v>
      </c>
      <c r="K99" s="53">
        <f t="shared" ref="K99:K142" si="13">F99*J99</f>
        <v>0.96929443096798074</v>
      </c>
      <c r="M99" s="5"/>
      <c r="N99" s="4"/>
    </row>
    <row r="100" spans="2:54" x14ac:dyDescent="0.3">
      <c r="B100" s="47"/>
      <c r="C100" s="54"/>
      <c r="D100" s="49"/>
      <c r="E100" s="49"/>
      <c r="F100" s="49"/>
      <c r="G100" s="49"/>
      <c r="H100" s="50"/>
      <c r="I100" s="50"/>
      <c r="J100" s="50"/>
      <c r="K100" s="50"/>
      <c r="M100" s="5"/>
      <c r="N100" s="4"/>
    </row>
    <row r="101" spans="2:54" x14ac:dyDescent="0.3">
      <c r="B101" s="55" t="s">
        <v>112</v>
      </c>
      <c r="C101" s="51" t="s">
        <v>7</v>
      </c>
      <c r="D101" s="52" t="s">
        <v>107</v>
      </c>
      <c r="E101" s="52" t="s">
        <v>108</v>
      </c>
      <c r="F101" s="52">
        <f>186/2</f>
        <v>93</v>
      </c>
      <c r="G101" s="52">
        <v>0.55000000000000004</v>
      </c>
      <c r="H101" s="53">
        <f>IFERROR(F101*PI()*(G101/2)^2,"--")</f>
        <v>22.095213831778715</v>
      </c>
      <c r="I101" s="53">
        <v>1</v>
      </c>
      <c r="J101" s="53">
        <f>PI()*((G101/2)^2-((G101-0.1)/2)^2)*0.5+(PI()*I101*((G101-0.1)/2)^2)</f>
        <v>0.19831303625785573</v>
      </c>
      <c r="K101" s="53">
        <f t="shared" si="13"/>
        <v>18.443112371980583</v>
      </c>
      <c r="M101" s="80" t="s">
        <v>130</v>
      </c>
      <c r="N101" s="81">
        <f>SQRT(((PI()*N98^2)-K82)/PI())</f>
        <v>25.584514847852791</v>
      </c>
    </row>
    <row r="102" spans="2:54" x14ac:dyDescent="0.3">
      <c r="B102" s="47"/>
      <c r="C102" s="54" t="s">
        <v>8</v>
      </c>
      <c r="D102" s="49" t="s">
        <v>16</v>
      </c>
      <c r="E102" s="49" t="s">
        <v>109</v>
      </c>
      <c r="F102" s="49">
        <v>6</v>
      </c>
      <c r="G102" s="49">
        <v>0.89</v>
      </c>
      <c r="H102" s="50">
        <f>IFERROR(F102*PI()*(G102/2)^2,"--")</f>
        <v>3.7326833113627127</v>
      </c>
      <c r="I102" s="50">
        <v>0.81</v>
      </c>
      <c r="J102" s="50">
        <f>PI()*((G102/2)^2-((G102-0.1)/2)^2)*0.5+(PI()*I102*((G102-0.1)/2)^2)</f>
        <v>0.46300871068422722</v>
      </c>
      <c r="K102" s="50">
        <f t="shared" si="13"/>
        <v>2.7780522641053631</v>
      </c>
      <c r="M102" s="80"/>
      <c r="N102" s="81"/>
      <c r="P102" s="80"/>
      <c r="Q102" s="80"/>
      <c r="R102" s="80"/>
    </row>
    <row r="103" spans="2:54" x14ac:dyDescent="0.3">
      <c r="B103" s="55"/>
      <c r="C103" s="51" t="s">
        <v>12</v>
      </c>
      <c r="D103" s="52" t="s">
        <v>14</v>
      </c>
      <c r="E103" s="52" t="s">
        <v>110</v>
      </c>
      <c r="F103" s="52">
        <v>8</v>
      </c>
      <c r="G103" s="52">
        <v>2.54</v>
      </c>
      <c r="H103" s="53">
        <f>IFERROR(F103*PI()*(G103/2)^2,"--")</f>
        <v>40.536598327799815</v>
      </c>
      <c r="I103" s="53">
        <v>0.01</v>
      </c>
      <c r="J103" s="53">
        <f>PI()*((G103/2)^2-((G103-0.1)/2)^2)*0.5+(PI()*I103*((G103-0.1)/2)^2)</f>
        <v>0.24232360774199518</v>
      </c>
      <c r="K103" s="53">
        <f t="shared" si="13"/>
        <v>1.9385888619359615</v>
      </c>
      <c r="M103" s="80"/>
      <c r="N103" s="81"/>
      <c r="P103" s="81"/>
      <c r="Q103" s="81"/>
      <c r="R103" s="81"/>
    </row>
    <row r="104" spans="2:54" x14ac:dyDescent="0.3">
      <c r="B104" s="47"/>
      <c r="C104" s="54" t="s">
        <v>12</v>
      </c>
      <c r="D104" s="49" t="s">
        <v>111</v>
      </c>
      <c r="E104" s="49" t="s">
        <v>110</v>
      </c>
      <c r="F104" s="49">
        <v>16</v>
      </c>
      <c r="G104" s="49">
        <v>2.54</v>
      </c>
      <c r="H104" s="50">
        <f>4*H103</f>
        <v>162.14639331119926</v>
      </c>
      <c r="I104" s="50">
        <v>0.01</v>
      </c>
      <c r="J104" s="50">
        <f>PI()*((G104/2)^2-((G104-0.1)/2)^2)*0.5+(PI()*I104*((G104-0.1)/2)^2)</f>
        <v>0.24232360774199518</v>
      </c>
      <c r="K104" s="50">
        <f t="shared" si="13"/>
        <v>3.8771777238719229</v>
      </c>
    </row>
    <row r="105" spans="2:54" x14ac:dyDescent="0.3">
      <c r="B105" s="55"/>
      <c r="C105" s="51"/>
      <c r="D105" s="52"/>
      <c r="E105" s="52"/>
      <c r="F105" s="52"/>
      <c r="G105" s="52"/>
      <c r="H105" s="53"/>
      <c r="I105" s="53"/>
      <c r="J105" s="53"/>
      <c r="K105" s="53"/>
      <c r="M105" s="113" t="s">
        <v>89</v>
      </c>
      <c r="N105" s="113"/>
      <c r="O105" s="175"/>
      <c r="P105" s="175"/>
    </row>
    <row r="106" spans="2:54" x14ac:dyDescent="0.3">
      <c r="B106" s="47" t="s">
        <v>104</v>
      </c>
      <c r="C106" s="54" t="s">
        <v>7</v>
      </c>
      <c r="D106" s="49" t="s">
        <v>107</v>
      </c>
      <c r="E106" s="49" t="s">
        <v>108</v>
      </c>
      <c r="F106" s="49">
        <f>370/2</f>
        <v>185</v>
      </c>
      <c r="G106" s="49">
        <v>0.55000000000000004</v>
      </c>
      <c r="H106" s="50">
        <f>IFERROR(F106*PI()*(G106/2)^2,"--")</f>
        <v>43.9528447191297</v>
      </c>
      <c r="I106" s="50">
        <v>1</v>
      </c>
      <c r="J106" s="50">
        <f>PI()*((G106/2)^2-((G106-0.1)/2)^2)*0.5+(PI()*I106*((G106-0.1)/2)^2)</f>
        <v>0.19831303625785573</v>
      </c>
      <c r="K106" s="50">
        <f t="shared" si="13"/>
        <v>36.687911707703314</v>
      </c>
      <c r="M106" s="80" t="s">
        <v>88</v>
      </c>
      <c r="N106" s="4">
        <v>-45</v>
      </c>
    </row>
    <row r="107" spans="2:54" ht="15" thickBot="1" x14ac:dyDescent="0.35">
      <c r="B107" s="55"/>
      <c r="C107" s="51" t="s">
        <v>8</v>
      </c>
      <c r="D107" s="52" t="s">
        <v>16</v>
      </c>
      <c r="E107" s="52" t="s">
        <v>109</v>
      </c>
      <c r="F107" s="52">
        <v>12</v>
      </c>
      <c r="G107" s="52">
        <v>0.89</v>
      </c>
      <c r="H107" s="53">
        <f>IFERROR(F107*PI()*(G107/2)^2,"--")</f>
        <v>7.4653666227254254</v>
      </c>
      <c r="I107" s="53">
        <v>0.81</v>
      </c>
      <c r="J107" s="53">
        <f>PI()*((G107/2)^2-((G107-0.1)/2)^2)*0.5+(PI()*I107*((G107-0.1)/2)^2)</f>
        <v>0.46300871068422722</v>
      </c>
      <c r="K107" s="53">
        <f t="shared" si="13"/>
        <v>5.5561045282107262</v>
      </c>
      <c r="M107" s="5" t="s">
        <v>87</v>
      </c>
      <c r="N107" s="4">
        <v>48.5</v>
      </c>
    </row>
    <row r="108" spans="2:54" ht="15" customHeight="1" thickBot="1" x14ac:dyDescent="0.35">
      <c r="B108" s="47"/>
      <c r="C108" s="54" t="s">
        <v>12</v>
      </c>
      <c r="D108" s="49" t="s">
        <v>12</v>
      </c>
      <c r="E108" s="49" t="s">
        <v>110</v>
      </c>
      <c r="F108" s="49">
        <v>10</v>
      </c>
      <c r="G108" s="49">
        <v>2.54</v>
      </c>
      <c r="H108" s="50">
        <v>50.65</v>
      </c>
      <c r="I108" s="50">
        <v>0.01</v>
      </c>
      <c r="J108" s="50">
        <f>PI()*((G108/2)^2-((G108-0.1)/2)^2)*0.5+(PI()*I108*((G108-0.1)/2)^2)</f>
        <v>0.24232360774199518</v>
      </c>
      <c r="K108" s="50">
        <f t="shared" si="13"/>
        <v>2.423236077419952</v>
      </c>
      <c r="M108" s="5"/>
      <c r="N108" s="4"/>
      <c r="U108" s="154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6"/>
    </row>
    <row r="109" spans="2:54" ht="15" customHeight="1" x14ac:dyDescent="0.3">
      <c r="B109" s="55"/>
      <c r="C109" s="51" t="s">
        <v>12</v>
      </c>
      <c r="D109" s="52" t="s">
        <v>111</v>
      </c>
      <c r="E109" s="52" t="s">
        <v>110</v>
      </c>
      <c r="F109" s="52">
        <v>20</v>
      </c>
      <c r="G109" s="52">
        <v>2.54</v>
      </c>
      <c r="H109" s="53">
        <f>4*H108</f>
        <v>202.6</v>
      </c>
      <c r="I109" s="53">
        <v>0.01</v>
      </c>
      <c r="J109" s="53">
        <f>PI()*((G109/2)^2-((G109-0.1)/2)^2)*0.5+(PI()*I109*((G109-0.1)/2)^2)</f>
        <v>0.24232360774199518</v>
      </c>
      <c r="K109" s="53">
        <f t="shared" si="13"/>
        <v>4.8464721548399039</v>
      </c>
      <c r="M109" s="5"/>
      <c r="N109" s="4"/>
      <c r="U109" s="113"/>
      <c r="V109" s="113"/>
      <c r="W109" s="113"/>
      <c r="X109" s="113"/>
      <c r="Y109" s="113"/>
      <c r="Z109" s="113"/>
      <c r="AD109" s="113"/>
      <c r="AE109" s="113"/>
      <c r="AF109" s="113"/>
      <c r="AG109" s="113"/>
      <c r="AK109" s="113"/>
      <c r="AL109" s="113"/>
      <c r="AM109" s="113"/>
      <c r="AN109" s="113"/>
      <c r="AR109" s="113"/>
      <c r="AS109" s="113"/>
      <c r="AT109" s="113"/>
      <c r="AU109" s="113"/>
      <c r="AY109" s="113"/>
      <c r="AZ109" s="113"/>
      <c r="BA109" s="113"/>
      <c r="BB109" s="113"/>
    </row>
    <row r="110" spans="2:54" ht="15" customHeight="1" x14ac:dyDescent="0.3">
      <c r="B110" s="47"/>
      <c r="C110" s="54"/>
      <c r="D110" s="49"/>
      <c r="E110" s="49"/>
      <c r="F110" s="49"/>
      <c r="G110" s="49"/>
      <c r="H110" s="50"/>
      <c r="I110" s="50"/>
      <c r="J110" s="50"/>
      <c r="K110" s="50"/>
      <c r="M110" s="80" t="s">
        <v>130</v>
      </c>
      <c r="N110" s="81">
        <f>SQRT(((PI()*N107^2)-SUM(K96:K105,K111:K128))/PI())</f>
        <v>48.27311371767933</v>
      </c>
      <c r="U110" s="80"/>
      <c r="V110" s="80"/>
      <c r="W110" s="97"/>
      <c r="AD110" s="80"/>
      <c r="AK110" s="80"/>
      <c r="AR110" s="80"/>
      <c r="AY110" s="80"/>
    </row>
    <row r="111" spans="2:54" ht="15" customHeight="1" x14ac:dyDescent="0.3">
      <c r="B111" s="133" t="s">
        <v>113</v>
      </c>
      <c r="C111" s="57" t="s">
        <v>8</v>
      </c>
      <c r="D111" s="58" t="s">
        <v>121</v>
      </c>
      <c r="E111" s="58" t="s">
        <v>109</v>
      </c>
      <c r="F111" s="59">
        <v>1</v>
      </c>
      <c r="G111" s="59">
        <v>0.89</v>
      </c>
      <c r="H111" s="60">
        <f>IFERROR(F111*PI()*(G111/2)^2,"--")</f>
        <v>0.62211388522711886</v>
      </c>
      <c r="I111" s="60">
        <v>0.81</v>
      </c>
      <c r="J111" s="53">
        <f>PI()*((G111/2)^2-((G111-0.1)/2)^2)*0.5+(PI()*I111*((G111-0.1)/2)^2)</f>
        <v>0.46300871068422722</v>
      </c>
      <c r="K111" s="53">
        <f t="shared" si="13"/>
        <v>0.46300871068422722</v>
      </c>
      <c r="M111" s="80"/>
      <c r="N111" s="81"/>
      <c r="P111" s="80"/>
      <c r="Q111" s="80"/>
      <c r="R111" s="80"/>
      <c r="U111" s="5"/>
      <c r="V111" s="5"/>
      <c r="W111" s="98"/>
      <c r="AD111" s="5"/>
      <c r="AK111" s="5"/>
      <c r="AR111" s="5"/>
      <c r="AY111" s="5"/>
    </row>
    <row r="112" spans="2:54" x14ac:dyDescent="0.3">
      <c r="B112" s="134"/>
      <c r="C112" s="61" t="s">
        <v>8</v>
      </c>
      <c r="D112" s="62" t="s">
        <v>122</v>
      </c>
      <c r="E112" s="62" t="s">
        <v>109</v>
      </c>
      <c r="F112" s="49">
        <v>1</v>
      </c>
      <c r="G112" s="49">
        <v>0.89</v>
      </c>
      <c r="H112" s="50">
        <f>IFERROR(F112*PI()*(G112/2)^2,"--")</f>
        <v>0.62211388522711886</v>
      </c>
      <c r="I112" s="50">
        <v>0.81</v>
      </c>
      <c r="J112" s="50">
        <f>PI()*((G112/2)^2-((G112-0.1)/2)^2)*0.5+(PI()*I112*((G112-0.1)/2)^2)</f>
        <v>0.46300871068422722</v>
      </c>
      <c r="K112" s="50">
        <f t="shared" si="13"/>
        <v>0.46300871068422722</v>
      </c>
      <c r="M112" s="80"/>
      <c r="N112" s="81"/>
      <c r="P112" s="81"/>
      <c r="Q112" s="81"/>
      <c r="R112" s="81"/>
      <c r="U112" s="5"/>
      <c r="V112" s="5"/>
      <c r="W112" s="98"/>
      <c r="AD112" s="5"/>
      <c r="AK112" s="5"/>
      <c r="AR112" s="5"/>
      <c r="AY112" s="5"/>
    </row>
    <row r="113" spans="2:56" x14ac:dyDescent="0.3">
      <c r="B113" s="135"/>
      <c r="C113" s="51" t="s">
        <v>7</v>
      </c>
      <c r="D113" s="52" t="s">
        <v>114</v>
      </c>
      <c r="E113" s="52"/>
      <c r="F113" s="52">
        <v>26</v>
      </c>
      <c r="G113" s="52">
        <v>0.9</v>
      </c>
      <c r="H113" s="53">
        <f>IFERROR(F113*PI()*(G113/2)^2,"--")</f>
        <v>16.540485321150264</v>
      </c>
      <c r="I113" s="53">
        <v>1</v>
      </c>
      <c r="J113" s="53">
        <f>PI()*((G113/2)^2-((G113-0.1)/2)^2)*0.5+(PI()*I113*((G113-0.1)/2)^2)</f>
        <v>0.56941366846315</v>
      </c>
      <c r="K113" s="53">
        <f t="shared" si="13"/>
        <v>14.8047553800419</v>
      </c>
      <c r="U113" s="5"/>
      <c r="V113" s="5"/>
      <c r="W113" s="98"/>
      <c r="AD113" s="5"/>
      <c r="AK113" s="5"/>
      <c r="AR113" s="5"/>
      <c r="AY113" s="5"/>
    </row>
    <row r="114" spans="2:56" x14ac:dyDescent="0.3">
      <c r="B114" s="47"/>
      <c r="C114" s="54" t="s">
        <v>12</v>
      </c>
      <c r="D114" s="49" t="s">
        <v>12</v>
      </c>
      <c r="E114" s="49" t="s">
        <v>115</v>
      </c>
      <c r="F114" s="49">
        <v>28</v>
      </c>
      <c r="G114" s="49">
        <v>0.63</v>
      </c>
      <c r="H114" s="50">
        <f>IFERROR(F114*PI()*(G114/2)^2,"--")</f>
        <v>8.7282868694685227</v>
      </c>
      <c r="I114" s="50">
        <v>0.37</v>
      </c>
      <c r="J114" s="50">
        <f>PI()*((G114/2)^2-((G114-0.1)/2)^2)*0.5+(PI()*I114*((G114-0.1)/2)^2)</f>
        <v>0.12718188079343901</v>
      </c>
      <c r="K114" s="50">
        <f t="shared" si="13"/>
        <v>3.5610926622162919</v>
      </c>
      <c r="M114" s="113" t="s">
        <v>91</v>
      </c>
      <c r="N114" s="113"/>
      <c r="O114" s="112"/>
      <c r="P114" s="112"/>
      <c r="Q114" s="113" t="s">
        <v>126</v>
      </c>
      <c r="R114" s="113"/>
      <c r="S114" s="112"/>
      <c r="T114" s="112"/>
      <c r="U114" s="80"/>
      <c r="V114" s="80"/>
      <c r="W114" s="97"/>
      <c r="X114" s="81"/>
      <c r="AD114" s="80"/>
      <c r="AE114" s="81"/>
      <c r="AK114" s="80"/>
      <c r="AL114" s="81"/>
      <c r="AR114" s="80"/>
      <c r="AS114" s="81"/>
      <c r="AY114" s="80"/>
      <c r="AZ114" s="81"/>
    </row>
    <row r="115" spans="2:56" ht="15" customHeight="1" x14ac:dyDescent="0.3">
      <c r="B115" s="55"/>
      <c r="C115" s="51"/>
      <c r="D115" s="52"/>
      <c r="E115" s="52"/>
      <c r="F115" s="52"/>
      <c r="G115" s="52"/>
      <c r="H115" s="53"/>
      <c r="I115" s="53"/>
      <c r="J115" s="53"/>
      <c r="K115" s="53"/>
      <c r="M115" s="80" t="s">
        <v>88</v>
      </c>
      <c r="N115" s="4">
        <v>-120</v>
      </c>
      <c r="Q115" s="80" t="s">
        <v>88</v>
      </c>
      <c r="R115" s="4">
        <v>-180</v>
      </c>
      <c r="U115" s="80"/>
      <c r="V115" s="80"/>
      <c r="W115" s="97"/>
      <c r="X115" s="81"/>
      <c r="Z115" s="97"/>
      <c r="AA115" s="80"/>
      <c r="AB115" s="80"/>
      <c r="AD115" s="80"/>
      <c r="AE115" s="81"/>
      <c r="AG115" s="80"/>
      <c r="AH115" s="80"/>
      <c r="AI115" s="80"/>
      <c r="AK115" s="80"/>
      <c r="AL115" s="81"/>
      <c r="AN115" s="80"/>
      <c r="AO115" s="80"/>
      <c r="AP115" s="80"/>
      <c r="AR115" s="80"/>
      <c r="AS115" s="81"/>
      <c r="AU115" s="80"/>
      <c r="AV115" s="80"/>
      <c r="AW115" s="80"/>
      <c r="AY115" s="80"/>
      <c r="AZ115" s="81"/>
      <c r="BB115" s="80"/>
      <c r="BC115" s="80"/>
      <c r="BD115" s="80"/>
    </row>
    <row r="116" spans="2:56" x14ac:dyDescent="0.3">
      <c r="B116" s="47" t="s">
        <v>116</v>
      </c>
      <c r="C116" s="61" t="s">
        <v>8</v>
      </c>
      <c r="D116" s="62" t="s">
        <v>117</v>
      </c>
      <c r="E116" s="62" t="s">
        <v>109</v>
      </c>
      <c r="F116" s="49">
        <v>1</v>
      </c>
      <c r="G116" s="49">
        <v>0.89</v>
      </c>
      <c r="H116" s="50">
        <f t="shared" ref="H116:H117" si="14">IFERROR(F116*PI()*(G116/2)^2,"--")</f>
        <v>0.62211388522711886</v>
      </c>
      <c r="I116" s="50">
        <v>0.81</v>
      </c>
      <c r="J116" s="50">
        <f>PI()*((G116/2)^2-((G116-0.1)/2)^2)*0.5+(PI()*I116*((G116-0.1)/2)^2)</f>
        <v>0.46300871068422722</v>
      </c>
      <c r="K116" s="50">
        <f t="shared" si="13"/>
        <v>0.46300871068422722</v>
      </c>
      <c r="M116" s="5" t="s">
        <v>87</v>
      </c>
      <c r="N116" s="4">
        <v>48.5</v>
      </c>
      <c r="Q116" s="5" t="s">
        <v>87</v>
      </c>
      <c r="R116" s="4">
        <v>71</v>
      </c>
      <c r="U116" s="80"/>
      <c r="V116" s="80"/>
      <c r="W116" s="97"/>
      <c r="X116" s="81"/>
      <c r="Z116" s="100"/>
      <c r="AA116" s="81"/>
      <c r="AB116" s="81"/>
      <c r="AD116" s="80"/>
      <c r="AE116" s="81"/>
      <c r="AG116" s="81"/>
      <c r="AH116" s="81"/>
      <c r="AI116" s="81"/>
      <c r="AK116" s="80"/>
      <c r="AL116" s="81"/>
      <c r="AN116" s="81"/>
      <c r="AO116" s="81"/>
      <c r="AP116" s="81"/>
      <c r="AR116" s="80"/>
      <c r="AS116" s="81"/>
      <c r="AU116" s="81"/>
      <c r="AV116" s="81"/>
      <c r="AW116" s="81"/>
      <c r="AY116" s="80"/>
      <c r="AZ116" s="81"/>
      <c r="BB116" s="81"/>
      <c r="BC116" s="81"/>
      <c r="BD116" s="81"/>
    </row>
    <row r="117" spans="2:56" x14ac:dyDescent="0.3">
      <c r="B117" s="56"/>
      <c r="C117" s="57" t="s">
        <v>12</v>
      </c>
      <c r="D117" s="58" t="s">
        <v>12</v>
      </c>
      <c r="E117" s="58" t="s">
        <v>115</v>
      </c>
      <c r="F117" s="59">
        <v>4</v>
      </c>
      <c r="G117" s="59">
        <v>0.63</v>
      </c>
      <c r="H117" s="60">
        <f t="shared" si="14"/>
        <v>1.246898124209789</v>
      </c>
      <c r="I117" s="60">
        <v>0.37</v>
      </c>
      <c r="J117" s="53">
        <f>PI()*((G117/2)^2-((G117-0.1)/2)^2)*0.5+(PI()*I117*((G117-0.1)/2)^2)</f>
        <v>0.12718188079343901</v>
      </c>
      <c r="K117" s="53">
        <f t="shared" si="13"/>
        <v>0.50872752317375602</v>
      </c>
      <c r="M117" s="5"/>
      <c r="N117" s="4"/>
      <c r="Q117" s="5"/>
      <c r="AZ117" s="5"/>
    </row>
    <row r="118" spans="2:56" x14ac:dyDescent="0.3">
      <c r="B118" s="47"/>
      <c r="C118" s="61"/>
      <c r="D118" s="62"/>
      <c r="E118" s="62"/>
      <c r="F118" s="49"/>
      <c r="G118" s="49"/>
      <c r="H118" s="50"/>
      <c r="I118" s="50"/>
      <c r="J118" s="50"/>
      <c r="K118" s="50"/>
      <c r="M118" s="5"/>
      <c r="N118" s="4"/>
      <c r="Q118" s="5"/>
      <c r="U118" s="113"/>
      <c r="V118" s="113"/>
      <c r="W118" s="113"/>
      <c r="X118" s="113"/>
      <c r="Y118" s="113"/>
      <c r="Z118" s="113"/>
      <c r="AD118" s="113"/>
      <c r="AE118" s="113"/>
      <c r="AF118" s="113"/>
      <c r="AG118" s="113"/>
      <c r="AK118" s="113"/>
      <c r="AL118" s="113"/>
      <c r="AM118" s="113"/>
      <c r="AN118" s="113"/>
      <c r="AR118" s="113"/>
      <c r="AS118" s="113"/>
      <c r="AT118" s="113"/>
      <c r="AU118" s="113"/>
      <c r="AY118" s="113"/>
      <c r="AZ118" s="113"/>
      <c r="BA118" s="113"/>
      <c r="BB118" s="113"/>
    </row>
    <row r="119" spans="2:56" x14ac:dyDescent="0.3">
      <c r="B119" s="55" t="s">
        <v>118</v>
      </c>
      <c r="C119" s="51" t="s">
        <v>8</v>
      </c>
      <c r="D119" s="52" t="s">
        <v>119</v>
      </c>
      <c r="E119" s="52" t="s">
        <v>109</v>
      </c>
      <c r="F119" s="52">
        <v>1</v>
      </c>
      <c r="G119" s="52">
        <v>0.89</v>
      </c>
      <c r="H119" s="53">
        <f t="shared" ref="H119:H128" si="15">IFERROR(F119*PI()*(G119/2)^2,"--")</f>
        <v>0.62211388522711886</v>
      </c>
      <c r="I119" s="53">
        <v>0.81</v>
      </c>
      <c r="J119" s="53">
        <f>PI()*((G119/2)^2-((G119-0.1)/2)^2)*0.5+(PI()*I119*((G119-0.1)/2)^2)</f>
        <v>0.46300871068422722</v>
      </c>
      <c r="K119" s="53">
        <f t="shared" si="13"/>
        <v>0.46300871068422722</v>
      </c>
      <c r="M119" s="80" t="s">
        <v>130</v>
      </c>
      <c r="N119" s="81">
        <f>SQRT(((PI()*N116^2)-SUM(K96:K128))/PI())</f>
        <v>48.109591559272253</v>
      </c>
      <c r="Q119" s="80" t="s">
        <v>90</v>
      </c>
      <c r="R119" s="81">
        <f>SQRT(((PI()*R116^2)-SUM(K133:K137,K152:K156))/PI())</f>
        <v>70.466012053471573</v>
      </c>
      <c r="U119" s="80"/>
      <c r="V119" s="80"/>
      <c r="W119" s="97"/>
      <c r="AD119" s="80"/>
      <c r="AK119" s="80"/>
      <c r="AR119" s="80"/>
      <c r="AY119" s="80"/>
    </row>
    <row r="120" spans="2:56" x14ac:dyDescent="0.3">
      <c r="B120" s="47"/>
      <c r="C120" s="54" t="s">
        <v>7</v>
      </c>
      <c r="D120" s="49" t="s">
        <v>120</v>
      </c>
      <c r="E120" s="49" t="s">
        <v>108</v>
      </c>
      <c r="F120" s="49">
        <v>16</v>
      </c>
      <c r="G120" s="49">
        <v>0.55000000000000004</v>
      </c>
      <c r="H120" s="50">
        <f t="shared" si="15"/>
        <v>3.8013271108436504</v>
      </c>
      <c r="I120" s="50">
        <v>1</v>
      </c>
      <c r="J120" s="50">
        <f>PI()*((G120/2)^2-((G120-0.1)/2)^2)*0.5+(PI()*I120*((G120-0.1)/2)^2)</f>
        <v>0.19831303625785573</v>
      </c>
      <c r="K120" s="50">
        <f t="shared" si="13"/>
        <v>3.1730085801256918</v>
      </c>
      <c r="M120" s="80"/>
      <c r="N120" s="81"/>
      <c r="P120" s="80"/>
      <c r="Q120" s="80"/>
      <c r="R120" s="80"/>
      <c r="U120" s="5"/>
      <c r="V120" s="5"/>
      <c r="W120" s="98"/>
      <c r="AD120" s="5"/>
      <c r="AK120" s="5"/>
      <c r="AR120" s="5"/>
      <c r="AY120" s="5"/>
    </row>
    <row r="121" spans="2:56" x14ac:dyDescent="0.3">
      <c r="B121" s="55"/>
      <c r="C121" s="51" t="s">
        <v>12</v>
      </c>
      <c r="D121" s="52" t="s">
        <v>12</v>
      </c>
      <c r="E121" s="52" t="s">
        <v>115</v>
      </c>
      <c r="F121" s="52">
        <v>4</v>
      </c>
      <c r="G121" s="52">
        <v>0.63</v>
      </c>
      <c r="H121" s="53">
        <f t="shared" si="15"/>
        <v>1.246898124209789</v>
      </c>
      <c r="I121" s="53">
        <v>0.37</v>
      </c>
      <c r="J121" s="53">
        <f>PI()*((G121/2)^2-((G121-0.1)/2)^2)*0.5+(PI()*I121*((G121-0.1)/2)^2)</f>
        <v>0.12718188079343901</v>
      </c>
      <c r="K121" s="53">
        <f t="shared" si="13"/>
        <v>0.50872752317375602</v>
      </c>
      <c r="M121" s="80"/>
      <c r="N121" s="81"/>
      <c r="P121" s="81"/>
      <c r="Q121" s="81"/>
      <c r="R121" s="81"/>
      <c r="U121" s="5"/>
      <c r="V121" s="5"/>
      <c r="W121" s="98"/>
      <c r="AD121" s="5"/>
      <c r="AK121" s="5"/>
      <c r="AR121" s="5"/>
      <c r="AY121" s="5"/>
    </row>
    <row r="122" spans="2:56" x14ac:dyDescent="0.3">
      <c r="B122" s="47"/>
      <c r="C122" s="54"/>
      <c r="D122" s="49"/>
      <c r="E122" s="49"/>
      <c r="F122" s="49"/>
      <c r="G122" s="49"/>
      <c r="H122" s="50"/>
      <c r="I122" s="50"/>
      <c r="J122" s="50"/>
      <c r="K122" s="50"/>
      <c r="U122" s="82"/>
      <c r="V122" s="82"/>
      <c r="W122" s="99"/>
      <c r="X122" s="73"/>
      <c r="Z122" s="97"/>
      <c r="AD122" s="82"/>
      <c r="AE122" s="73"/>
      <c r="AG122" s="80"/>
      <c r="AK122" s="82"/>
      <c r="AL122" s="73"/>
      <c r="AN122" s="80"/>
      <c r="AR122" s="82"/>
      <c r="AS122" s="73"/>
      <c r="AU122" s="80"/>
      <c r="AY122" s="82"/>
      <c r="AZ122" s="73"/>
      <c r="BB122" s="80"/>
    </row>
    <row r="123" spans="2:56" x14ac:dyDescent="0.3">
      <c r="B123" s="55" t="s">
        <v>116</v>
      </c>
      <c r="C123" s="51" t="s">
        <v>8</v>
      </c>
      <c r="D123" s="52" t="s">
        <v>117</v>
      </c>
      <c r="E123" s="52" t="s">
        <v>109</v>
      </c>
      <c r="F123" s="52">
        <v>1</v>
      </c>
      <c r="G123" s="52">
        <v>0.89</v>
      </c>
      <c r="H123" s="53">
        <f t="shared" si="15"/>
        <v>0.62211388522711886</v>
      </c>
      <c r="I123" s="53">
        <v>0.81</v>
      </c>
      <c r="J123" s="53">
        <f>PI()*((G123/2)^2-((G123-0.1)/2)^2)*0.5+(PI()*I123*((G123-0.1)/2)^2)</f>
        <v>0.46300871068422722</v>
      </c>
      <c r="K123" s="53">
        <f t="shared" si="13"/>
        <v>0.46300871068422722</v>
      </c>
      <c r="M123" s="112" t="s">
        <v>103</v>
      </c>
      <c r="N123" s="112"/>
      <c r="O123" s="112"/>
      <c r="P123" s="112"/>
      <c r="U123" s="80"/>
      <c r="V123" s="80"/>
      <c r="W123" s="97"/>
      <c r="X123" s="81"/>
      <c r="AD123" s="80"/>
      <c r="AE123" s="81"/>
      <c r="AK123" s="80"/>
      <c r="AL123" s="81"/>
      <c r="AR123" s="80"/>
      <c r="AS123" s="81"/>
      <c r="AY123" s="80"/>
      <c r="AZ123" s="81"/>
    </row>
    <row r="124" spans="2:56" x14ac:dyDescent="0.3">
      <c r="B124" s="47"/>
      <c r="C124" s="54" t="s">
        <v>12</v>
      </c>
      <c r="D124" s="49" t="s">
        <v>12</v>
      </c>
      <c r="E124" s="49" t="s">
        <v>115</v>
      </c>
      <c r="F124" s="49">
        <v>4</v>
      </c>
      <c r="G124" s="49">
        <v>0.63</v>
      </c>
      <c r="H124" s="50">
        <f t="shared" si="15"/>
        <v>1.246898124209789</v>
      </c>
      <c r="I124" s="50">
        <v>0.37</v>
      </c>
      <c r="J124" s="50">
        <f>PI()*((G124/2)^2-((G124-0.1)/2)^2)*0.5+(PI()*I124*((G124-0.1)/2)^2)</f>
        <v>0.12718188079343901</v>
      </c>
      <c r="K124" s="50">
        <f t="shared" si="13"/>
        <v>0.50872752317375602</v>
      </c>
      <c r="M124" s="80" t="s">
        <v>88</v>
      </c>
      <c r="N124" s="4">
        <v>-180</v>
      </c>
      <c r="U124" s="80"/>
      <c r="V124" s="80"/>
      <c r="W124" s="97"/>
      <c r="X124" s="81"/>
      <c r="Z124" s="97"/>
      <c r="AA124" s="80"/>
      <c r="AB124" s="80"/>
      <c r="AD124" s="80"/>
      <c r="AE124" s="81"/>
      <c r="AG124" s="80"/>
      <c r="AH124" s="80"/>
      <c r="AI124" s="80"/>
      <c r="AK124" s="80"/>
      <c r="AL124" s="81"/>
      <c r="AN124" s="80"/>
      <c r="AO124" s="80"/>
      <c r="AP124" s="80"/>
      <c r="AR124" s="80"/>
      <c r="AS124" s="81"/>
      <c r="AU124" s="80"/>
      <c r="AV124" s="80"/>
      <c r="AW124" s="80"/>
      <c r="AY124" s="80"/>
      <c r="AZ124" s="81"/>
      <c r="BB124" s="80"/>
      <c r="BC124" s="80"/>
      <c r="BD124" s="80"/>
    </row>
    <row r="125" spans="2:56" x14ac:dyDescent="0.3">
      <c r="B125" s="55"/>
      <c r="C125" s="51"/>
      <c r="D125" s="52"/>
      <c r="E125" s="52"/>
      <c r="F125" s="52"/>
      <c r="G125" s="52"/>
      <c r="H125" s="53"/>
      <c r="I125" s="53"/>
      <c r="J125" s="53"/>
      <c r="K125" s="53"/>
      <c r="M125" s="5" t="s">
        <v>87</v>
      </c>
      <c r="N125" s="4">
        <v>48.5</v>
      </c>
      <c r="U125" s="80"/>
      <c r="V125" s="80"/>
      <c r="W125" s="97"/>
      <c r="X125" s="81"/>
      <c r="Z125" s="100"/>
      <c r="AA125" s="81"/>
      <c r="AB125" s="81"/>
      <c r="AD125" s="80"/>
      <c r="AE125" s="81"/>
      <c r="AG125" s="81"/>
      <c r="AH125" s="81"/>
      <c r="AI125" s="81"/>
      <c r="AK125" s="80"/>
      <c r="AL125" s="81"/>
      <c r="AN125" s="81"/>
      <c r="AO125" s="81"/>
      <c r="AP125" s="81"/>
      <c r="AR125" s="80"/>
      <c r="AS125" s="81"/>
      <c r="AU125" s="81"/>
      <c r="AV125" s="81"/>
      <c r="AW125" s="81"/>
      <c r="AY125" s="80"/>
      <c r="AZ125" s="81"/>
      <c r="BB125" s="81"/>
      <c r="BC125" s="81"/>
      <c r="BD125" s="81"/>
    </row>
    <row r="126" spans="2:56" x14ac:dyDescent="0.3">
      <c r="B126" s="47" t="s">
        <v>118</v>
      </c>
      <c r="C126" s="54" t="s">
        <v>8</v>
      </c>
      <c r="D126" s="49" t="s">
        <v>119</v>
      </c>
      <c r="E126" s="49" t="s">
        <v>109</v>
      </c>
      <c r="F126" s="49">
        <v>1</v>
      </c>
      <c r="G126" s="49">
        <v>0.89</v>
      </c>
      <c r="H126" s="50">
        <f t="shared" si="15"/>
        <v>0.62211388522711886</v>
      </c>
      <c r="I126" s="50">
        <v>0.81</v>
      </c>
      <c r="J126" s="50">
        <f>PI()*((G126/2)^2-((G126-0.1)/2)^2)*0.5+(PI()*I126*((G126-0.1)/2)^2)</f>
        <v>0.46300871068422722</v>
      </c>
      <c r="K126" s="50">
        <f t="shared" si="13"/>
        <v>0.46300871068422722</v>
      </c>
      <c r="M126" s="5"/>
      <c r="N126" s="4"/>
    </row>
    <row r="127" spans="2:56" x14ac:dyDescent="0.3">
      <c r="B127" s="55"/>
      <c r="C127" s="51" t="s">
        <v>7</v>
      </c>
      <c r="D127" s="52" t="s">
        <v>120</v>
      </c>
      <c r="E127" s="52" t="s">
        <v>108</v>
      </c>
      <c r="F127" s="52">
        <v>16</v>
      </c>
      <c r="G127" s="52">
        <v>0.55000000000000004</v>
      </c>
      <c r="H127" s="53">
        <f t="shared" si="15"/>
        <v>3.8013271108436504</v>
      </c>
      <c r="I127" s="53">
        <v>1</v>
      </c>
      <c r="J127" s="53">
        <f>PI()*((G127/2)^2-((G127-0.1)/2)^2)*0.5+(PI()*I127*((G127-0.1)/2)^2)</f>
        <v>0.19831303625785573</v>
      </c>
      <c r="K127" s="53">
        <f t="shared" si="13"/>
        <v>3.1730085801256918</v>
      </c>
      <c r="M127" s="5"/>
      <c r="N127" s="4"/>
      <c r="P127" s="73"/>
    </row>
    <row r="128" spans="2:56" x14ac:dyDescent="0.3">
      <c r="B128" s="47"/>
      <c r="C128" s="54" t="s">
        <v>12</v>
      </c>
      <c r="D128" s="49" t="s">
        <v>12</v>
      </c>
      <c r="E128" s="49" t="s">
        <v>115</v>
      </c>
      <c r="F128" s="49">
        <v>4</v>
      </c>
      <c r="G128" s="49">
        <v>0.63</v>
      </c>
      <c r="H128" s="50">
        <f t="shared" si="15"/>
        <v>1.246898124209789</v>
      </c>
      <c r="I128" s="50">
        <v>0.37</v>
      </c>
      <c r="J128" s="50">
        <f>PI()*((G128/2)^2-((G128-0.1)/2)^2)*0.5+(PI()*I128*((G128-0.1)/2)^2)</f>
        <v>0.12718188079343901</v>
      </c>
      <c r="K128" s="50">
        <f t="shared" si="13"/>
        <v>0.50872752317375602</v>
      </c>
      <c r="M128" s="80" t="s">
        <v>130</v>
      </c>
      <c r="N128" s="81">
        <f>SQRT(((PI()*N125^2)-SUM(K96:K128,K139:K143,K157:K161))/PI())</f>
        <v>47.03544588456667</v>
      </c>
    </row>
    <row r="129" spans="2:18" x14ac:dyDescent="0.3">
      <c r="B129" s="55"/>
      <c r="C129" s="51"/>
      <c r="D129" s="52"/>
      <c r="E129" s="52"/>
      <c r="F129" s="52"/>
      <c r="G129" s="52"/>
      <c r="H129" s="53"/>
      <c r="I129" s="53"/>
      <c r="J129" s="53"/>
      <c r="K129" s="53"/>
      <c r="M129" s="80"/>
      <c r="N129" s="81"/>
      <c r="P129" s="80"/>
      <c r="Q129" s="80"/>
      <c r="R129" s="80"/>
    </row>
    <row r="130" spans="2:18" x14ac:dyDescent="0.3">
      <c r="B130" s="47"/>
      <c r="C130" s="54"/>
      <c r="D130" s="49"/>
      <c r="E130" s="49"/>
      <c r="F130" s="49"/>
      <c r="G130" s="49"/>
      <c r="H130" s="50"/>
      <c r="I130" s="50"/>
      <c r="J130" s="50"/>
      <c r="K130" s="50"/>
      <c r="M130" s="80"/>
      <c r="N130" s="81"/>
      <c r="P130" s="81"/>
      <c r="Q130" s="81"/>
      <c r="R130" s="81"/>
    </row>
    <row r="131" spans="2:18" x14ac:dyDescent="0.3">
      <c r="B131" s="56"/>
      <c r="C131" s="57"/>
      <c r="D131" s="58"/>
      <c r="E131" s="58"/>
      <c r="F131" s="59"/>
      <c r="G131" s="59"/>
      <c r="H131" s="60"/>
      <c r="I131" s="60"/>
      <c r="J131" s="53"/>
      <c r="K131" s="53"/>
    </row>
    <row r="132" spans="2:18" x14ac:dyDescent="0.3">
      <c r="B132" s="47"/>
      <c r="C132" s="61"/>
      <c r="D132" s="62"/>
      <c r="E132" s="62"/>
      <c r="F132" s="49"/>
      <c r="G132" s="49"/>
      <c r="H132" s="50"/>
      <c r="I132" s="50"/>
      <c r="J132" s="50"/>
      <c r="K132" s="50"/>
      <c r="M132" s="113" t="s">
        <v>92</v>
      </c>
      <c r="N132" s="113"/>
      <c r="O132" s="112"/>
      <c r="P132" s="112"/>
    </row>
    <row r="133" spans="2:18" x14ac:dyDescent="0.3">
      <c r="B133" s="55" t="s">
        <v>17</v>
      </c>
      <c r="C133" s="51" t="s">
        <v>7</v>
      </c>
      <c r="D133" s="52" t="s">
        <v>18</v>
      </c>
      <c r="E133" s="52" t="s">
        <v>19</v>
      </c>
      <c r="F133" s="52">
        <v>16</v>
      </c>
      <c r="G133" s="52">
        <v>0.32</v>
      </c>
      <c r="H133" s="53">
        <f t="shared" ref="H133:H136" si="16">F133*(PI()*(G133/2)^2)</f>
        <v>1.2867963509103792</v>
      </c>
      <c r="I133" s="53">
        <v>3.32</v>
      </c>
      <c r="J133" s="53">
        <f>PI()*((G133/2)^2-((G133-0.1)/2)^2)*0.5+(PI()*I133*((G133-0.1)/2)^2)</f>
        <v>0.14740981049174029</v>
      </c>
      <c r="K133" s="53">
        <f t="shared" si="13"/>
        <v>2.3585569678678446</v>
      </c>
      <c r="M133" s="80" t="s">
        <v>88</v>
      </c>
      <c r="N133" s="4">
        <v>80</v>
      </c>
    </row>
    <row r="134" spans="2:18" x14ac:dyDescent="0.3">
      <c r="B134" s="47"/>
      <c r="C134" s="54" t="s">
        <v>7</v>
      </c>
      <c r="D134" s="49" t="s">
        <v>20</v>
      </c>
      <c r="E134" s="49"/>
      <c r="F134" s="49">
        <v>64</v>
      </c>
      <c r="G134" s="49">
        <v>1.163</v>
      </c>
      <c r="H134" s="50">
        <f t="shared" si="16"/>
        <v>67.987533341972693</v>
      </c>
      <c r="I134" s="50">
        <v>3.32</v>
      </c>
      <c r="J134" s="50">
        <f>PI()*((G134/2)^2-((G134-0.3)/2)^2)*0.5+(PI()*I134*((G134-0.3)/2)^2)</f>
        <v>2.1806839816442602</v>
      </c>
      <c r="K134" s="50">
        <f t="shared" si="13"/>
        <v>139.56377482523266</v>
      </c>
      <c r="M134" s="5" t="s">
        <v>87</v>
      </c>
      <c r="N134" s="4">
        <v>197</v>
      </c>
      <c r="P134" s="73"/>
    </row>
    <row r="135" spans="2:18" x14ac:dyDescent="0.3">
      <c r="B135" s="55"/>
      <c r="C135" s="51" t="s">
        <v>12</v>
      </c>
      <c r="D135" s="52" t="s">
        <v>21</v>
      </c>
      <c r="E135" s="52"/>
      <c r="F135" s="52">
        <v>32</v>
      </c>
      <c r="G135" s="52">
        <v>0.4</v>
      </c>
      <c r="H135" s="53">
        <f t="shared" si="16"/>
        <v>4.0212385965949355</v>
      </c>
      <c r="I135" s="53">
        <v>0.01</v>
      </c>
      <c r="J135" s="53">
        <f>PI()*((G135/2)^2-((G135-0.1)/2)^2)*0.5+(PI()*I135*((G135-0.1)/2)^2)</f>
        <v>2.8195794065968397E-2</v>
      </c>
      <c r="K135" s="53">
        <f t="shared" si="13"/>
        <v>0.90226541011098871</v>
      </c>
      <c r="M135" s="5"/>
      <c r="N135" s="4"/>
    </row>
    <row r="136" spans="2:18" x14ac:dyDescent="0.3">
      <c r="B136" s="47"/>
      <c r="C136" s="61" t="s">
        <v>12</v>
      </c>
      <c r="D136" s="62" t="s">
        <v>12</v>
      </c>
      <c r="E136" s="62"/>
      <c r="F136" s="49">
        <f>16*8</f>
        <v>128</v>
      </c>
      <c r="G136" s="49">
        <v>0.625</v>
      </c>
      <c r="H136" s="50">
        <f t="shared" si="16"/>
        <v>39.269908169872416</v>
      </c>
      <c r="I136" s="50">
        <v>0.37</v>
      </c>
      <c r="J136" s="50">
        <f>PI()*((G136/2)^2-((G136-0.1)/2)^2)*0.5+(PI()*I136*((G136-0.1)/2)^2)</f>
        <v>0.12525628084632928</v>
      </c>
      <c r="K136" s="50">
        <f t="shared" si="13"/>
        <v>16.032803948330148</v>
      </c>
      <c r="M136" s="82"/>
      <c r="N136" s="73"/>
      <c r="P136" s="80"/>
    </row>
    <row r="137" spans="2:18" x14ac:dyDescent="0.3">
      <c r="B137" s="56"/>
      <c r="C137" s="57" t="s">
        <v>8</v>
      </c>
      <c r="D137" s="58" t="s">
        <v>8</v>
      </c>
      <c r="E137" s="58"/>
      <c r="F137" s="59">
        <v>64</v>
      </c>
      <c r="G137" s="59">
        <v>0.3</v>
      </c>
      <c r="H137" s="60">
        <f>1.1*0.4</f>
        <v>0.44000000000000006</v>
      </c>
      <c r="I137" s="60">
        <v>3.32</v>
      </c>
      <c r="J137" s="53">
        <f>PI()*((G137/2)^2-((G137-0.1)/2)^2)*0.5+(PI()*I137*((G137-0.1)/2)^2)</f>
        <v>0.12393583018411732</v>
      </c>
      <c r="K137" s="53">
        <f t="shared" si="13"/>
        <v>7.9318931317835082</v>
      </c>
      <c r="M137" s="80" t="s">
        <v>93</v>
      </c>
      <c r="N137" s="81">
        <f>(SUM(K96:K143,K152:K167)/(PI()*N133))/2</f>
        <v>1.6180905982499998</v>
      </c>
    </row>
    <row r="138" spans="2:18" x14ac:dyDescent="0.3">
      <c r="B138" s="47"/>
      <c r="C138" s="61"/>
      <c r="D138" s="62"/>
      <c r="E138" s="62"/>
      <c r="F138" s="49"/>
      <c r="G138" s="49"/>
      <c r="H138" s="50"/>
      <c r="I138" s="50"/>
      <c r="J138" s="50"/>
      <c r="K138" s="50"/>
      <c r="M138" s="80"/>
      <c r="N138" s="81"/>
      <c r="P138" s="80"/>
      <c r="Q138" s="80"/>
      <c r="R138" s="80"/>
    </row>
    <row r="139" spans="2:18" x14ac:dyDescent="0.3">
      <c r="B139" s="55" t="s">
        <v>22</v>
      </c>
      <c r="C139" s="51" t="s">
        <v>7</v>
      </c>
      <c r="D139" s="52" t="s">
        <v>18</v>
      </c>
      <c r="E139" s="52"/>
      <c r="F139" s="52">
        <v>16</v>
      </c>
      <c r="G139" s="52">
        <v>0.32</v>
      </c>
      <c r="H139" s="53">
        <f>F139*(PI()*(G139/2)^2)</f>
        <v>1.2867963509103792</v>
      </c>
      <c r="I139" s="53">
        <v>3.32</v>
      </c>
      <c r="J139" s="53">
        <f>PI()*((G139/2)^2-((G139-0.1)/2)^2)*0.5+(PI()*I139*((G139-0.1)/2)^2)</f>
        <v>0.14740981049174029</v>
      </c>
      <c r="K139" s="53">
        <f t="shared" si="13"/>
        <v>2.3585569678678446</v>
      </c>
      <c r="M139" s="80"/>
      <c r="N139" s="81"/>
      <c r="P139" s="81"/>
      <c r="Q139" s="81"/>
      <c r="R139" s="81"/>
    </row>
    <row r="140" spans="2:18" x14ac:dyDescent="0.3">
      <c r="B140" s="47"/>
      <c r="C140" s="54" t="s">
        <v>7</v>
      </c>
      <c r="D140" s="49" t="s">
        <v>20</v>
      </c>
      <c r="E140" s="49"/>
      <c r="F140" s="49">
        <v>32</v>
      </c>
      <c r="G140" s="49">
        <v>0.9</v>
      </c>
      <c r="H140" s="50">
        <f>F140*(PI()*(G140/2)^2)</f>
        <v>20.357520395261862</v>
      </c>
      <c r="I140" s="50">
        <v>3.32</v>
      </c>
      <c r="J140" s="50">
        <f>PI()*((G140/2)^2-((G140-0.3)/2)^2)*0.5+(PI()*I140*((G140-0.3)/2)^2)</f>
        <v>1.1154224716570562</v>
      </c>
      <c r="K140" s="50">
        <f t="shared" si="13"/>
        <v>35.693519093025799</v>
      </c>
    </row>
    <row r="141" spans="2:18" ht="14.7" customHeight="1" x14ac:dyDescent="0.3">
      <c r="B141" s="55"/>
      <c r="C141" s="51" t="s">
        <v>12</v>
      </c>
      <c r="D141" s="52" t="s">
        <v>21</v>
      </c>
      <c r="E141" s="52"/>
      <c r="F141" s="52">
        <v>8</v>
      </c>
      <c r="G141" s="52">
        <v>0.4</v>
      </c>
      <c r="H141" s="53">
        <f>F141*(PI()*(G141/2)^2)</f>
        <v>1.0053096491487339</v>
      </c>
      <c r="I141" s="53">
        <v>0.01</v>
      </c>
      <c r="J141" s="53">
        <f>PI()*((G141/2)^2-((G141-0.1)/2)^2)*0.5+(PI()*I141*((G141-0.1)/2)^2)</f>
        <v>2.8195794065968397E-2</v>
      </c>
      <c r="K141" s="53">
        <f t="shared" si="13"/>
        <v>0.22556635252774718</v>
      </c>
      <c r="M141" s="113" t="s">
        <v>92</v>
      </c>
      <c r="N141" s="113"/>
      <c r="O141" s="112"/>
      <c r="P141" s="112"/>
      <c r="Q141"/>
      <c r="R141"/>
    </row>
    <row r="142" spans="2:18" x14ac:dyDescent="0.3">
      <c r="B142" s="47"/>
      <c r="C142" s="54" t="s">
        <v>12</v>
      </c>
      <c r="D142" s="49" t="s">
        <v>12</v>
      </c>
      <c r="E142" s="49"/>
      <c r="F142" s="49">
        <v>16</v>
      </c>
      <c r="G142" s="49">
        <v>0.625</v>
      </c>
      <c r="H142" s="50">
        <f>F142*(PI()*(G142/2)^2)</f>
        <v>4.908738521234052</v>
      </c>
      <c r="I142" s="50">
        <v>0.37</v>
      </c>
      <c r="J142" s="50">
        <f>PI()*((G142/2)^2-((G142-0.1)/2)^2)*0.5+(PI()*I142*((G142-0.1)/2)^2)</f>
        <v>0.12525628084632928</v>
      </c>
      <c r="K142" s="50">
        <f t="shared" si="13"/>
        <v>2.0041004935412685</v>
      </c>
      <c r="M142" s="80" t="s">
        <v>88</v>
      </c>
      <c r="N142" s="4">
        <v>93</v>
      </c>
    </row>
    <row r="143" spans="2:18" x14ac:dyDescent="0.3">
      <c r="B143" s="55"/>
      <c r="C143" s="51" t="s">
        <v>8</v>
      </c>
      <c r="D143" s="52" t="s">
        <v>8</v>
      </c>
      <c r="E143" s="52" t="s">
        <v>23</v>
      </c>
      <c r="F143" s="52">
        <v>64</v>
      </c>
      <c r="G143" s="52">
        <v>0.6</v>
      </c>
      <c r="H143" s="53">
        <f>2*0.3*F143</f>
        <v>38.4</v>
      </c>
      <c r="I143" s="53">
        <v>3.32</v>
      </c>
      <c r="J143" s="53">
        <f>PI()*((G143/2)^2-((G143-0.3)/2)^2)*0.5+(PI()*I143*((G143-0.3)/2)^2)</f>
        <v>0.34070572328181303</v>
      </c>
      <c r="K143" s="53">
        <f t="shared" ref="K143" si="17">F143*J143</f>
        <v>21.805166290036034</v>
      </c>
      <c r="M143" s="5" t="s">
        <v>87</v>
      </c>
      <c r="N143" s="4">
        <v>197</v>
      </c>
    </row>
    <row r="144" spans="2:18" x14ac:dyDescent="0.3">
      <c r="B144" s="47"/>
      <c r="C144" s="54"/>
      <c r="D144" s="49"/>
      <c r="E144" s="49"/>
      <c r="F144" s="49"/>
      <c r="G144" s="49"/>
      <c r="H144" s="50"/>
      <c r="I144" s="50"/>
      <c r="J144" s="50"/>
      <c r="K144" s="50"/>
      <c r="M144" s="5"/>
      <c r="N144" s="4"/>
    </row>
    <row r="145" spans="2:18" x14ac:dyDescent="0.3">
      <c r="B145" s="71"/>
      <c r="C145" s="52"/>
      <c r="D145" s="52"/>
      <c r="E145" s="52"/>
      <c r="F145" s="52"/>
      <c r="G145" s="52"/>
      <c r="H145" s="53"/>
      <c r="I145" s="53"/>
      <c r="J145" s="53"/>
      <c r="K145" s="53"/>
      <c r="M145" s="82"/>
      <c r="N145" s="73"/>
      <c r="P145" s="80"/>
    </row>
    <row r="146" spans="2:18" x14ac:dyDescent="0.3">
      <c r="B146" s="72"/>
      <c r="C146" s="49"/>
      <c r="D146" s="49"/>
      <c r="E146" s="49"/>
      <c r="F146" s="49"/>
      <c r="G146" s="49"/>
      <c r="H146" s="50"/>
      <c r="I146" s="50"/>
      <c r="J146" s="50"/>
      <c r="K146" s="50"/>
      <c r="M146" s="80" t="s">
        <v>93</v>
      </c>
      <c r="N146" s="81">
        <f>(SUM(K96:K147,K152:K172,K177:K180)/(PI()*N142))/2</f>
        <v>1.4299036974193549</v>
      </c>
    </row>
    <row r="147" spans="2:18" x14ac:dyDescent="0.3">
      <c r="B147" s="71" t="s">
        <v>27</v>
      </c>
      <c r="C147" s="52"/>
      <c r="D147" s="52" t="s">
        <v>27</v>
      </c>
      <c r="E147" s="52"/>
      <c r="F147" s="52" t="s">
        <v>27</v>
      </c>
      <c r="G147" s="52" t="s">
        <v>27</v>
      </c>
      <c r="H147" s="53" t="s">
        <v>27</v>
      </c>
      <c r="I147" s="53"/>
      <c r="J147" s="53" t="s">
        <v>27</v>
      </c>
      <c r="K147" s="53"/>
      <c r="N147" s="83"/>
    </row>
    <row r="148" spans="2:18" ht="15" thickBot="1" x14ac:dyDescent="0.35">
      <c r="B148" s="139" t="s">
        <v>33</v>
      </c>
      <c r="C148" s="140"/>
      <c r="D148" s="141"/>
      <c r="E148" s="63"/>
      <c r="F148" s="64">
        <f>SUM(F96:F147)</f>
        <v>924</v>
      </c>
      <c r="G148" s="64"/>
      <c r="H148" s="65">
        <f>SUM(H96:H147)</f>
        <v>817.07600904089873</v>
      </c>
      <c r="I148" s="65"/>
      <c r="J148" s="65">
        <f>SUM(J96:J147)</f>
        <v>12.55148070611026</v>
      </c>
      <c r="K148" s="65">
        <f>SUM(K96:K147)</f>
        <v>347.36828191430084</v>
      </c>
      <c r="M148" s="80"/>
      <c r="N148" s="81"/>
    </row>
    <row r="149" spans="2:18" ht="15" thickBot="1" x14ac:dyDescent="0.35">
      <c r="B149" s="147" t="s">
        <v>64</v>
      </c>
      <c r="C149" s="146"/>
      <c r="D149" s="146"/>
      <c r="E149" s="146"/>
      <c r="F149" s="146"/>
      <c r="G149" s="146"/>
      <c r="H149" s="146"/>
      <c r="I149" s="146"/>
      <c r="J149" s="146"/>
      <c r="K149" s="146"/>
      <c r="M149" s="80"/>
      <c r="N149" s="81"/>
      <c r="P149" s="80"/>
      <c r="Q149" s="80"/>
      <c r="R149" s="80"/>
    </row>
    <row r="150" spans="2:18" x14ac:dyDescent="0.3">
      <c r="B150" s="148" t="s">
        <v>35</v>
      </c>
      <c r="C150" s="149"/>
      <c r="D150" s="150"/>
      <c r="E150" s="66"/>
      <c r="F150" s="67">
        <f>F148</f>
        <v>924</v>
      </c>
      <c r="G150" s="67"/>
      <c r="H150" s="68">
        <f t="shared" ref="H150:J150" si="18">H148</f>
        <v>817.07600904089873</v>
      </c>
      <c r="I150" s="68"/>
      <c r="J150" s="68">
        <f t="shared" si="18"/>
        <v>12.55148070611026</v>
      </c>
      <c r="K150" s="68">
        <f>K148</f>
        <v>347.36828191430084</v>
      </c>
      <c r="M150" s="80"/>
      <c r="N150" s="81"/>
      <c r="P150" s="81"/>
      <c r="Q150" s="81"/>
      <c r="R150" s="81"/>
    </row>
    <row r="151" spans="2:18" x14ac:dyDescent="0.3">
      <c r="B151" s="55"/>
      <c r="C151" s="69"/>
      <c r="D151" s="52"/>
      <c r="E151" s="52"/>
      <c r="F151" s="52"/>
      <c r="G151" s="52"/>
      <c r="H151" s="53"/>
      <c r="I151" s="53"/>
      <c r="J151" s="53"/>
      <c r="K151" s="53"/>
    </row>
    <row r="152" spans="2:18" x14ac:dyDescent="0.3">
      <c r="B152" s="47" t="s">
        <v>25</v>
      </c>
      <c r="C152" s="54" t="s">
        <v>7</v>
      </c>
      <c r="D152" s="49" t="s">
        <v>26</v>
      </c>
      <c r="E152" s="49"/>
      <c r="F152" s="49">
        <v>72</v>
      </c>
      <c r="G152" s="49">
        <v>0.63</v>
      </c>
      <c r="H152" s="50">
        <f>F152*(PI()*(G152/2)^2)</f>
        <v>22.444166235776201</v>
      </c>
      <c r="I152" s="50">
        <v>3.32</v>
      </c>
      <c r="J152" s="50">
        <f>PI()*((G152/2)^2-((G152-0.3)/2)^2)*0.5+(PI()*I152*((G152-0.3)/2)^2)</f>
        <v>0.39705647070925321</v>
      </c>
      <c r="K152" s="50">
        <f t="shared" ref="K152:K153" si="19">F152*J152</f>
        <v>28.588065891066229</v>
      </c>
      <c r="M152" s="113" t="s">
        <v>94</v>
      </c>
      <c r="N152" s="113"/>
      <c r="O152" s="112"/>
      <c r="P152" s="112"/>
      <c r="Q152" s="112"/>
      <c r="R152" s="112"/>
    </row>
    <row r="153" spans="2:18" ht="15" customHeight="1" x14ac:dyDescent="0.3">
      <c r="B153" s="55" t="s">
        <v>27</v>
      </c>
      <c r="C153" s="51" t="s">
        <v>7</v>
      </c>
      <c r="D153" s="52" t="s">
        <v>28</v>
      </c>
      <c r="E153" s="52"/>
      <c r="F153" s="52">
        <v>72</v>
      </c>
      <c r="G153" s="52">
        <v>0.15</v>
      </c>
      <c r="H153" s="53">
        <f>F153*(PI()*(G153/2)^2)</f>
        <v>1.2723450247038663</v>
      </c>
      <c r="I153" s="53">
        <v>3.32</v>
      </c>
      <c r="J153" s="53">
        <f>PI()*((G153/2)^2-((G153-0.1)/2)^2)*0.5+(PI()*I153*((G153-0.1)/2)^2)</f>
        <v>1.4372786390173302E-2</v>
      </c>
      <c r="K153" s="53">
        <f t="shared" si="19"/>
        <v>1.0348406200924778</v>
      </c>
      <c r="M153" s="80" t="s">
        <v>88</v>
      </c>
      <c r="N153" s="4">
        <v>120</v>
      </c>
    </row>
    <row r="154" spans="2:18" x14ac:dyDescent="0.3">
      <c r="B154" s="47"/>
      <c r="C154" s="54" t="s">
        <v>8</v>
      </c>
      <c r="D154" s="49" t="s">
        <v>29</v>
      </c>
      <c r="E154" s="49" t="s">
        <v>30</v>
      </c>
      <c r="F154" s="49">
        <v>144</v>
      </c>
      <c r="G154" s="49">
        <v>0.6</v>
      </c>
      <c r="H154" s="50">
        <f>F154*(PI()*(G154/2)^2)</f>
        <v>40.715040790523723</v>
      </c>
      <c r="I154" s="50">
        <v>0.81</v>
      </c>
      <c r="J154" s="50">
        <f>PI()*((G154/2)^2-((G154-0.1)/2)^2)*0.5+(PI()*I154*((G154-0.1)/2)^2)</f>
        <v>0.20224002707484295</v>
      </c>
      <c r="K154" s="50">
        <f t="shared" ref="K154:K167" si="20">F154*J154</f>
        <v>29.122563898777386</v>
      </c>
      <c r="M154" s="5" t="s">
        <v>87</v>
      </c>
      <c r="N154" s="4">
        <v>197</v>
      </c>
    </row>
    <row r="155" spans="2:18" x14ac:dyDescent="0.3">
      <c r="B155" s="55"/>
      <c r="C155" s="51" t="s">
        <v>12</v>
      </c>
      <c r="D155" s="52" t="s">
        <v>31</v>
      </c>
      <c r="E155" s="52" t="s">
        <v>32</v>
      </c>
      <c r="F155" s="52">
        <v>144</v>
      </c>
      <c r="G155" s="52">
        <v>0.5</v>
      </c>
      <c r="H155" s="53">
        <f>F155*(PI()*(G155/2)^2)</f>
        <v>28.274333882308138</v>
      </c>
      <c r="I155" s="53">
        <v>0.37</v>
      </c>
      <c r="J155" s="53">
        <f>PI()*((G155/2)^2-((G155-0.1)/2)^2)*0.5+(PI()*I155*((G155-0.1)/2)^2)</f>
        <v>8.1838488626014116E-2</v>
      </c>
      <c r="K155" s="53">
        <f t="shared" si="20"/>
        <v>11.784742362146034</v>
      </c>
      <c r="M155" s="5"/>
      <c r="N155" s="4"/>
    </row>
    <row r="156" spans="2:18" x14ac:dyDescent="0.3">
      <c r="B156" s="47"/>
      <c r="C156" s="54"/>
      <c r="D156" s="49"/>
      <c r="E156" s="49"/>
      <c r="F156" s="49"/>
      <c r="G156" s="49"/>
      <c r="H156" s="50"/>
      <c r="I156" s="50"/>
      <c r="J156" s="50"/>
      <c r="K156" s="50"/>
      <c r="M156" s="5"/>
      <c r="N156" s="73"/>
    </row>
    <row r="157" spans="2:18" x14ac:dyDescent="0.3">
      <c r="B157" s="56" t="s">
        <v>65</v>
      </c>
      <c r="C157" s="70" t="s">
        <v>52</v>
      </c>
      <c r="D157" s="59" t="s">
        <v>66</v>
      </c>
      <c r="E157" s="59"/>
      <c r="F157" s="59">
        <v>212</v>
      </c>
      <c r="G157" s="59">
        <v>0.9</v>
      </c>
      <c r="H157" s="60">
        <f>F157*(PI()*(G157/2)^2)</f>
        <v>134.86857261860985</v>
      </c>
      <c r="I157" s="60">
        <v>3.32</v>
      </c>
      <c r="J157" s="53">
        <f>PI()*((G157/2)^2-((G157-0.3)/2)^2)*0.5+(PI()*I157*((G157-0.3)/2)^2)</f>
        <v>1.1154224716570562</v>
      </c>
      <c r="K157" s="53">
        <f t="shared" si="20"/>
        <v>236.46956399129593</v>
      </c>
      <c r="M157" s="80" t="s">
        <v>130</v>
      </c>
      <c r="N157" s="81">
        <f>(SUM(K176:K180)/(PI()*N153))/2*3</f>
        <v>3.3245260964999996</v>
      </c>
      <c r="P157" s="73"/>
    </row>
    <row r="158" spans="2:18" x14ac:dyDescent="0.3">
      <c r="B158" s="47" t="s">
        <v>27</v>
      </c>
      <c r="C158" s="54" t="s">
        <v>52</v>
      </c>
      <c r="D158" s="49" t="s">
        <v>47</v>
      </c>
      <c r="E158" s="49"/>
      <c r="F158" s="49">
        <v>212</v>
      </c>
      <c r="G158" s="49">
        <v>0.24199999999999999</v>
      </c>
      <c r="H158" s="50">
        <f>F158*(PI()*(G158/2)^2)</f>
        <v>9.7511643047361307</v>
      </c>
      <c r="I158" s="50">
        <v>3.32</v>
      </c>
      <c r="J158" s="50">
        <f>PI()*((G158/2)^2-((G158-0.1)/2)^2)*0.5+(PI()*I158*((G158-0.1)/2)^2)</f>
        <v>6.7657716378828212E-2</v>
      </c>
      <c r="K158" s="50">
        <f t="shared" si="20"/>
        <v>14.343435872311581</v>
      </c>
      <c r="M158" s="80"/>
      <c r="N158" s="81"/>
      <c r="P158" s="80"/>
      <c r="Q158" s="80"/>
      <c r="R158" s="80"/>
    </row>
    <row r="159" spans="2:18" ht="14.7" customHeight="1" x14ac:dyDescent="0.3">
      <c r="B159" s="55" t="s">
        <v>27</v>
      </c>
      <c r="C159" s="51" t="s">
        <v>8</v>
      </c>
      <c r="D159" s="52" t="s">
        <v>29</v>
      </c>
      <c r="E159" s="52" t="s">
        <v>30</v>
      </c>
      <c r="F159" s="52">
        <v>424</v>
      </c>
      <c r="G159" s="52">
        <v>0.16</v>
      </c>
      <c r="H159" s="53">
        <f>F159*(PI()*(G159/2)^2)</f>
        <v>8.5250258247812631</v>
      </c>
      <c r="I159" s="53">
        <v>0.81</v>
      </c>
      <c r="J159" s="53">
        <f>PI()*((G159/2)^2-((G159-0.1)/2)^2)*0.5+(PI()*I159*((G159-0.1)/2)^2)</f>
        <v>1.0929600841838891E-2</v>
      </c>
      <c r="K159" s="53">
        <f t="shared" si="20"/>
        <v>4.6341507569396896</v>
      </c>
      <c r="M159" s="80"/>
      <c r="N159" s="81"/>
      <c r="P159" s="81"/>
      <c r="Q159" s="81"/>
      <c r="R159" s="81"/>
    </row>
    <row r="160" spans="2:18" x14ac:dyDescent="0.3">
      <c r="B160" s="47"/>
      <c r="C160" s="54" t="s">
        <v>12</v>
      </c>
      <c r="D160" s="49" t="s">
        <v>13</v>
      </c>
      <c r="E160" s="49" t="s">
        <v>15</v>
      </c>
      <c r="F160" s="49">
        <v>8</v>
      </c>
      <c r="G160" s="49">
        <v>1.2</v>
      </c>
      <c r="H160" s="50">
        <f>F160*(PI()*(G160/2)^2)</f>
        <v>9.0477868423386045</v>
      </c>
      <c r="I160" s="50">
        <v>0.37</v>
      </c>
      <c r="J160" s="50">
        <f>PI()*((G160/2)^2-((G160-0.1)/2)^2)*0.5+(PI()*I160*((G160-0.1)/2)^2)</f>
        <v>0.44194354654374418</v>
      </c>
      <c r="K160" s="50">
        <f t="shared" si="20"/>
        <v>3.5355483723499534</v>
      </c>
    </row>
    <row r="161" spans="2:18" x14ac:dyDescent="0.3">
      <c r="B161" s="55"/>
      <c r="C161" s="51"/>
      <c r="D161" s="52"/>
      <c r="E161" s="52"/>
      <c r="F161" s="52"/>
      <c r="G161" s="52"/>
      <c r="H161" s="53"/>
      <c r="I161" s="53"/>
      <c r="J161" s="53"/>
      <c r="K161" s="53"/>
      <c r="M161" s="113" t="s">
        <v>95</v>
      </c>
      <c r="N161" s="113"/>
      <c r="O161" s="112"/>
      <c r="P161" s="112"/>
      <c r="Q161" s="112"/>
      <c r="R161" s="112"/>
    </row>
    <row r="162" spans="2:18" x14ac:dyDescent="0.3">
      <c r="B162" s="47" t="s">
        <v>67</v>
      </c>
      <c r="C162" s="54" t="s">
        <v>7</v>
      </c>
      <c r="D162" s="49" t="s">
        <v>68</v>
      </c>
      <c r="E162" s="49"/>
      <c r="F162" s="49">
        <v>336</v>
      </c>
      <c r="G162" s="49">
        <v>0.48</v>
      </c>
      <c r="H162" s="50">
        <f>F162*(PI()*(G162/2)^2)</f>
        <v>60.80112758051542</v>
      </c>
      <c r="I162" s="50">
        <v>3.32</v>
      </c>
      <c r="J162" s="50">
        <f>PI()*((G162/2)^2-((G162-0.2)/2)^2)*0.5+(PI()*I162*((G162-0.2)/2)^2)</f>
        <v>0.26411997757260108</v>
      </c>
      <c r="K162" s="50">
        <f t="shared" si="20"/>
        <v>88.744312464393971</v>
      </c>
      <c r="M162" s="80" t="s">
        <v>88</v>
      </c>
      <c r="N162" s="4">
        <v>-180</v>
      </c>
    </row>
    <row r="163" spans="2:18" x14ac:dyDescent="0.3">
      <c r="B163" s="55"/>
      <c r="C163" s="51" t="s">
        <v>8</v>
      </c>
      <c r="D163" s="52" t="s">
        <v>69</v>
      </c>
      <c r="E163" s="52" t="s">
        <v>24</v>
      </c>
      <c r="F163" s="52">
        <v>336</v>
      </c>
      <c r="G163" s="52">
        <v>0.32</v>
      </c>
      <c r="H163" s="53">
        <f>F163*(PI()*(G163/2)^2)</f>
        <v>27.022723369117966</v>
      </c>
      <c r="I163" s="53">
        <v>0.81</v>
      </c>
      <c r="J163" s="53">
        <f>PI()*((G163/2)^2-((G163-0.1)/2)^2)*0.5+(PI()*I163*((G163-0.1)/2)^2)</f>
        <v>5.199650000956467E-2</v>
      </c>
      <c r="K163" s="53">
        <f t="shared" si="20"/>
        <v>17.470824003213728</v>
      </c>
      <c r="M163" s="5" t="s">
        <v>87</v>
      </c>
      <c r="N163" s="4">
        <v>192</v>
      </c>
    </row>
    <row r="164" spans="2:18" x14ac:dyDescent="0.3">
      <c r="B164" s="47"/>
      <c r="C164" s="54" t="s">
        <v>7</v>
      </c>
      <c r="D164" s="49" t="s">
        <v>70</v>
      </c>
      <c r="E164" s="49"/>
      <c r="F164" s="49">
        <v>24</v>
      </c>
      <c r="G164" s="49">
        <v>0.6</v>
      </c>
      <c r="H164" s="50">
        <f>F164*(PI()*(G164/2)^2)</f>
        <v>6.7858401317539538</v>
      </c>
      <c r="I164" s="50">
        <v>3.32</v>
      </c>
      <c r="J164" s="50">
        <f>PI()*((G164/2)^2-((G164-0.1)/2)^2)*0.5+(PI()*I164*((G164-0.1)/2)^2)</f>
        <v>0.69507737460674168</v>
      </c>
      <c r="K164" s="50">
        <f t="shared" si="20"/>
        <v>16.681856990561801</v>
      </c>
      <c r="M164" s="5"/>
      <c r="N164" s="4"/>
    </row>
    <row r="165" spans="2:18" x14ac:dyDescent="0.3">
      <c r="B165" s="55"/>
      <c r="C165" s="51"/>
      <c r="D165" s="52"/>
      <c r="E165" s="52"/>
      <c r="F165" s="52"/>
      <c r="G165" s="52"/>
      <c r="H165" s="53"/>
      <c r="I165" s="53"/>
      <c r="J165" s="53">
        <f>PI()*((G165/2)^2-((G165-0.1)/2)^2)*0.5+(PI()*I165*((G165-0.1)/2)^2)</f>
        <v>-3.9269908169872417E-3</v>
      </c>
      <c r="K165" s="53">
        <f t="shared" si="20"/>
        <v>0</v>
      </c>
      <c r="M165" s="5"/>
      <c r="N165" s="4"/>
    </row>
    <row r="166" spans="2:18" x14ac:dyDescent="0.3">
      <c r="B166" s="47"/>
      <c r="C166" s="54" t="s">
        <v>12</v>
      </c>
      <c r="D166" s="49" t="s">
        <v>21</v>
      </c>
      <c r="E166" s="49" t="s">
        <v>32</v>
      </c>
      <c r="F166" s="49">
        <v>48</v>
      </c>
      <c r="G166" s="49">
        <v>0.4</v>
      </c>
      <c r="H166" s="50">
        <f>F166*(PI()*(G166/2)^2)</f>
        <v>6.0318578948924033</v>
      </c>
      <c r="I166" s="50">
        <v>0.01</v>
      </c>
      <c r="J166" s="50">
        <f>PI()*((G166/2)^2-((G166-0.1)/2)^2)*0.5+(PI()*I166*((G166-0.1)/2)^2)</f>
        <v>2.8195794065968397E-2</v>
      </c>
      <c r="K166" s="50">
        <f t="shared" si="20"/>
        <v>1.3533981151664831</v>
      </c>
      <c r="M166" s="80" t="s">
        <v>130</v>
      </c>
      <c r="N166" s="81">
        <f>SQRT(((PI()*N163^2)-SUM(K176:K180)*6)/PI())</f>
        <v>187.79836919867009</v>
      </c>
    </row>
    <row r="167" spans="2:18" x14ac:dyDescent="0.3">
      <c r="B167" s="55"/>
      <c r="C167" s="51" t="s">
        <v>12</v>
      </c>
      <c r="D167" s="52" t="s">
        <v>12</v>
      </c>
      <c r="E167" s="52" t="s">
        <v>32</v>
      </c>
      <c r="F167" s="52">
        <v>96</v>
      </c>
      <c r="G167" s="52">
        <v>0.63</v>
      </c>
      <c r="H167" s="53">
        <f>F167*(PI()*(G167/2)^2)</f>
        <v>29.925554981034935</v>
      </c>
      <c r="I167" s="53">
        <v>0.37</v>
      </c>
      <c r="J167" s="53">
        <f>PI()*((G167/2)^2-((G167-0.1)/2)^2)*0.5+(PI()*I167*((G167-0.1)/2)^2)</f>
        <v>0.12718188079343901</v>
      </c>
      <c r="K167" s="53">
        <f t="shared" si="20"/>
        <v>12.209460556170145</v>
      </c>
      <c r="M167" s="80"/>
      <c r="N167" s="81"/>
      <c r="P167" s="80"/>
      <c r="Q167" s="80"/>
      <c r="R167" s="80"/>
    </row>
    <row r="168" spans="2:18" x14ac:dyDescent="0.3">
      <c r="B168" s="72"/>
      <c r="C168" s="49"/>
      <c r="D168" s="49"/>
      <c r="E168" s="49"/>
      <c r="F168" s="49"/>
      <c r="G168" s="49"/>
      <c r="H168" s="50"/>
      <c r="I168" s="50"/>
      <c r="J168" s="50"/>
      <c r="K168" s="50"/>
      <c r="M168" s="80"/>
      <c r="N168" s="4"/>
    </row>
    <row r="169" spans="2:18" ht="14.25" customHeight="1" x14ac:dyDescent="0.3">
      <c r="B169" s="108"/>
      <c r="C169" s="59"/>
      <c r="D169" s="59"/>
      <c r="E169" s="59"/>
      <c r="F169" s="59"/>
      <c r="G169" s="59"/>
      <c r="H169" s="60"/>
      <c r="I169" s="60"/>
      <c r="J169" s="60"/>
      <c r="K169" s="60"/>
      <c r="M169" s="5"/>
      <c r="N169" s="4"/>
    </row>
    <row r="170" spans="2:18" ht="15" customHeight="1" x14ac:dyDescent="0.3">
      <c r="B170" s="72"/>
      <c r="C170" s="49"/>
      <c r="D170" s="49"/>
      <c r="E170" s="49"/>
      <c r="F170" s="49"/>
      <c r="G170" s="49"/>
      <c r="H170" s="50"/>
      <c r="I170" s="50"/>
      <c r="J170" s="50"/>
      <c r="K170" s="50"/>
      <c r="M170" s="5"/>
      <c r="N170" s="4"/>
    </row>
    <row r="171" spans="2:18" x14ac:dyDescent="0.3">
      <c r="B171" s="71" t="s">
        <v>27</v>
      </c>
      <c r="C171" s="52"/>
      <c r="D171" s="52" t="s">
        <v>27</v>
      </c>
      <c r="E171" s="52"/>
      <c r="F171" s="52" t="s">
        <v>27</v>
      </c>
      <c r="G171" s="52" t="s">
        <v>27</v>
      </c>
      <c r="H171" s="53" t="s">
        <v>27</v>
      </c>
      <c r="I171" s="53"/>
      <c r="J171" s="53" t="s">
        <v>27</v>
      </c>
      <c r="K171" s="53" t="s">
        <v>27</v>
      </c>
      <c r="M171" s="5"/>
      <c r="N171" s="4"/>
    </row>
    <row r="172" spans="2:18" x14ac:dyDescent="0.3">
      <c r="B172" s="72" t="s">
        <v>27</v>
      </c>
      <c r="C172" s="49"/>
      <c r="D172" s="49" t="s">
        <v>27</v>
      </c>
      <c r="E172" s="49"/>
      <c r="F172" s="49" t="s">
        <v>27</v>
      </c>
      <c r="G172" s="49" t="s">
        <v>27</v>
      </c>
      <c r="H172" s="50" t="s">
        <v>27</v>
      </c>
      <c r="I172" s="50"/>
      <c r="J172" s="50" t="s">
        <v>27</v>
      </c>
      <c r="K172" s="50" t="s">
        <v>27</v>
      </c>
      <c r="M172" s="80"/>
      <c r="N172" s="81"/>
    </row>
    <row r="173" spans="2:18" x14ac:dyDescent="0.3">
      <c r="B173" s="71" t="s">
        <v>27</v>
      </c>
      <c r="C173" s="52"/>
      <c r="D173" s="52" t="s">
        <v>27</v>
      </c>
      <c r="E173" s="52"/>
      <c r="F173" s="52" t="s">
        <v>27</v>
      </c>
      <c r="G173" s="52" t="s">
        <v>27</v>
      </c>
      <c r="H173" s="53" t="s">
        <v>27</v>
      </c>
      <c r="I173" s="53"/>
      <c r="J173" s="53" t="s">
        <v>27</v>
      </c>
      <c r="K173" s="53" t="s">
        <v>27</v>
      </c>
      <c r="M173" s="80"/>
      <c r="N173" s="81"/>
      <c r="P173" s="80"/>
      <c r="Q173" s="80"/>
      <c r="R173" s="80"/>
    </row>
    <row r="174" spans="2:18" ht="15" thickBot="1" x14ac:dyDescent="0.35">
      <c r="B174" s="139" t="s">
        <v>33</v>
      </c>
      <c r="C174" s="140"/>
      <c r="D174" s="141"/>
      <c r="E174" s="63"/>
      <c r="F174" s="64">
        <f>SUM(F150:F173)</f>
        <v>3052</v>
      </c>
      <c r="G174" s="64"/>
      <c r="H174" s="65">
        <f t="shared" ref="H174:J174" si="21">SUM(H150:H173)</f>
        <v>1202.5415485219914</v>
      </c>
      <c r="I174" s="65"/>
      <c r="J174" s="65">
        <f t="shared" si="21"/>
        <v>16.04558635056334</v>
      </c>
      <c r="K174" s="65">
        <f>SUM(K150:K173)</f>
        <v>813.34104580878602</v>
      </c>
      <c r="M174" s="80"/>
      <c r="N174" s="81"/>
      <c r="P174" s="81"/>
      <c r="Q174" s="81"/>
      <c r="R174" s="81"/>
    </row>
    <row r="175" spans="2:18" ht="15" customHeight="1" thickBot="1" x14ac:dyDescent="0.35">
      <c r="B175" s="147" t="s">
        <v>71</v>
      </c>
      <c r="C175" s="146"/>
      <c r="D175" s="146"/>
      <c r="E175" s="146"/>
      <c r="F175" s="146"/>
      <c r="G175" s="146"/>
      <c r="H175" s="146"/>
      <c r="I175" s="146"/>
      <c r="J175" s="146"/>
      <c r="K175" s="146"/>
    </row>
    <row r="176" spans="2:18" x14ac:dyDescent="0.3">
      <c r="B176" s="151" t="s">
        <v>35</v>
      </c>
      <c r="C176" s="152"/>
      <c r="D176" s="153"/>
      <c r="E176" s="66"/>
      <c r="F176" s="67">
        <f>F174</f>
        <v>3052</v>
      </c>
      <c r="G176" s="67"/>
      <c r="H176" s="68">
        <f t="shared" ref="H176:K176" si="22">H174</f>
        <v>1202.5415485219914</v>
      </c>
      <c r="I176" s="68"/>
      <c r="J176" s="68">
        <f t="shared" si="22"/>
        <v>16.04558635056334</v>
      </c>
      <c r="K176" s="68">
        <f t="shared" si="22"/>
        <v>813.34104580878602</v>
      </c>
      <c r="M176" s="113"/>
      <c r="N176" s="113"/>
      <c r="O176" s="113"/>
      <c r="P176" s="113"/>
      <c r="Q176" s="113"/>
      <c r="R176" s="113"/>
    </row>
    <row r="177" spans="2:18" x14ac:dyDescent="0.3">
      <c r="B177" s="71" t="s">
        <v>51</v>
      </c>
      <c r="C177" s="52" t="s">
        <v>52</v>
      </c>
      <c r="D177" s="52" t="s">
        <v>53</v>
      </c>
      <c r="E177" s="52" t="s">
        <v>54</v>
      </c>
      <c r="F177" s="52">
        <v>288</v>
      </c>
      <c r="G177" s="52">
        <v>0.1</v>
      </c>
      <c r="H177" s="53">
        <f>F177*(PI()*(G177/2)^2)</f>
        <v>2.2619467105846511</v>
      </c>
      <c r="I177" s="53">
        <v>3.32</v>
      </c>
      <c r="J177" s="53">
        <f>PI()*((G177/2)^2-((G177-0.05)/2)^2)*0.5+(PI()*I177*((G177-0.05)/2)^2)</f>
        <v>9.4640478689392536E-3</v>
      </c>
      <c r="K177" s="53">
        <f t="shared" ref="K177:K180" si="23">F177*J177</f>
        <v>2.7256457862545052</v>
      </c>
      <c r="M177" s="80"/>
      <c r="N177" s="4"/>
    </row>
    <row r="178" spans="2:18" x14ac:dyDescent="0.3">
      <c r="B178" s="72"/>
      <c r="C178" s="49" t="s">
        <v>8</v>
      </c>
      <c r="D178" s="49" t="s">
        <v>55</v>
      </c>
      <c r="E178" s="49" t="s">
        <v>56</v>
      </c>
      <c r="F178" s="49">
        <v>192</v>
      </c>
      <c r="G178" s="49">
        <v>0.2</v>
      </c>
      <c r="H178" s="50">
        <f>F178*(PI()*(G178/2)^2)</f>
        <v>6.0318578948924033</v>
      </c>
      <c r="I178" s="50">
        <v>3.32</v>
      </c>
      <c r="J178" s="50">
        <f>PI()*((G178/2)^2-((G178-0.1)/2)^2)*0.5+(PI()*I178*((G178-0.1)/2)^2)</f>
        <v>3.7856191475757014E-2</v>
      </c>
      <c r="K178" s="50">
        <f t="shared" si="23"/>
        <v>7.2683887633453468</v>
      </c>
      <c r="M178" s="5"/>
      <c r="N178" s="4"/>
    </row>
    <row r="179" spans="2:18" x14ac:dyDescent="0.3">
      <c r="B179" s="71"/>
      <c r="C179" s="52" t="s">
        <v>12</v>
      </c>
      <c r="D179" s="52" t="s">
        <v>55</v>
      </c>
      <c r="E179" s="52"/>
      <c r="F179" s="52">
        <v>96</v>
      </c>
      <c r="G179" s="52">
        <v>0.63</v>
      </c>
      <c r="H179" s="53">
        <f>F179*(PI()*(G179/2)^2)</f>
        <v>29.925554981034935</v>
      </c>
      <c r="I179" s="53">
        <v>0.37</v>
      </c>
      <c r="J179" s="53">
        <f>PI()*((G179/2)^2-((G179-0.1)/2)^2)*0.5+(PI()*I179*((G179-0.1)/2)^2)</f>
        <v>0.12718188079343901</v>
      </c>
      <c r="K179" s="53">
        <f t="shared" si="23"/>
        <v>12.209460556170145</v>
      </c>
      <c r="M179" s="5"/>
      <c r="N179" s="4"/>
    </row>
    <row r="180" spans="2:18" x14ac:dyDescent="0.3">
      <c r="B180" s="72"/>
      <c r="C180" s="49" t="s">
        <v>12</v>
      </c>
      <c r="D180" s="49" t="s">
        <v>57</v>
      </c>
      <c r="E180" s="49"/>
      <c r="F180" s="49"/>
      <c r="G180" s="49"/>
      <c r="H180" s="50"/>
      <c r="I180" s="50"/>
      <c r="J180" s="50">
        <f>PI()*((G180/2)^2-((G180-0.1)/2)^2)*0.5+(PI()*I180*((G180-0.1)/2)^2)</f>
        <v>-3.9269908169872417E-3</v>
      </c>
      <c r="K180" s="50">
        <f t="shared" si="23"/>
        <v>0</v>
      </c>
      <c r="M180" s="5"/>
      <c r="N180" s="4"/>
    </row>
    <row r="181" spans="2:18" x14ac:dyDescent="0.3">
      <c r="B181" s="71"/>
      <c r="C181" s="52"/>
      <c r="D181" s="52"/>
      <c r="E181" s="52"/>
      <c r="F181" s="52"/>
      <c r="G181" s="52"/>
      <c r="H181" s="53"/>
      <c r="I181" s="53"/>
      <c r="J181" s="53"/>
      <c r="K181" s="53"/>
      <c r="M181" s="80"/>
      <c r="N181" s="81"/>
    </row>
    <row r="182" spans="2:18" ht="15" thickBot="1" x14ac:dyDescent="0.35">
      <c r="B182" s="139" t="s">
        <v>33</v>
      </c>
      <c r="C182" s="140"/>
      <c r="D182" s="141"/>
      <c r="E182" s="63"/>
      <c r="F182" s="64">
        <f>SUM(F176:F181)</f>
        <v>3628</v>
      </c>
      <c r="G182" s="64"/>
      <c r="H182" s="65">
        <f>SUM(H176:H181)</f>
        <v>1240.7609081085036</v>
      </c>
      <c r="I182" s="65"/>
      <c r="J182" s="65">
        <f>SUM(J176:J181)</f>
        <v>16.216161479884491</v>
      </c>
      <c r="K182" s="65">
        <f>SUM(K176:K181)</f>
        <v>835.54454091455602</v>
      </c>
      <c r="M182" s="80"/>
      <c r="N182" s="81"/>
      <c r="P182" s="81"/>
      <c r="Q182" s="81"/>
      <c r="R182" s="81"/>
    </row>
    <row r="183" spans="2:18" ht="15" thickBot="1" x14ac:dyDescent="0.35">
      <c r="B183" s="147" t="s">
        <v>78</v>
      </c>
      <c r="C183" s="146"/>
      <c r="D183" s="146"/>
      <c r="E183" s="146"/>
      <c r="F183" s="146"/>
      <c r="G183" s="146"/>
      <c r="H183" s="146"/>
      <c r="I183" s="146"/>
      <c r="J183" s="146"/>
      <c r="K183" s="146"/>
    </row>
    <row r="184" spans="2:18" x14ac:dyDescent="0.3">
      <c r="B184" s="151" t="s">
        <v>35</v>
      </c>
      <c r="C184" s="152"/>
      <c r="D184" s="153"/>
      <c r="E184" s="66"/>
      <c r="F184" s="67">
        <f>F182</f>
        <v>3628</v>
      </c>
      <c r="G184" s="67"/>
      <c r="H184" s="68">
        <f t="shared" ref="H184:K184" si="24">H182</f>
        <v>1240.7609081085036</v>
      </c>
      <c r="I184" s="68"/>
      <c r="J184" s="68">
        <f t="shared" si="24"/>
        <v>16.216161479884491</v>
      </c>
      <c r="K184" s="68">
        <f t="shared" si="24"/>
        <v>835.54454091455602</v>
      </c>
    </row>
    <row r="185" spans="2:18" x14ac:dyDescent="0.3">
      <c r="B185" s="71" t="s">
        <v>72</v>
      </c>
      <c r="C185" s="52" t="s">
        <v>52</v>
      </c>
      <c r="D185" s="52" t="s">
        <v>79</v>
      </c>
      <c r="E185" s="52"/>
      <c r="F185" s="52">
        <v>312</v>
      </c>
      <c r="G185" s="52">
        <v>0.26</v>
      </c>
      <c r="H185" s="53">
        <f t="shared" ref="H185:H198" si="25">F185*(PI()*(G185/2)^2)</f>
        <v>16.564989743848265</v>
      </c>
      <c r="I185" s="53"/>
      <c r="J185" s="53">
        <f t="shared" ref="J185:J198" si="26">H185*1.5</f>
        <v>24.847484615772398</v>
      </c>
      <c r="K185" s="53">
        <f t="shared" ref="K185:K193" si="27">J185*1.5</f>
        <v>37.271226923658595</v>
      </c>
    </row>
    <row r="186" spans="2:18" x14ac:dyDescent="0.3">
      <c r="B186" s="109" t="s">
        <v>27</v>
      </c>
      <c r="C186" s="84" t="s">
        <v>52</v>
      </c>
      <c r="D186" s="84" t="s">
        <v>79</v>
      </c>
      <c r="E186" s="84"/>
      <c r="F186" s="84">
        <v>312</v>
      </c>
      <c r="G186" s="84">
        <v>0.23</v>
      </c>
      <c r="H186" s="85">
        <f t="shared" si="25"/>
        <v>12.962839607242206</v>
      </c>
      <c r="I186" s="85"/>
      <c r="J186" s="85">
        <f t="shared" si="26"/>
        <v>19.44425941086331</v>
      </c>
      <c r="K186" s="85">
        <f t="shared" si="27"/>
        <v>29.166389116294965</v>
      </c>
    </row>
    <row r="187" spans="2:18" x14ac:dyDescent="0.3">
      <c r="B187" s="95" t="s">
        <v>27</v>
      </c>
      <c r="C187" s="91" t="s">
        <v>52</v>
      </c>
      <c r="D187" s="91" t="s">
        <v>80</v>
      </c>
      <c r="E187" s="91"/>
      <c r="F187" s="91">
        <v>312</v>
      </c>
      <c r="G187" s="91">
        <v>0.2</v>
      </c>
      <c r="H187" s="92">
        <f t="shared" si="25"/>
        <v>9.8017690792001559</v>
      </c>
      <c r="I187" s="92"/>
      <c r="J187" s="92">
        <f t="shared" si="26"/>
        <v>14.702653618800234</v>
      </c>
      <c r="K187" s="92">
        <f t="shared" si="27"/>
        <v>22.053980428200351</v>
      </c>
    </row>
    <row r="188" spans="2:18" x14ac:dyDescent="0.3">
      <c r="B188" s="109" t="s">
        <v>27</v>
      </c>
      <c r="C188" s="84" t="s">
        <v>52</v>
      </c>
      <c r="D188" s="84" t="s">
        <v>81</v>
      </c>
      <c r="E188" s="84"/>
      <c r="F188" s="84">
        <v>6</v>
      </c>
      <c r="G188" s="84">
        <v>0.18</v>
      </c>
      <c r="H188" s="86">
        <f t="shared" si="25"/>
        <v>0.15268140296446392</v>
      </c>
      <c r="I188" s="86"/>
      <c r="J188" s="86">
        <f t="shared" si="26"/>
        <v>0.22902210444669588</v>
      </c>
      <c r="K188" s="86">
        <f t="shared" si="27"/>
        <v>0.3435331566700438</v>
      </c>
    </row>
    <row r="189" spans="2:18" x14ac:dyDescent="0.3">
      <c r="B189" s="95" t="s">
        <v>27</v>
      </c>
      <c r="C189" s="91" t="s">
        <v>7</v>
      </c>
      <c r="D189" s="91" t="s">
        <v>82</v>
      </c>
      <c r="E189" s="91"/>
      <c r="F189" s="91">
        <v>12</v>
      </c>
      <c r="G189" s="91">
        <v>0.09</v>
      </c>
      <c r="H189" s="92">
        <f t="shared" si="25"/>
        <v>7.634070148223196E-2</v>
      </c>
      <c r="I189" s="92"/>
      <c r="J189" s="92">
        <f t="shared" si="26"/>
        <v>0.11451105222334794</v>
      </c>
      <c r="K189" s="92">
        <f t="shared" si="27"/>
        <v>0.1717665783350219</v>
      </c>
    </row>
    <row r="190" spans="2:18" x14ac:dyDescent="0.3">
      <c r="B190" s="110"/>
      <c r="C190" s="84" t="s">
        <v>52</v>
      </c>
      <c r="D190" s="84" t="s">
        <v>102</v>
      </c>
      <c r="E190" s="84"/>
      <c r="F190" s="84">
        <v>1248</v>
      </c>
      <c r="G190" s="84">
        <v>0.15</v>
      </c>
      <c r="H190" s="86">
        <f t="shared" si="25"/>
        <v>22.053980428200347</v>
      </c>
      <c r="I190" s="86"/>
      <c r="J190" s="86">
        <f t="shared" si="26"/>
        <v>33.080970642300521</v>
      </c>
      <c r="K190" s="86">
        <f t="shared" si="27"/>
        <v>49.621455963450785</v>
      </c>
    </row>
    <row r="191" spans="2:18" x14ac:dyDescent="0.3">
      <c r="B191" s="95"/>
      <c r="C191" s="94" t="s">
        <v>52</v>
      </c>
      <c r="D191" s="94" t="s">
        <v>83</v>
      </c>
      <c r="E191" s="94"/>
      <c r="F191" s="94">
        <v>48</v>
      </c>
      <c r="G191" s="94">
        <v>0.4</v>
      </c>
      <c r="H191" s="92">
        <f t="shared" si="25"/>
        <v>6.0318578948924033</v>
      </c>
      <c r="I191" s="92"/>
      <c r="J191" s="92">
        <f t="shared" si="26"/>
        <v>9.0477868423386045</v>
      </c>
      <c r="K191" s="92">
        <f t="shared" si="27"/>
        <v>13.571680263507908</v>
      </c>
    </row>
    <row r="192" spans="2:18" ht="15" customHeight="1" x14ac:dyDescent="0.3">
      <c r="B192" s="110"/>
      <c r="C192" s="84" t="s">
        <v>8</v>
      </c>
      <c r="D192" s="84" t="s">
        <v>84</v>
      </c>
      <c r="E192" s="84"/>
      <c r="F192" s="84">
        <v>312</v>
      </c>
      <c r="G192" s="84">
        <v>0.2</v>
      </c>
      <c r="H192" s="86">
        <f t="shared" si="25"/>
        <v>9.8017690792001559</v>
      </c>
      <c r="I192" s="86"/>
      <c r="J192" s="86">
        <f t="shared" si="26"/>
        <v>14.702653618800234</v>
      </c>
      <c r="K192" s="86">
        <f t="shared" si="27"/>
        <v>22.053980428200351</v>
      </c>
    </row>
    <row r="193" spans="2:11" x14ac:dyDescent="0.3">
      <c r="B193" s="95"/>
      <c r="C193" s="94" t="s">
        <v>8</v>
      </c>
      <c r="D193" s="94" t="s">
        <v>85</v>
      </c>
      <c r="E193" s="94"/>
      <c r="F193" s="94">
        <v>60</v>
      </c>
      <c r="G193" s="94">
        <v>0.1</v>
      </c>
      <c r="H193" s="92">
        <f t="shared" si="25"/>
        <v>0.47123889803846902</v>
      </c>
      <c r="I193" s="92"/>
      <c r="J193" s="92">
        <f t="shared" si="26"/>
        <v>0.70685834705770356</v>
      </c>
      <c r="K193" s="92">
        <f t="shared" si="27"/>
        <v>1.0602875205865554</v>
      </c>
    </row>
    <row r="194" spans="2:11" x14ac:dyDescent="0.3">
      <c r="B194" s="109"/>
      <c r="C194" s="87" t="s">
        <v>12</v>
      </c>
      <c r="D194" s="87" t="s">
        <v>73</v>
      </c>
      <c r="E194" s="87"/>
      <c r="F194" s="87">
        <v>12</v>
      </c>
      <c r="G194" s="87">
        <v>1.27</v>
      </c>
      <c r="H194" s="85">
        <f t="shared" si="25"/>
        <v>15.20122437292493</v>
      </c>
      <c r="I194" s="85"/>
      <c r="J194" s="85">
        <f t="shared" si="26"/>
        <v>22.801836559387397</v>
      </c>
      <c r="K194" s="85">
        <f>J194*2</f>
        <v>45.603673118774793</v>
      </c>
    </row>
    <row r="195" spans="2:11" x14ac:dyDescent="0.3">
      <c r="B195" s="95"/>
      <c r="C195" s="91" t="s">
        <v>12</v>
      </c>
      <c r="D195" s="91" t="s">
        <v>74</v>
      </c>
      <c r="E195" s="91"/>
      <c r="F195" s="91">
        <v>12</v>
      </c>
      <c r="G195" s="91">
        <v>1.27</v>
      </c>
      <c r="H195" s="93">
        <f t="shared" si="25"/>
        <v>15.20122437292493</v>
      </c>
      <c r="I195" s="93"/>
      <c r="J195" s="93">
        <f t="shared" si="26"/>
        <v>22.801836559387397</v>
      </c>
      <c r="K195" s="93">
        <f>J195*2</f>
        <v>45.603673118774793</v>
      </c>
    </row>
    <row r="196" spans="2:11" x14ac:dyDescent="0.3">
      <c r="B196" s="109"/>
      <c r="C196" s="87" t="s">
        <v>12</v>
      </c>
      <c r="D196" s="87" t="s">
        <v>75</v>
      </c>
      <c r="E196" s="87"/>
      <c r="F196" s="87">
        <v>12</v>
      </c>
      <c r="G196" s="87">
        <v>2.54</v>
      </c>
      <c r="H196" s="85">
        <f t="shared" si="25"/>
        <v>60.80489749169972</v>
      </c>
      <c r="I196" s="85"/>
      <c r="J196" s="85">
        <f t="shared" si="26"/>
        <v>91.207346237549586</v>
      </c>
      <c r="K196" s="85">
        <f>J196*2</f>
        <v>182.41469247509917</v>
      </c>
    </row>
    <row r="197" spans="2:11" x14ac:dyDescent="0.3">
      <c r="B197" s="95"/>
      <c r="C197" s="91" t="s">
        <v>12</v>
      </c>
      <c r="D197" s="91" t="s">
        <v>76</v>
      </c>
      <c r="E197" s="91"/>
      <c r="F197" s="91">
        <v>12</v>
      </c>
      <c r="G197" s="91">
        <v>5.08</v>
      </c>
      <c r="H197" s="93">
        <f t="shared" si="25"/>
        <v>243.21958996679888</v>
      </c>
      <c r="I197" s="93"/>
      <c r="J197" s="93">
        <f t="shared" si="26"/>
        <v>364.82938495019835</v>
      </c>
      <c r="K197" s="93">
        <f>J197*2</f>
        <v>729.65876990039669</v>
      </c>
    </row>
    <row r="198" spans="2:11" x14ac:dyDescent="0.3">
      <c r="B198" s="109" t="s">
        <v>27</v>
      </c>
      <c r="C198" s="87" t="s">
        <v>12</v>
      </c>
      <c r="D198" s="87" t="s">
        <v>77</v>
      </c>
      <c r="E198" s="87"/>
      <c r="F198" s="87">
        <v>12</v>
      </c>
      <c r="G198" s="87">
        <v>5.08</v>
      </c>
      <c r="H198" s="85">
        <f t="shared" si="25"/>
        <v>243.21958996679888</v>
      </c>
      <c r="I198" s="85"/>
      <c r="J198" s="85">
        <f t="shared" si="26"/>
        <v>364.82938495019835</v>
      </c>
      <c r="K198" s="85">
        <f>J198*2</f>
        <v>729.65876990039669</v>
      </c>
    </row>
    <row r="199" spans="2:11" x14ac:dyDescent="0.3">
      <c r="B199" s="95" t="s">
        <v>27</v>
      </c>
      <c r="C199" s="91"/>
      <c r="D199" s="91"/>
      <c r="E199" s="91"/>
      <c r="F199" s="91"/>
      <c r="G199" s="91"/>
      <c r="H199" s="93"/>
      <c r="I199" s="93"/>
      <c r="J199" s="93"/>
      <c r="K199" s="93"/>
    </row>
    <row r="200" spans="2:11" x14ac:dyDescent="0.3">
      <c r="B200" s="109" t="s">
        <v>27</v>
      </c>
      <c r="C200" s="84"/>
      <c r="D200" s="84"/>
      <c r="E200" s="84"/>
      <c r="F200" s="84"/>
      <c r="G200" s="84"/>
      <c r="H200" s="85"/>
      <c r="I200" s="85"/>
      <c r="J200" s="85"/>
      <c r="K200" s="85"/>
    </row>
    <row r="201" spans="2:11" x14ac:dyDescent="0.3">
      <c r="B201" s="95" t="s">
        <v>27</v>
      </c>
      <c r="C201" s="91"/>
      <c r="D201" s="91"/>
      <c r="E201" s="91"/>
      <c r="F201" s="91"/>
      <c r="G201" s="91"/>
      <c r="H201" s="93"/>
      <c r="I201" s="93"/>
      <c r="J201" s="93"/>
      <c r="K201" s="93"/>
    </row>
    <row r="202" spans="2:11" ht="15" thickBot="1" x14ac:dyDescent="0.35">
      <c r="B202" s="136" t="s">
        <v>33</v>
      </c>
      <c r="C202" s="137"/>
      <c r="D202" s="138"/>
      <c r="E202" s="88"/>
      <c r="F202" s="89">
        <f>SUM(F184:F201)</f>
        <v>6310</v>
      </c>
      <c r="G202" s="89"/>
      <c r="H202" s="90">
        <f t="shared" ref="H202:J202" si="28">SUM(H184:H201)</f>
        <v>1896.3249011147193</v>
      </c>
      <c r="I202" s="90"/>
      <c r="J202" s="90">
        <f t="shared" si="28"/>
        <v>999.56215098920859</v>
      </c>
      <c r="K202" s="90">
        <f>SUM(K184:K201)</f>
        <v>2743.7984198069025</v>
      </c>
    </row>
    <row r="206" spans="2:11" x14ac:dyDescent="0.3">
      <c r="G206" s="75"/>
    </row>
    <row r="207" spans="2:11" x14ac:dyDescent="0.3">
      <c r="D207" s="75"/>
      <c r="E207" s="75"/>
      <c r="F207" s="75"/>
      <c r="G207" s="75"/>
      <c r="H207" s="75"/>
      <c r="I207" s="75"/>
      <c r="J207" s="75"/>
      <c r="K207" s="75"/>
    </row>
    <row r="215" spans="3:11" x14ac:dyDescent="0.3">
      <c r="C215" s="75"/>
      <c r="D215" s="75"/>
      <c r="E215" s="75"/>
      <c r="F215" s="75"/>
      <c r="G215" s="75"/>
      <c r="H215" s="75"/>
      <c r="I215" s="75"/>
      <c r="J215" s="75"/>
      <c r="K215" s="75"/>
    </row>
    <row r="216" spans="3:11" x14ac:dyDescent="0.3">
      <c r="C216" s="75"/>
      <c r="D216" s="75"/>
      <c r="E216" s="75"/>
      <c r="F216" s="75"/>
      <c r="G216" s="75"/>
      <c r="H216" s="75"/>
      <c r="I216" s="75"/>
      <c r="J216" s="76"/>
      <c r="K216" s="76"/>
    </row>
    <row r="217" spans="3:11" x14ac:dyDescent="0.3">
      <c r="C217" s="75"/>
      <c r="D217" s="75"/>
      <c r="E217" s="75"/>
      <c r="F217" s="75"/>
      <c r="G217" s="75"/>
      <c r="H217" s="77"/>
      <c r="I217" s="77"/>
      <c r="J217" s="77"/>
      <c r="K217" s="77"/>
    </row>
    <row r="218" spans="3:11" x14ac:dyDescent="0.3">
      <c r="C218" s="75"/>
      <c r="D218" s="75"/>
      <c r="E218" s="75"/>
      <c r="F218" s="75"/>
      <c r="G218" s="75"/>
      <c r="H218" s="77"/>
      <c r="I218" s="77"/>
      <c r="J218" s="77"/>
      <c r="K218" s="77"/>
    </row>
    <row r="219" spans="3:11" x14ac:dyDescent="0.3">
      <c r="C219" s="75"/>
      <c r="D219" s="75"/>
      <c r="E219" s="75"/>
      <c r="F219" s="75"/>
      <c r="G219" s="75"/>
      <c r="H219" s="77"/>
      <c r="I219" s="77"/>
      <c r="J219" s="77"/>
      <c r="K219" s="77"/>
    </row>
    <row r="220" spans="3:11" x14ac:dyDescent="0.3">
      <c r="C220" s="75"/>
      <c r="D220" s="75"/>
      <c r="E220" s="75"/>
      <c r="F220" s="75"/>
      <c r="G220" s="75"/>
      <c r="H220" s="77"/>
      <c r="I220" s="77"/>
      <c r="J220" s="77"/>
      <c r="K220" s="77"/>
    </row>
    <row r="221" spans="3:11" x14ac:dyDescent="0.3">
      <c r="C221" s="75"/>
      <c r="D221" s="75"/>
      <c r="E221" s="75"/>
      <c r="F221" s="75"/>
      <c r="G221" s="75"/>
      <c r="H221" s="75"/>
      <c r="I221" s="75"/>
      <c r="J221" s="75"/>
      <c r="K221" s="77"/>
    </row>
    <row r="222" spans="3:11" x14ac:dyDescent="0.3">
      <c r="C222" s="75"/>
      <c r="D222" s="75"/>
      <c r="E222" s="75"/>
      <c r="F222" s="75"/>
      <c r="G222" s="75"/>
      <c r="H222" s="75"/>
      <c r="I222" s="75"/>
      <c r="J222" s="75"/>
      <c r="K222" s="77"/>
    </row>
    <row r="223" spans="3:11" x14ac:dyDescent="0.3">
      <c r="C223" s="75"/>
      <c r="D223" s="75"/>
      <c r="E223" s="75"/>
      <c r="F223" s="75"/>
      <c r="G223" s="75"/>
      <c r="H223" s="75"/>
      <c r="I223" s="75"/>
      <c r="J223" s="75"/>
      <c r="K223" s="77"/>
    </row>
    <row r="224" spans="3:11" x14ac:dyDescent="0.3">
      <c r="C224" s="75"/>
      <c r="D224" s="75"/>
      <c r="E224" s="75"/>
      <c r="F224" s="75"/>
      <c r="G224" s="75"/>
      <c r="H224" s="157"/>
      <c r="I224" s="157"/>
      <c r="J224" s="157"/>
      <c r="K224" s="77"/>
    </row>
    <row r="225" spans="3:11" x14ac:dyDescent="0.3">
      <c r="C225" s="75"/>
      <c r="D225" s="75"/>
      <c r="E225" s="75"/>
      <c r="F225" s="75"/>
      <c r="G225" s="75"/>
      <c r="H225" s="75"/>
      <c r="I225" s="75"/>
      <c r="J225" s="78"/>
      <c r="K225" s="77"/>
    </row>
    <row r="227" spans="3:11" x14ac:dyDescent="0.3">
      <c r="D227" s="75"/>
      <c r="E227" s="75"/>
      <c r="F227" s="75"/>
      <c r="G227" s="75"/>
      <c r="H227" s="75"/>
      <c r="I227" s="75"/>
      <c r="J227" s="75"/>
      <c r="K227" s="75"/>
    </row>
    <row r="230" spans="3:11" x14ac:dyDescent="0.3">
      <c r="D230" s="75"/>
      <c r="E230" s="75"/>
      <c r="F230" s="75"/>
      <c r="G230" s="75"/>
      <c r="H230" s="75"/>
      <c r="I230" s="75"/>
      <c r="J230" s="75"/>
      <c r="K230" s="75"/>
    </row>
  </sheetData>
  <mergeCells count="70">
    <mergeCell ref="M132:N132"/>
    <mergeCell ref="M141:N141"/>
    <mergeCell ref="M152:N152"/>
    <mergeCell ref="M161:N161"/>
    <mergeCell ref="M114:N114"/>
    <mergeCell ref="B2:K2"/>
    <mergeCell ref="M3:P3"/>
    <mergeCell ref="V3:Z3"/>
    <mergeCell ref="U5:U7"/>
    <mergeCell ref="V5:V7"/>
    <mergeCell ref="W5:W7"/>
    <mergeCell ref="B15:B17"/>
    <mergeCell ref="U17:U19"/>
    <mergeCell ref="V17:V19"/>
    <mergeCell ref="W17:W19"/>
    <mergeCell ref="U8:U10"/>
    <mergeCell ref="V8:V10"/>
    <mergeCell ref="W8:W10"/>
    <mergeCell ref="U11:U13"/>
    <mergeCell ref="V11:V13"/>
    <mergeCell ref="W11:W13"/>
    <mergeCell ref="M37:P37"/>
    <mergeCell ref="M12:P12"/>
    <mergeCell ref="U14:U16"/>
    <mergeCell ref="V14:V16"/>
    <mergeCell ref="W14:W16"/>
    <mergeCell ref="U20:U22"/>
    <mergeCell ref="V20:V22"/>
    <mergeCell ref="W20:W22"/>
    <mergeCell ref="M21:P21"/>
    <mergeCell ref="M28:P28"/>
    <mergeCell ref="M46:R46"/>
    <mergeCell ref="B48:D48"/>
    <mergeCell ref="B49:K49"/>
    <mergeCell ref="B50:D50"/>
    <mergeCell ref="M55:R55"/>
    <mergeCell ref="B62:D62"/>
    <mergeCell ref="B63:K63"/>
    <mergeCell ref="B64:D64"/>
    <mergeCell ref="M66:R66"/>
    <mergeCell ref="N77:P77"/>
    <mergeCell ref="M96:P96"/>
    <mergeCell ref="B94:D94"/>
    <mergeCell ref="B95:K95"/>
    <mergeCell ref="U108:AH108"/>
    <mergeCell ref="U109:Z109"/>
    <mergeCell ref="AD109:AG109"/>
    <mergeCell ref="M105:N105"/>
    <mergeCell ref="AR109:AU109"/>
    <mergeCell ref="AY109:BB109"/>
    <mergeCell ref="B111:B113"/>
    <mergeCell ref="U118:Z118"/>
    <mergeCell ref="AD118:AG118"/>
    <mergeCell ref="AK118:AN118"/>
    <mergeCell ref="AR118:AU118"/>
    <mergeCell ref="AY118:BB118"/>
    <mergeCell ref="AK109:AN109"/>
    <mergeCell ref="Q114:R114"/>
    <mergeCell ref="B175:K175"/>
    <mergeCell ref="B148:D148"/>
    <mergeCell ref="B149:K149"/>
    <mergeCell ref="H224:J224"/>
    <mergeCell ref="B182:D182"/>
    <mergeCell ref="B183:K183"/>
    <mergeCell ref="B184:D184"/>
    <mergeCell ref="B202:D202"/>
    <mergeCell ref="B176:D176"/>
    <mergeCell ref="M176:R176"/>
    <mergeCell ref="B150:D150"/>
    <mergeCell ref="B174:D1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Density</vt:lpstr>
      <vt:lpstr>Services Density Estimates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Wimmer, Roland</dc:creator>
  <cp:lastModifiedBy>Wimmer, Roland</cp:lastModifiedBy>
  <dcterms:created xsi:type="dcterms:W3CDTF">2025-03-13T13:44:05Z</dcterms:created>
  <dcterms:modified xsi:type="dcterms:W3CDTF">2025-10-10T20:45:53Z</dcterms:modified>
</cp:coreProperties>
</file>