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borda-carnot derivation" sheetId="2" r:id="rId5"/>
    <sheet state="visible" name="alt RSU counts &amp; power" sheetId="3" r:id="rId6"/>
  </sheets>
  <definedNames>
    <definedName name="γ">#REF!</definedName>
    <definedName name="infinity">Sheet1!$D$37</definedName>
    <definedName name="mu_std">Sheet1!$D$29</definedName>
    <definedName name="T_0">Sheet1!$D$30</definedName>
    <definedName name="inH20_per_bar">Sheet1!$D$40</definedName>
    <definedName name="cfm_per_m3s">Sheet1!$D$38</definedName>
    <definedName name="psi_per_bar">Sheet1!$D$41</definedName>
    <definedName name="T_std">Sheet1!$D$27</definedName>
    <definedName name="Pa_per_bar">Sheet1!$D$39</definedName>
    <definedName localSheetId="0" name="γ">Sheet1!$D$32</definedName>
    <definedName name="K_273">#REF!</definedName>
    <definedName name="bar_per_atm">Sheet1!$D$42</definedName>
    <definedName name="CONTAINS">LAMBDA(cell, range, NOT(ISERROR(MATCH(cell,range,0))))</definedName>
  </definedNames>
  <calcPr/>
  <extLst>
    <ext uri="GoogleSheetsCustomDataVersion2">
      <go:sheetsCustomData xmlns:go="http://customooxmlschemas.google.com/" r:id="rId7" roundtripDataChecksum="Ptjn7ggl3AZU4J5JUMFLBvbsn8EPQC0hFo7T1HkZWy0="/>
    </ext>
  </extLst>
</workbook>
</file>

<file path=xl/sharedStrings.xml><?xml version="1.0" encoding="utf-8"?>
<sst xmlns="http://schemas.openxmlformats.org/spreadsheetml/2006/main" count="727" uniqueCount="516">
  <si>
    <t>Cooling Air Flow Stages</t>
  </si>
  <si>
    <t>Color key:</t>
  </si>
  <si>
    <t>Contact: jhsilber@lbl.gov</t>
  </si>
  <si>
    <t>INPUT</t>
  </si>
  <si>
    <t>CALCULATED</t>
  </si>
  <si>
    <t>Version history</t>
  </si>
  <si>
    <t>LINKED</t>
  </si>
  <si>
    <t xml:space="preserve"> v1 - Jun 24, 2025 - JHS - initial version</t>
  </si>
  <si>
    <t xml:space="preserve"> v2 - Jun 27, 2025 - JHS - fixed corrugation area calc</t>
  </si>
  <si>
    <t xml:space="preserve"> v3 - Jun 30, 2025 - JHS - fixed factor 1/2 in ΔP₂₃ₙ calc</t>
  </si>
  <si>
    <t xml:space="preserve"> v4 - Jul 15, 2025 - JHS - 5 stages, cross-section totals</t>
  </si>
  <si>
    <t xml:space="preserve"> v5 - Sep 08, 2025 - JHS - 6 stages, named, including exhaust stage</t>
  </si>
  <si>
    <t xml:space="preserve"> v6 - Oct 21, 2025 - JHS - disk and barrel stave geometry details</t>
  </si>
  <si>
    <t xml:space="preserve"> v7 - Oct 21, 2025 - JHS - added module power loads</t>
  </si>
  <si>
    <t xml:space="preserve"> v8 - Oct 22, 2025 - JHS - add FPC power, update loads to "max" estimates, alt sensor + power counts sheet, RSU len --&gt; 21.6 mm</t>
  </si>
  <si>
    <t xml:space="preserve"> v9 - Oct 23, 2025 - JHS - correct downstream T₂ and T₃ with KE terms</t>
  </si>
  <si>
    <t>v10 - Oct 27, 2025 - JHS - define downstream pressure BC by a desired positive internal ambient pressure within SVT volume; nozzle vs orifice selection</t>
  </si>
  <si>
    <t>v11 - Oct 30, 2025 - JHS - fix bar defn, fix rect section hydraulic diam, add flow restrictor / nozzle stages</t>
  </si>
  <si>
    <t>v12 - Oct 31, 2025 - JHS - fix sign error in ΔP₂₃ₙ, remove superfluous extra "nozzle" stage, add note on restrictor neg pressure</t>
  </si>
  <si>
    <t>v13 - Nov 04, 2025 - JHS - separate stages for restrictor/manfold, distinguish expansion pressure model from contraction, add energy balance checks</t>
  </si>
  <si>
    <t>v14 - Nov 11, 2025 - JHS - quantize and define supply pipes, calculate insulation thickness to prevent condensation in hot/wet exterior conditions</t>
  </si>
  <si>
    <t>v15 - Dec 18, 2025 - JHS - assume Aerogel insulation; update L3 stave count to 44</t>
  </si>
  <si>
    <t>v16 - Feb 17, 2026 - JHS - reduce hot/wet conditions (assume HVAC interlock) from DP 22C to 15C; finer-graining on iterative insulation thickness calc</t>
  </si>
  <si>
    <t>v17 - Mar 19, 2026 - JHS - narrow and widen exhaust duct geometry as needed for CAD design; add additional pressure drop for stave internals; add calculation of SCFM flowrate; add initials in rev hist</t>
  </si>
  <si>
    <t>v18 - Apr 22, 2026 - JHS - set air supply RH to 1% (approx -40C DP), and nominal internal positive pressure at 0.001 bar</t>
  </si>
  <si>
    <t>v19 - May 05, 2026 - JHS - make supply dewpoint more clearly be the driving input for SVT interior dewpoint; set blower-oriented boundary conditions (9°C @ channel/stave inlets)</t>
  </si>
  <si>
    <t>Physical constants and unit conversions</t>
  </si>
  <si>
    <t>standard pressure (air)</t>
  </si>
  <si>
    <t>P_std</t>
  </si>
  <si>
    <t>Pa</t>
  </si>
  <si>
    <t>standard temperature (air)</t>
  </si>
  <si>
    <t>T_std</t>
  </si>
  <si>
    <t>K</t>
  </si>
  <si>
    <t>standard density (air)</t>
  </si>
  <si>
    <t>ρ_std = P_std / (R * T_std)</t>
  </si>
  <si>
    <t>kg/m³</t>
  </si>
  <si>
    <t>standard dynamic viscosity (air)</t>
  </si>
  <si>
    <t>μ_std</t>
  </si>
  <si>
    <t>Pa*s</t>
  </si>
  <si>
    <t>zero celsius</t>
  </si>
  <si>
    <t>T₀</t>
  </si>
  <si>
    <t>specific gas constant (air)</t>
  </si>
  <si>
    <t>R</t>
  </si>
  <si>
    <t>J/(kg*K)</t>
  </si>
  <si>
    <t>heat capacity ratio (dry air @ 20C)</t>
  </si>
  <si>
    <t>γ</t>
  </si>
  <si>
    <t>-</t>
  </si>
  <si>
    <t>specific heat capacity (dry air @ 20C)</t>
  </si>
  <si>
    <t>cₚ = R γ / (γ - 1)</t>
  </si>
  <si>
    <t>isentropic temperature exponent</t>
  </si>
  <si>
    <t>k = (γ-1)/γ</t>
  </si>
  <si>
    <t>critical pressure ratio (choked flow)</t>
  </si>
  <si>
    <t>βₓ = Pₓ / P = [2/(γ+1)]^[1/k]</t>
  </si>
  <si>
    <t>sudden contraction pressure loss coefficient</t>
  </si>
  <si>
    <t>κ_contract</t>
  </si>
  <si>
    <t>empirical approx value</t>
  </si>
  <si>
    <t>infinity</t>
  </si>
  <si>
    <t>∞</t>
  </si>
  <si>
    <t>cfm per m³/s</t>
  </si>
  <si>
    <t>cfm_per_m3s</t>
  </si>
  <si>
    <t>Pa per bar</t>
  </si>
  <si>
    <t>Pa_per_bar</t>
  </si>
  <si>
    <t>in H₂0 per bar</t>
  </si>
  <si>
    <t>inH20_per_bar</t>
  </si>
  <si>
    <t>psi per bar</t>
  </si>
  <si>
    <t>psi_per_bar</t>
  </si>
  <si>
    <t>bar per atm</t>
  </si>
  <si>
    <t>bar_per_atm</t>
  </si>
  <si>
    <t>Insulation properties, boundary conditions, and assumptions</t>
  </si>
  <si>
    <t>insulation material thermal conductivity</t>
  </si>
  <si>
    <t>k_insul</t>
  </si>
  <si>
    <t>W/(m*K)</t>
  </si>
  <si>
    <t>&lt;-- 0.05 for typical insulation wraps, ATLAS uses silica aerogel ~ 0.02 W/(m*K)</t>
  </si>
  <si>
    <t>"</t>
  </si>
  <si>
    <t>US R-value @ 1"</t>
  </si>
  <si>
    <t>insulation thickness design factor</t>
  </si>
  <si>
    <t>t_design_factor</t>
  </si>
  <si>
    <t>typical convection coefficient outside insulation</t>
  </si>
  <si>
    <t>h_insul</t>
  </si>
  <si>
    <t>W/(m² * K)</t>
  </si>
  <si>
    <t>exterior hot/wet dew point</t>
  </si>
  <si>
    <t>Td_humid</t>
  </si>
  <si>
    <t>°C</t>
  </si>
  <si>
    <t>22.1 C = 4σ (99.994% envelope) value in WAH data 2010-2025
13.2 C = max value in sPHENIX hall data 2024 for 4 months</t>
  </si>
  <si>
    <t>exterior hot/wet temperature</t>
  </si>
  <si>
    <t>Tamb_humid</t>
  </si>
  <si>
    <t>35 C = corresponding ambient temperature in WAH data 2010-2025
20 C = corresponding ambient temperature in sPHENIX hall data 2024 for 4 months</t>
  </si>
  <si>
    <t>SVT interior average air temperature</t>
  </si>
  <si>
    <t>Tamb_svt</t>
  </si>
  <si>
    <t>from calculations below</t>
  </si>
  <si>
    <t>air supply relative humidity</t>
  </si>
  <si>
    <t>RH_supply</t>
  </si>
  <si>
    <t>%</t>
  </si>
  <si>
    <t>air supply dewpoint calc intermediate term</t>
  </si>
  <si>
    <t>γ_supply = ln(RH_supply * exp((17.62 * Tₛ) / (243.12 + Tₛ)))</t>
  </si>
  <si>
    <t>air supply dewpoint</t>
  </si>
  <si>
    <t>Td_supply = (243.12 * γ) / (17.62 - γ)</t>
  </si>
  <si>
    <t>SVT interior dew point</t>
  </si>
  <si>
    <t>Td_svt = Td_supply</t>
  </si>
  <si>
    <t>assuming 100% displacement of by supply (i.e. supply input &gt;&gt; moist air back flow or effusion from outside ambient)</t>
  </si>
  <si>
    <t>Disk geometry</t>
  </si>
  <si>
    <t>corrugation pitch</t>
  </si>
  <si>
    <t>xc</t>
  </si>
  <si>
    <t>mm</t>
  </si>
  <si>
    <t>corrugation height</t>
  </si>
  <si>
    <t>hc</t>
  </si>
  <si>
    <t>corrugation cross-sectional area</t>
  </si>
  <si>
    <t>Ac ~ xc * hc / 2</t>
  </si>
  <si>
    <t>mm²</t>
  </si>
  <si>
    <t>corrugation hydraulic diameter</t>
  </si>
  <si>
    <t>Dc = √(4 Ac / π)</t>
  </si>
  <si>
    <t>large disk diameter (D1-D4)</t>
  </si>
  <si>
    <t>Dd14</t>
  </si>
  <si>
    <t>small disk diameter (D0)</t>
  </si>
  <si>
    <t>Dd0</t>
  </si>
  <si>
    <t>num large disks (per side)</t>
  </si>
  <si>
    <t>nd14</t>
  </si>
  <si>
    <t>num small disks (per side)</t>
  </si>
  <si>
    <t>nd0</t>
  </si>
  <si>
    <t>avg disk diameter (areally weighted)</t>
  </si>
  <si>
    <t>Dd = √((Dd14²*nd14+Dd0²*nd0)/(nd14+nd0))</t>
  </si>
  <si>
    <t>avg large disk corrugation length</t>
  </si>
  <si>
    <t>Lc14 ~ π / 4 * Dd14</t>
  </si>
  <si>
    <t>avg small disk corrugation length</t>
  </si>
  <si>
    <t>Lc0 ~ π / 4 * Dd0</t>
  </si>
  <si>
    <t>avg corrugation length</t>
  </si>
  <si>
    <t>Lc ~ π / 4 * Dd</t>
  </si>
  <si>
    <t>avg num corrugations (per half disk)</t>
  </si>
  <si>
    <t>ncd ~ (Dd/2) / (xc/2)</t>
  </si>
  <si>
    <t>&lt;-- non-integer is ok, it's averaging large and small disks</t>
  </si>
  <si>
    <t>Layers geometry</t>
  </si>
  <si>
    <t>stave channel width (this is one side)</t>
  </si>
  <si>
    <t>ws</t>
  </si>
  <si>
    <t>stave channel height at edge</t>
  </si>
  <si>
    <t>hs1</t>
  </si>
  <si>
    <t>stave channel height at center</t>
  </si>
  <si>
    <t>hs2</t>
  </si>
  <si>
    <t>stave channel avg height</t>
  </si>
  <si>
    <t>hs = (hs1 + hs2)/2</t>
  </si>
  <si>
    <t>stave channel cross-sectional area</t>
  </si>
  <si>
    <t>As ~ ws * hs</t>
  </si>
  <si>
    <t>stave channel hydraulic diameter</t>
  </si>
  <si>
    <t>Ds = √(4 As / π)</t>
  </si>
  <si>
    <t>variation from disk corrug hydraulic diameter</t>
  </si>
  <si>
    <t>Ds / Dc - 1</t>
  </si>
  <si>
    <t>&lt;-- this is pretty similar to disk corrugation hydraulic diameter</t>
  </si>
  <si>
    <t>L4 stave length</t>
  </si>
  <si>
    <t>Ls4</t>
  </si>
  <si>
    <t>L3 stave length</t>
  </si>
  <si>
    <t>Ls3</t>
  </si>
  <si>
    <t>num L4 staves (per top/bottom half)</t>
  </si>
  <si>
    <t>ns4</t>
  </si>
  <si>
    <t>num L3 staves (per top/bottom half)</t>
  </si>
  <si>
    <t>ns3</t>
  </si>
  <si>
    <t>avg stave channel length</t>
  </si>
  <si>
    <t>Ls = (Ls4*ns4+Ls3*ns3)/(ns4+ns3)</t>
  </si>
  <si>
    <t>variation from disk corrug avg length</t>
  </si>
  <si>
    <t>Ls / Lc - 1</t>
  </si>
  <si>
    <t>&lt;-- this is pretty similar to disk average corrugation length</t>
  </si>
  <si>
    <t>Note: given geometric similarity of average barrel staves to average disk corrugation channels, I treat them all as basically the same in flow calcs below.</t>
  </si>
  <si>
    <t>num half disks equivalent to an OB half</t>
  </si>
  <si>
    <t>nds_equiv = Ls * (ns4 + ns3) / (Lc * nc)</t>
  </si>
  <si>
    <t>&lt;-- non-integer is ok, it's averaging lots of things</t>
  </si>
  <si>
    <t>Disk and layer air supply quantizations</t>
  </si>
  <si>
    <t>num pipes half disks</t>
  </si>
  <si>
    <t>npd</t>
  </si>
  <si>
    <t>num pipes per quarter L4</t>
  </si>
  <si>
    <t>np4</t>
  </si>
  <si>
    <t>num pipes per quarter L3</t>
  </si>
  <si>
    <t>np3</t>
  </si>
  <si>
    <t>avg num channels per pipe</t>
  </si>
  <si>
    <t>nc = ncd * (npd + nds_equiv) / (npd + np4 + np3)</t>
  </si>
  <si>
    <t>&lt;-- non-integer is ok, it's averaging disks and layers</t>
  </si>
  <si>
    <t>SVT internal volume geometry</t>
  </si>
  <si>
    <t>approx percent of internal volume which is ambient air</t>
  </si>
  <si>
    <t>vf_amb</t>
  </si>
  <si>
    <t>PST diameter</t>
  </si>
  <si>
    <t>D_pst</t>
  </si>
  <si>
    <t>PST length</t>
  </si>
  <si>
    <t>L_pst</t>
  </si>
  <si>
    <t>SVT total internal ambient air volume</t>
  </si>
  <si>
    <t>v_svt = vf_amb * π/4 * D_pst² * L_pst</t>
  </si>
  <si>
    <t>mm³</t>
  </si>
  <si>
    <t>number of internal ambient air subvolumes</t>
  </si>
  <si>
    <t>nᵥ</t>
  </si>
  <si>
    <t>&lt;-- 6x between large disks, 2x between D4 and MPGD disks, 2x small disk + IB, 1x outside L4, 1x between L3/L4</t>
  </si>
  <si>
    <t>average SVT internal subvolume's volume</t>
  </si>
  <si>
    <t>vᵥₐ = v_svt / nᵥ</t>
  </si>
  <si>
    <t>num subvolumes between large disks</t>
  </si>
  <si>
    <t>nᵥₗ</t>
  </si>
  <si>
    <t>typical gap between large disks</t>
  </si>
  <si>
    <t>gᵥₗ</t>
  </si>
  <si>
    <t>rough equiv hydraulic diameter between large disks</t>
  </si>
  <si>
    <t>Dᵥₗ = √(4 / π * D_pst * gᵥₗ)</t>
  </si>
  <si>
    <t>L4 diameter</t>
  </si>
  <si>
    <t>D_L4</t>
  </si>
  <si>
    <t>L3 diameter</t>
  </si>
  <si>
    <t>D_L3</t>
  </si>
  <si>
    <t>rough equiv hydraulic diameter outside L4</t>
  </si>
  <si>
    <t>Dh_L4 = √(D_pst² - D_L4²)</t>
  </si>
  <si>
    <t>rough equiv hydraulic diameter between L3/L4</t>
  </si>
  <si>
    <t>Dh_L34 = √(D_L4² - D_L3²)</t>
  </si>
  <si>
    <t>average SVT internal subvolume's hydraulic diameter</t>
  </si>
  <si>
    <t>Dᵥₐ = (nᵥₗ * Dᵥₗ + D_L3 + Dh_L34 + Dh_L4) / (nᵥₗ + 3)</t>
  </si>
  <si>
    <t>average SVT internal subvolume's length</t>
  </si>
  <si>
    <t>Lᵥₐ = vᵥₐ / (π/4 * Dᵥₐ²)</t>
  </si>
  <si>
    <t>Exhaust duct geometry</t>
  </si>
  <si>
    <t>exhaust duct width</t>
  </si>
  <si>
    <t>wₑₓ</t>
  </si>
  <si>
    <t>exhaust duct height</t>
  </si>
  <si>
    <t>hₑₓ</t>
  </si>
  <si>
    <t>exhaust duct cross-sectional area</t>
  </si>
  <si>
    <t>Aₑₓ = wₑₓ * hₑₓ</t>
  </si>
  <si>
    <t>exhaust duct perimeter</t>
  </si>
  <si>
    <t>Pₑₓ = 2 * (wₑₓ + hₑₓ)</t>
  </si>
  <si>
    <t>exhaust duct hydraulic diameter</t>
  </si>
  <si>
    <t>Dₑₓ = 4 Aₑₓ / Pₑₓ</t>
  </si>
  <si>
    <t>number of exhaust ducts per internal ambient subvolume</t>
  </si>
  <si>
    <t>nₑₓ</t>
  </si>
  <si>
    <t>Module power loads</t>
  </si>
  <si>
    <t>reference link for power loads</t>
  </si>
  <si>
    <t>Copy of EIC-LAS Power - 2025-10-22</t>
  </si>
  <si>
    <t>Also see adjoining sheet where RSUs are counted in an alternate way.</t>
  </si>
  <si>
    <t>power per LEC</t>
  </si>
  <si>
    <t>Q_1lec</t>
  </si>
  <si>
    <t>W</t>
  </si>
  <si>
    <t>power per RSU</t>
  </si>
  <si>
    <t>Q_1rsu</t>
  </si>
  <si>
    <t>typical num RSU per module</t>
  </si>
  <si>
    <t>n_rsu_per_mod</t>
  </si>
  <si>
    <t>&lt;-- average, calculated on adjoining sheet</t>
  </si>
  <si>
    <t>typical EIC-LAS power</t>
  </si>
  <si>
    <t>Q_eiclas = n_rsu_per_mod * Q_1rsu + Q_1lec</t>
  </si>
  <si>
    <t>AncASIC power multiple of EIC-LAS</t>
  </si>
  <si>
    <t>qf_aa</t>
  </si>
  <si>
    <t>typical power per AncASIC</t>
  </si>
  <si>
    <t>Q_1aa = qf_aa * Q_eiclas</t>
  </si>
  <si>
    <t>FPC power multiple of EIC-LAS</t>
  </si>
  <si>
    <t>qf_fpc</t>
  </si>
  <si>
    <t>typical power per FPC</t>
  </si>
  <si>
    <t>Q_1fpc = qf_fpc * Q_eiclas</t>
  </si>
  <si>
    <t>length per RSU</t>
  </si>
  <si>
    <t>L_rsu</t>
  </si>
  <si>
    <t>num rsu per avg corrug length (exact coverage)</t>
  </si>
  <si>
    <t>n_rsu = Lc / L_rsu</t>
  </si>
  <si>
    <t>&lt;-- non-integer is ok, it's averaging stuff</t>
  </si>
  <si>
    <t>num modules per avg corrug length</t>
  </si>
  <si>
    <t>n_mod = n_rsu / n_rsu_per_mod</t>
  </si>
  <si>
    <t>total RSU power per avg corrug</t>
  </si>
  <si>
    <t>Qc_rsu = Q_1rsu * n_rsu</t>
  </si>
  <si>
    <t>total LEC power per avg corrug</t>
  </si>
  <si>
    <t>Qc_lec = Q_1lec * n_mod</t>
  </si>
  <si>
    <t>total AncASIC power per avg corrug</t>
  </si>
  <si>
    <t>Qc_aa = Q_1aa * n_mod</t>
  </si>
  <si>
    <t>total FPC power per avg corrug</t>
  </si>
  <si>
    <t>Qc_fpc = Q_1fpc * n_mod</t>
  </si>
  <si>
    <t>total power per avg corrug</t>
  </si>
  <si>
    <t>Qc = Qc_rsu + Qc_lec + Qc_aa + Qc_fpc</t>
  </si>
  <si>
    <t>total power per avg module</t>
  </si>
  <si>
    <t>Q_mod = Qc / n_mod</t>
  </si>
  <si>
    <t>&lt;-- cross-check this against others' current-best-estimates</t>
  </si>
  <si>
    <t>total modules modeled below</t>
  </si>
  <si>
    <t>n_mod_system = L₄ * N₄ * n_mod</t>
  </si>
  <si>
    <t>Stave/channel impedances</t>
  </si>
  <si>
    <t>L4 single stave pressure drop (abs value)</t>
  </si>
  <si>
    <t>ΔPz_s4</t>
  </si>
  <si>
    <t>bar</t>
  </si>
  <si>
    <r>
      <rPr/>
      <t xml:space="preserve">Giovanni Rizzo CFD Oct 2025 --&gt; ~20 mbar for L4 staves ... </t>
    </r>
    <r>
      <rPr>
        <color rgb="FF1155CC"/>
        <u/>
      </rPr>
      <t>https://docs.google.com/presentation/d/1Gv-qn9MdSMsqow9QPCXmvO5Zp7N3LvAs/edit?slide=id.p6#slide=id.p6</t>
    </r>
  </si>
  <si>
    <t>Large disk single corrugation pressure drop (abs value)</t>
  </si>
  <si>
    <t>ΔPz_d1</t>
  </si>
  <si>
    <t>Jaime Cruz-Duran FEA Dec 2025 --&gt; ~3 mbar for large disk corrugations ... https://docs.google.com/presentation/d/1QkX378p579N6oKIsQGXBjSSW25JkBPqp/edit?slide=id.p24#slide=id.p24</t>
  </si>
  <si>
    <t>Generic channel pressure drop</t>
  </si>
  <si>
    <t>ΔPz = max(ΔPz_s4, ΔPz_d1, ...)</t>
  </si>
  <si>
    <t>assume we regulate subdetectors that have lower impedances up to match the highest</t>
  </si>
  <si>
    <t>Boundary conditions</t>
  </si>
  <si>
    <t>source temperature</t>
  </si>
  <si>
    <t>Tₛ</t>
  </si>
  <si>
    <t>&lt;-- in practice, we would control a heater on the input airstream outside the detector until T₁ below is as desired</t>
  </si>
  <si>
    <t>source pressure</t>
  </si>
  <si>
    <t>Pₛ</t>
  </si>
  <si>
    <t>bar (gauge)</t>
  </si>
  <si>
    <t>Iteratively solved, so always check carefully for reasonability, and that final outlet pressure = Pₑ boundary condition.
If it misbehaves, the usual move is (1) Copy the formula. (2) Type in a numeric value that's a decent initial guess. (3) Paste the formula back in.</t>
  </si>
  <si>
    <t>Pa (gauge)</t>
  </si>
  <si>
    <t>bar, source pressure iterative solver initial guess</t>
  </si>
  <si>
    <t>psi</t>
  </si>
  <si>
    <t>psi (gauge)</t>
  </si>
  <si>
    <t>source mass flow rate</t>
  </si>
  <si>
    <t>ṁₛ</t>
  </si>
  <si>
    <t>kg/s</t>
  </si>
  <si>
    <t>source volume flow rate (standard air conditions)</t>
  </si>
  <si>
    <t>Vₛ = ṁₛ / ρ_std</t>
  </si>
  <si>
    <t>m³/s</t>
  </si>
  <si>
    <t>SCFM</t>
  </si>
  <si>
    <t>SVT internal ambient volume's positive pressurization</t>
  </si>
  <si>
    <t>ΔP₊</t>
  </si>
  <si>
    <t>in H₂0 (gauge)</t>
  </si>
  <si>
    <t>must be &gt;= 0 bar. This is really just a nominal value that shifts Pᵦ, reminding us that we will have/need *some* small positive pressurization</t>
  </si>
  <si>
    <t>SVT internal ambient volume's pressure</t>
  </si>
  <si>
    <t>Pᵦ = P_std + ΔP₊</t>
  </si>
  <si>
    <t>atm</t>
  </si>
  <si>
    <t>must be &gt;= 1 atm</t>
  </si>
  <si>
    <t>Each "stage" consists first of a length of pipe with a friction factor, then a change of cross-sectional area</t>
  </si>
  <si>
    <t>It's not trivial to insert or remove column channels in this spreadsheet.</t>
  </si>
  <si>
    <t>1 = entrance = at beginning of stage</t>
  </si>
  <si>
    <t>To calculate fewer than 6 distinct channels:</t>
  </si>
  <si>
    <t>2 = downstream = after pipe length, but before area change</t>
  </si>
  <si>
    <t xml:space="preserve"> - set "nᵢ" to 1 for the dummy channel(s), i.e. no splitting of parent</t>
  </si>
  <si>
    <t>3 = outlet = manifold = after area change</t>
  </si>
  <si>
    <t xml:space="preserve"> - set L, D_mm, and hs to same value as their respective parents</t>
  </si>
  <si>
    <t>stage description</t>
  </si>
  <si>
    <t>source --&gt; ePIC</t>
  </si>
  <si>
    <t>branches to hadron + electron sides</t>
  </si>
  <si>
    <t>branches to top + bottom halves</t>
  </si>
  <si>
    <t>pipes into ePIC to half disks and half barrels</t>
  </si>
  <si>
    <t>pipes within SVT to half disks and half barrels</t>
  </si>
  <si>
    <t>manifold</t>
  </si>
  <si>
    <t>disk channels and staves</t>
  </si>
  <si>
    <t>SVT internal ambient volumes</t>
  </si>
  <si>
    <t>exhaust ducts</t>
  </si>
  <si>
    <t>stage index</t>
  </si>
  <si>
    <t>num channels (per parent channel)</t>
  </si>
  <si>
    <t>nᵢ</t>
  </si>
  <si>
    <t>&lt;-- values &gt; 1 are splits, less than 1 are mergers</t>
  </si>
  <si>
    <t>total num channels in system</t>
  </si>
  <si>
    <t>Nᵢ = product(nᵢ)</t>
  </si>
  <si>
    <t>m</t>
  </si>
  <si>
    <t>mass flow per channel</t>
  </si>
  <si>
    <t>ṁ = (ṁₛ or previous stage ṁ) / nᵢ</t>
  </si>
  <si>
    <t>kg [check-product], mass flow is split exactly among branches at each stage, i.e. assuming each branch has similar back-pressure</t>
  </si>
  <si>
    <t>length</t>
  </si>
  <si>
    <t>L</t>
  </si>
  <si>
    <t>hydraulic diameter (mm)</t>
  </si>
  <si>
    <t>D_mm</t>
  </si>
  <si>
    <t>&lt;-- for supply, up to ~ 3"-4" pressure-rated hose is probably practical; ducts could be larger if pressure kept below about 1 bar</t>
  </si>
  <si>
    <t>hydraulic diameter</t>
  </si>
  <si>
    <t>D</t>
  </si>
  <si>
    <t>single channel cross-sectional area along length L</t>
  </si>
  <si>
    <t>A₁₂ = π D² / 4</t>
  </si>
  <si>
    <t>m²</t>
  </si>
  <si>
    <t>all channels total cross-sectional area</t>
  </si>
  <si>
    <t>ΣA₁₂ = A₁₂,ᵢ * Nᵢ</t>
  </si>
  <si>
    <t>cm²</t>
  </si>
  <si>
    <t>entrance temperature</t>
  </si>
  <si>
    <t>T₁ = Tₛ or previous stage T₃</t>
  </si>
  <si>
    <t>&lt;-- aim for desired temperature at corrugation or stave inlet (see highlighted cell)</t>
  </si>
  <si>
    <t>entrance pressure</t>
  </si>
  <si>
    <t>P₁ = Pₛ or previous stage P₃</t>
  </si>
  <si>
    <t>entrance density (ideal gas law)</t>
  </si>
  <si>
    <t>ρ₁ = P₁ / (R * T₁)</t>
  </si>
  <si>
    <t>entrance dynamic viscosity</t>
  </si>
  <si>
    <t>μ₁ = μ₀ * (T₁/T₀)^0.76</t>
  </si>
  <si>
    <t>Reynold's number</t>
  </si>
  <si>
    <t>Re = 4 ṁ / (π D μ₁)</t>
  </si>
  <si>
    <t>friction factor (Blasius)</t>
  </si>
  <si>
    <t>f = 64/Re, Re &lt; 2300
  = 0.316/Re^0.25 otherwise</t>
  </si>
  <si>
    <t>friction pressure drop (Darcy-Weisbach)</t>
  </si>
  <si>
    <t>ΔP₁₂ = -f * (L/D) * ṁ² / (2 ρ₁ A₁₂²)</t>
  </si>
  <si>
    <t>additional idiosyncractic internal impedance</t>
  </si>
  <si>
    <t>ΔPz₁₂</t>
  </si>
  <si>
    <t>to capture details like internal restrictions within a stave</t>
  </si>
  <si>
    <t>downstream pressure</t>
  </si>
  <si>
    <t>P₂ = P₁ + ΔP₁₂ + ΔPz₁₂</t>
  </si>
  <si>
    <t>ambient pressure in the downstream area of this stage</t>
  </si>
  <si>
    <t>P_local_ambient</t>
  </si>
  <si>
    <t>downstream pressure relative to local ambient</t>
  </si>
  <si>
    <t>description(P₂ - P_local_ambient)</t>
  </si>
  <si>
    <t>For case with flow restrictors, note how negative pressure arises in this region.
All plumbing in this zone would need to be well-sealed and leak-tight to prevent ingress of ambient air.</t>
  </si>
  <si>
    <t>module power input to stream</t>
  </si>
  <si>
    <t>Q = Qc * Nᵢ if channel or stave else 0</t>
  </si>
  <si>
    <t>&lt;-- note total applied power, cross-check with others' current-best-estimates</t>
  </si>
  <si>
    <t>stream temperature rise due to external heat input</t>
  </si>
  <si>
    <t>ΔTq₁₂ = Q / (Nᵢ * ṁ * cₚ)</t>
  </si>
  <si>
    <t>entrance air speed</t>
  </si>
  <si>
    <t>u₁ =  ṁ / (ρ₁ * A₁₂)</t>
  </si>
  <si>
    <t>m/s</t>
  </si>
  <si>
    <r>
      <rPr>
        <rFont val="Arial"/>
        <color rgb="FF0000FF"/>
      </rPr>
      <t xml:space="preserve">approx </t>
    </r>
    <r>
      <rPr>
        <rFont val="Arial"/>
        <color theme="1"/>
      </rPr>
      <t>downstream density (for kinetic energy calc)</t>
    </r>
  </si>
  <si>
    <t>ρ₂~ = P₂ / (R * T₁)</t>
  </si>
  <si>
    <r>
      <rPr>
        <rFont val="Arial"/>
        <color rgb="FF0000FF"/>
      </rPr>
      <t xml:space="preserve">approx </t>
    </r>
    <r>
      <rPr>
        <rFont val="Arial"/>
        <color theme="1"/>
      </rPr>
      <t>downstream air speed (for kinetic energy calc)</t>
    </r>
  </si>
  <si>
    <t>u₂~ = ṁ / (ρ₂~ * A₁₂)</t>
  </si>
  <si>
    <t>kinetic energy term</t>
  </si>
  <si>
    <t>ΔTk₁₂ = (u₁² - u₂~²) / (2 * cₚ)</t>
  </si>
  <si>
    <t>&lt;-- accounts for net effect of friction and acceleration; u₂ is solved iteratively from coupled P₂, T₂, ρ₂; P₂ (calculated by Darcy-Weisbach) carries the friction term</t>
  </si>
  <si>
    <t>downstream temperature</t>
  </si>
  <si>
    <t>T₂ = T₁ + ΔTq₁₂ + ΔTk₁₂</t>
  </si>
  <si>
    <t>downstream density (ideal gas law)</t>
  </si>
  <si>
    <t>ρ₂ = P₂ / (R * T₂)</t>
  </si>
  <si>
    <t>downstream air speed</t>
  </si>
  <si>
    <t>u₂ = ṁ / (ρ₂ * A₁₂)</t>
  </si>
  <si>
    <t>average density</t>
  </si>
  <si>
    <t>ρₐ = (ρ₁ + ρ₂)/2</t>
  </si>
  <si>
    <t>average volumetric flow</t>
  </si>
  <si>
    <t>Vₐ = ṁ / ρₐ</t>
  </si>
  <si>
    <t>cfm</t>
  </si>
  <si>
    <t>total volumetric flow (all channels)</t>
  </si>
  <si>
    <t>ΣVₐ = Vₐ * Nᵢ</t>
  </si>
  <si>
    <t>&lt;-- note how first column gives volume flow rate reqt at source density, while last column (if vacuum is applied to exhaust) gives req't on vacuum pump (at assumed density)</t>
  </si>
  <si>
    <t>average air speed</t>
  </si>
  <si>
    <t>uₐ = Vₐ / A₁₂</t>
  </si>
  <si>
    <t>&lt;-- aim for desired airspeed within corrugation in the highlighted cell</t>
  </si>
  <si>
    <t>cross-sectional area on other side of outlet</t>
  </si>
  <si>
    <t>A₃ = ∞ or next stage's (A₁₂ * n)</t>
  </si>
  <si>
    <t>area change pressure drop (non-choked)</t>
  </si>
  <si>
    <t>ΔP₂₃ₙ = ṁ²/(2*ρ₂) * (1/A₁₂² - 1/A₃²)</t>
  </si>
  <si>
    <t>&lt;-- Bernoulli, lossless</t>
  </si>
  <si>
    <t>outlet pressure if non-choked</t>
  </si>
  <si>
    <t>P₃ₙ = P₂ + ΔP₂₃ₙ</t>
  </si>
  <si>
    <t>&lt;-- preferable case (non-choked)</t>
  </si>
  <si>
    <t>outlet pressure if choked</t>
  </si>
  <si>
    <t>P₃ₓ = P₂ * βₓ</t>
  </si>
  <si>
    <t>&lt;-- probably don't want a sonically choked design, but the possibility is calculated here for completeness</t>
  </si>
  <si>
    <t>pressure ratio calculated with non-choked eqn</t>
  </si>
  <si>
    <t>β₃ₙ = P₃ₙ / P₂</t>
  </si>
  <si>
    <t>&lt;-- more tolerant designs will have outlet:inlet pressure ratios well above 0.528 (sonic)</t>
  </si>
  <si>
    <t>is choked?</t>
  </si>
  <si>
    <t>β₃ₙ &lt; βₓ</t>
  </si>
  <si>
    <t>boolean</t>
  </si>
  <si>
    <t>approx outlet pressure</t>
  </si>
  <si>
    <t>P₃~ = P₃ₙ or P₃ₓ</t>
  </si>
  <si>
    <t>approx outlet air speed (incompressible)</t>
  </si>
  <si>
    <t>u₃~ = u₂ * A₁₂ / A₃</t>
  </si>
  <si>
    <t>approx outlet temperature</t>
  </si>
  <si>
    <t>T₃~ = T₂ + (u₂² - u₃~²) / (2 * cₚ)</t>
  </si>
  <si>
    <t>approx outlet density</t>
  </si>
  <si>
    <t>ρ₃~ = P₃~ / (R * T₃~)</t>
  </si>
  <si>
    <t>expands at outlet?</t>
  </si>
  <si>
    <t>A₃ &gt; A₁₂</t>
  </si>
  <si>
    <t>sudden contraction loss coefficient</t>
  </si>
  <si>
    <t>K ~ 0.42 * (1 - (A₃ / A₁₂)²)</t>
  </si>
  <si>
    <t>outlet pressure, Bernoulli contraction with loss</t>
  </si>
  <si>
    <t>P₃_contract = P₂ + (ρ₂*u₂² - (1+ K)*ρ₃~*u₃~²) / 2</t>
  </si>
  <si>
    <t>outlet pressure, Borda-Carnot expansion</t>
  </si>
  <si>
    <t>P₃_expand = P₂ + ṁ * (u₂ - u₃~) / A₃</t>
  </si>
  <si>
    <t>&lt;-- Borda-Carnot expansion, empirical, lossy, momentum conservation with assumption P₂ applies at area A₃</t>
  </si>
  <si>
    <t>outlet pressure</t>
  </si>
  <si>
    <t>P₃ = select between contract, expand</t>
  </si>
  <si>
    <t>outlet density</t>
  </si>
  <si>
    <t xml:space="preserve">ρ₃ = P₃ / (R * T₃~)    </t>
  </si>
  <si>
    <t>outlet air speed</t>
  </si>
  <si>
    <t xml:space="preserve">u₃ = ṁ / (ρ₃ * A₃) </t>
  </si>
  <si>
    <t>outlet temperature, final</t>
  </si>
  <si>
    <t>T₃ = T₂ + (u₂² - u₃²) / (2 * cₚ)</t>
  </si>
  <si>
    <t>Energy balance checks</t>
  </si>
  <si>
    <t>energy flowing in at entrance</t>
  </si>
  <si>
    <t>Ė₁ = ṁ * (cₚ * T₁ + u₁² / 2)</t>
  </si>
  <si>
    <t>energy flow out downstream</t>
  </si>
  <si>
    <t>Ė₂ = ṁ * (cₚ * T₂ + u₂² / 2)</t>
  </si>
  <si>
    <t>energy flow delta (this stage)</t>
  </si>
  <si>
    <t>ΔĖ = Ė₂ - Ė₁</t>
  </si>
  <si>
    <t>system energy balance error</t>
  </si>
  <si>
    <t>Ė_err = (Ė₂ - ΣQᵢ) - Ė₁_stage0</t>
  </si>
  <si>
    <t>system energy balance error fraction (w.r.t. total energy)</t>
  </si>
  <si>
    <t>Ė_err_frac = Ė_err / Ė₁_stage0</t>
  </si>
  <si>
    <t>system energy balance error fraction (w.r.t. total input power)</t>
  </si>
  <si>
    <t>Ė_err_frac = Ė_err / ΣQᵢ</t>
  </si>
  <si>
    <t>Insulation</t>
  </si>
  <si>
    <t>is exterior? (fully or partially)</t>
  </si>
  <si>
    <t>n/a</t>
  </si>
  <si>
    <t>min temperature this stage</t>
  </si>
  <si>
    <t>Tmin = min(T₁, T₂)</t>
  </si>
  <si>
    <t>&lt;-- Is minimum temperature throughout higher than the supply dewpoint?</t>
  </si>
  <si>
    <t>air stream temperature relative to the local dewpoint</t>
  </si>
  <si>
    <t>ΔTd = Tmin - select(Td)</t>
  </si>
  <si>
    <t>temperature difference needing insulation</t>
  </si>
  <si>
    <t>ΔTinsul = abs(min(0, ΔT_insul))</t>
  </si>
  <si>
    <t>temperature diff from a condensating surface to local ambient</t>
  </si>
  <si>
    <t>ΔTcond2amb = select(Tamb) - select(Td)</t>
  </si>
  <si>
    <t>iterative thickness calc intermediate value</t>
  </si>
  <si>
    <t>λ = k * ΔTinsul / (h_insul * ΔTcond2amb)</t>
  </si>
  <si>
    <t>insulation minimum outside diameter (neglects pipe wall)</t>
  </si>
  <si>
    <t>Dmin_insul = 2 * λ / ln(D_insul / D)</t>
  </si>
  <si>
    <t>&lt;-- done in units of mm so that iterative solver tols are similar as used for pressure calc iteration</t>
  </si>
  <si>
    <t>insulation minimum thickness (no margin)</t>
  </si>
  <si>
    <t>tmin_insul</t>
  </si>
  <si>
    <t>&lt;-- this value has zero margin -- not the design value!</t>
  </si>
  <si>
    <t>insulation design thickness</t>
  </si>
  <si>
    <t>t_insul = t_design_factor * tmin_insul</t>
  </si>
  <si>
    <t>pipe + insulation outer diameter (pipe wall neglected)</t>
  </si>
  <si>
    <t>D_total_no_wall</t>
  </si>
  <si>
    <t>Form of the Borda-Carnot expansion equation I'm deriving as:</t>
  </si>
  <si>
    <t>Conservation of linear momentum --&gt; ΣF = (ṁ * u)ₒᵤₜ - (ṁ * u)ᵢₙ = ṁ * (u₂ - u₁)</t>
  </si>
  <si>
    <t>Assume that upstream pressure P₁ acts also upon the downstream area A₂, just past the area change plane.</t>
  </si>
  <si>
    <t>At a plane just past the area change from A₁ to A₂, we then have:</t>
  </si>
  <si>
    <t>ΣF = (Force from upstream fluid) + (Force from shoulder wall) - (Force from downstream fluid)</t>
  </si>
  <si>
    <t xml:space="preserve">      = (P₁ * A₁) + (P₁ * (A₂ - A₁)) - (P₂ * A₂)</t>
  </si>
  <si>
    <t xml:space="preserve">      = (P₁ - P₂) * A₂</t>
  </si>
  <si>
    <t>Therefore P₂ = P₁ + ṁ * (u₁ - u₂) / A₂</t>
  </si>
  <si>
    <t>Item</t>
  </si>
  <si>
    <t>n RSUs per LAS module</t>
  </si>
  <si>
    <t>n modules per stave or per disk</t>
  </si>
  <si>
    <t>n staves or disks per assembly</t>
  </si>
  <si>
    <t>n assemblies</t>
  </si>
  <si>
    <t>subtotal modules</t>
  </si>
  <si>
    <t>subtotal RSUs</t>
  </si>
  <si>
    <t>power (W)</t>
  </si>
  <si>
    <t>approx # control boards</t>
  </si>
  <si>
    <t>approx # control boards per assembly</t>
  </si>
  <si>
    <t>OB L4</t>
  </si>
  <si>
    <t>OB L3</t>
  </si>
  <si>
    <t>ED0/HD0</t>
  </si>
  <si>
    <t>ED1/HD1</t>
  </si>
  <si>
    <t>ED2-4/HD2-4</t>
  </si>
  <si>
    <t>TOTAL</t>
  </si>
  <si>
    <t>&lt;-- assuming this many and then splitting them proportionally according to # modules</t>
  </si>
  <si>
    <t>avg RSUs per module</t>
  </si>
  <si>
    <t>Description</t>
  </si>
  <si>
    <t>max RSU power per LAS</t>
  </si>
  <si>
    <t>AncASIC max multiplier</t>
  </si>
  <si>
    <t>FPC max multiplier</t>
  </si>
  <si>
    <t>AncASIC max power</t>
  </si>
  <si>
    <t>FPC max power</t>
  </si>
  <si>
    <t>total max power per module</t>
  </si>
  <si>
    <t>from ref below</t>
  </si>
  <si>
    <t>averaged by rsu counts</t>
  </si>
  <si>
    <t>Taken from ePIC Preliminary Design Report - SVT overleaf doc comments in cooling.tex section, 2025-10-22</t>
  </si>
  <si>
    <t>The numbers there were compiled by Georg.</t>
  </si>
  <si>
    <t>https://www.overleaf.com/project/67170d690d68308814b3ba47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</si>
</sst>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0.000"/>
    <numFmt numFmtId="165" formatCode="0E+00"/>
    <numFmt numFmtId="166" formatCode="0.0"/>
    <numFmt numFmtId="167" formatCode="0.0000"/>
    <numFmt numFmtId="168" formatCode="0.0%"/>
    <numFmt numFmtId="169" formatCode="#,##0.0"/>
    <numFmt numFmtId="170" formatCode="#,##0.000"/>
    <numFmt numFmtId="171" formatCode="0.000%"/>
  </numFmts>
  <fonts count="32">
    <font>
      <sz val="10.0"/>
      <color rgb="FF000000"/>
      <name val="Arial"/>
      <scheme val="minor"/>
    </font>
    <font>
      <b/>
      <i/>
      <sz val="13.0"/>
      <color theme="1"/>
      <name val="Arial"/>
      <scheme val="minor"/>
    </font>
    <font>
      <color theme="1"/>
      <name val="Arial"/>
      <scheme val="minor"/>
    </font>
    <font>
      <b/>
      <i/>
      <color theme="1"/>
      <name val="Arial"/>
      <scheme val="minor"/>
    </font>
    <font>
      <color theme="1"/>
      <name val="Consolas"/>
    </font>
    <font>
      <color rgb="FF000000"/>
      <name val="Consolas"/>
    </font>
    <font>
      <b/>
      <color theme="1"/>
      <name val="Arial"/>
      <scheme val="minor"/>
    </font>
    <font>
      <color rgb="FF999999"/>
      <name val="Arial"/>
      <scheme val="minor"/>
    </font>
    <font>
      <color rgb="FF0000FF"/>
      <name val="Arial"/>
      <scheme val="minor"/>
    </font>
    <font>
      <color rgb="FFFF0000"/>
      <name val="Arial"/>
      <scheme val="minor"/>
    </font>
    <font>
      <u/>
      <color theme="1"/>
      <name val="Arial"/>
      <scheme val="minor"/>
    </font>
    <font>
      <i/>
      <color rgb="FF999999"/>
      <name val="Arial"/>
      <scheme val="minor"/>
    </font>
    <font>
      <color theme="1"/>
      <name val="Arial"/>
    </font>
    <font>
      <color rgb="FF0000FF"/>
      <name val="Arial"/>
    </font>
    <font>
      <u/>
      <color rgb="FF0000FF"/>
    </font>
    <font>
      <sz val="12.0"/>
      <color rgb="FFFF0000"/>
      <name val="Arial"/>
      <scheme val="minor"/>
    </font>
    <font>
      <color rgb="FF000000"/>
      <name val="Arial"/>
    </font>
    <font>
      <color rgb="FF000000"/>
      <name val="Roboto"/>
    </font>
    <font>
      <b/>
      <sz val="11.0"/>
      <color theme="1"/>
      <name val="Arial"/>
      <scheme val="minor"/>
    </font>
    <font>
      <color rgb="FF18A303"/>
      <name val="Arial"/>
      <scheme val="minor"/>
    </font>
    <font>
      <i/>
      <color theme="1"/>
      <name val="Arial"/>
      <scheme val="minor"/>
    </font>
    <font>
      <b/>
      <color rgb="FF18A303"/>
      <name val="Arial"/>
      <scheme val="minor"/>
    </font>
    <font>
      <color theme="4"/>
      <name val="Arial"/>
      <scheme val="minor"/>
    </font>
    <font>
      <i/>
      <color rgb="FF666666"/>
      <name val="Arial"/>
      <scheme val="minor"/>
    </font>
    <font>
      <sz val="10.0"/>
      <color theme="1"/>
      <name val="Arial"/>
      <scheme val="minor"/>
    </font>
    <font>
      <b/>
      <sz val="12.0"/>
      <color theme="1"/>
      <name val="Arial"/>
      <scheme val="minor"/>
    </font>
    <font>
      <b/>
      <sz val="12.0"/>
      <color rgb="FF0000FF"/>
      <name val="Arial"/>
      <scheme val="minor"/>
    </font>
    <font>
      <b/>
      <sz val="12.0"/>
      <color rgb="FFFF00FF"/>
      <name val="Arial"/>
      <scheme val="minor"/>
    </font>
    <font>
      <b/>
      <sz val="10.0"/>
      <color rgb="FF000000"/>
      <name val="Arial"/>
      <scheme val="minor"/>
    </font>
    <font>
      <color rgb="FF999999"/>
      <name val="Arial"/>
    </font>
    <font>
      <color rgb="FF000000"/>
      <name val="Arial"/>
      <scheme val="minor"/>
    </font>
    <font>
      <u/>
      <color rgb="FF0000FF"/>
    </font>
  </fonts>
  <fills count="8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left" readingOrder="0"/>
    </xf>
    <xf borderId="0" fillId="0" fontId="2" numFmtId="0" xfId="0" applyAlignment="1" applyFont="1">
      <alignment horizontal="left" readingOrder="0"/>
    </xf>
    <xf borderId="0" fillId="2" fontId="2" numFmtId="0" xfId="0" applyAlignment="1" applyFill="1" applyFont="1">
      <alignment horizontal="left" readingOrder="0"/>
    </xf>
    <xf borderId="0" fillId="3" fontId="2" numFmtId="0" xfId="0" applyAlignment="1" applyFill="1" applyFont="1">
      <alignment horizontal="left" readingOrder="0"/>
    </xf>
    <xf borderId="0" fillId="0" fontId="3" numFmtId="0" xfId="0" applyAlignment="1" applyFont="1">
      <alignment readingOrder="0"/>
    </xf>
    <xf borderId="0" fillId="4" fontId="2" numFmtId="0" xfId="0" applyAlignment="1" applyFill="1" applyFont="1">
      <alignment horizontal="left" readingOrder="0"/>
    </xf>
    <xf borderId="0" fillId="0" fontId="4" numFmtId="0" xfId="0" applyAlignment="1" applyFont="1">
      <alignment horizontal="left" readingOrder="0"/>
    </xf>
    <xf borderId="0" fillId="0" fontId="3" numFmtId="0" xfId="0" applyAlignment="1" applyFont="1">
      <alignment horizontal="right"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2" numFmtId="0" xfId="0" applyAlignment="1" applyFont="1">
      <alignment readingOrder="0"/>
    </xf>
    <xf borderId="0" fillId="3" fontId="2" numFmtId="164" xfId="0" applyAlignment="1" applyFont="1" applyNumberFormat="1">
      <alignment readingOrder="0"/>
    </xf>
    <xf borderId="0" fillId="2" fontId="2" numFmtId="11" xfId="0" applyAlignment="1" applyFont="1" applyNumberFormat="1">
      <alignment readingOrder="0"/>
    </xf>
    <xf borderId="0" fillId="2" fontId="2" numFmtId="164" xfId="0" applyAlignment="1" applyFont="1" applyNumberFormat="1">
      <alignment readingOrder="0"/>
    </xf>
    <xf borderId="0" fillId="3" fontId="2" numFmtId="0" xfId="0" applyAlignment="1" applyFont="1">
      <alignment readingOrder="0"/>
    </xf>
    <xf borderId="0" fillId="2" fontId="2" numFmtId="165" xfId="0" applyAlignment="1" applyFont="1" applyNumberFormat="1">
      <alignment readingOrder="0"/>
    </xf>
    <xf borderId="0" fillId="0" fontId="2" numFmtId="164" xfId="0" applyFont="1" applyNumberFormat="1"/>
    <xf borderId="0" fillId="0" fontId="2" numFmtId="2" xfId="0" applyAlignment="1" applyFont="1" applyNumberFormat="1">
      <alignment readingOrder="0"/>
    </xf>
    <xf borderId="0" fillId="0" fontId="6" numFmtId="0" xfId="0" applyAlignment="1" applyFont="1">
      <alignment readingOrder="0"/>
    </xf>
    <xf borderId="0" fillId="2" fontId="2" numFmtId="2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3" fontId="2" numFmtId="166" xfId="0" applyFont="1" applyNumberFormat="1"/>
    <xf borderId="0" fillId="2" fontId="2" numFmtId="166" xfId="0" applyAlignment="1" applyFont="1" applyNumberFormat="1">
      <alignment readingOrder="0"/>
    </xf>
    <xf borderId="0" fillId="3" fontId="2" numFmtId="166" xfId="0" applyAlignment="1" applyFont="1" applyNumberFormat="1">
      <alignment readingOrder="0"/>
    </xf>
    <xf borderId="0" fillId="2" fontId="2" numFmtId="9" xfId="0" applyAlignment="1" applyFont="1" applyNumberFormat="1">
      <alignment readingOrder="0"/>
    </xf>
    <xf borderId="0" fillId="0" fontId="7" numFmtId="0" xfId="0" applyAlignment="1" applyFont="1">
      <alignment readingOrder="0"/>
    </xf>
    <xf borderId="0" fillId="3" fontId="7" numFmtId="167" xfId="0" applyFont="1" applyNumberFormat="1"/>
    <xf borderId="0" fillId="0" fontId="7" numFmtId="0" xfId="0" applyFont="1"/>
    <xf borderId="0" fillId="4" fontId="2" numFmtId="166" xfId="0" applyAlignment="1" applyFont="1" applyNumberFormat="1">
      <alignment readingOrder="0"/>
    </xf>
    <xf borderId="0" fillId="0" fontId="8" numFmtId="0" xfId="0" applyAlignment="1" applyFont="1">
      <alignment readingOrder="0"/>
    </xf>
    <xf borderId="0" fillId="3" fontId="6" numFmtId="166" xfId="0" applyFont="1" applyNumberFormat="1"/>
    <xf borderId="0" fillId="2" fontId="2" numFmtId="1" xfId="0" applyAlignment="1" applyFont="1" applyNumberFormat="1">
      <alignment readingOrder="0"/>
    </xf>
    <xf borderId="0" fillId="0" fontId="2" numFmtId="11" xfId="0" applyFont="1" applyNumberFormat="1"/>
    <xf borderId="0" fillId="3" fontId="2" numFmtId="168" xfId="0" applyAlignment="1" applyFont="1" applyNumberFormat="1">
      <alignment readingOrder="0"/>
    </xf>
    <xf borderId="0" fillId="0" fontId="2" numFmtId="1" xfId="0" applyFont="1" applyNumberFormat="1"/>
    <xf borderId="0" fillId="3" fontId="2" numFmtId="168" xfId="0" applyFont="1" applyNumberFormat="1"/>
    <xf borderId="0" fillId="0" fontId="9" numFmtId="0" xfId="0" applyAlignment="1" applyFont="1">
      <alignment readingOrder="0"/>
    </xf>
    <xf borderId="0" fillId="3" fontId="2" numFmtId="11" xfId="0" applyFont="1" applyNumberFormat="1"/>
    <xf borderId="0" fillId="3" fontId="2" numFmtId="0" xfId="0" applyFont="1"/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0" fillId="4" fontId="2" numFmtId="164" xfId="0" applyAlignment="1" applyFont="1" applyNumberFormat="1">
      <alignment readingOrder="0"/>
    </xf>
    <xf borderId="0" fillId="3" fontId="2" numFmtId="2" xfId="0" applyAlignment="1" applyFont="1" applyNumberFormat="1">
      <alignment readingOrder="0"/>
    </xf>
    <xf borderId="0" fillId="3" fontId="2" numFmtId="2" xfId="0" applyFont="1" applyNumberFormat="1"/>
    <xf borderId="0" fillId="3" fontId="6" numFmtId="2" xfId="0" applyFont="1" applyNumberFormat="1"/>
    <xf borderId="0" fillId="0" fontId="12" numFmtId="0" xfId="0" applyAlignment="1" applyFont="1">
      <alignment readingOrder="0" vertical="bottom"/>
    </xf>
    <xf borderId="0" fillId="3" fontId="12" numFmtId="2" xfId="0" applyAlignment="1" applyFont="1" applyNumberFormat="1">
      <alignment horizontal="right" vertical="bottom"/>
    </xf>
    <xf borderId="0" fillId="0" fontId="13" numFmtId="0" xfId="0" applyAlignment="1" applyFont="1">
      <alignment vertical="bottom"/>
    </xf>
    <xf borderId="0" fillId="0" fontId="12" numFmtId="0" xfId="0" applyAlignment="1" applyFont="1">
      <alignment vertical="bottom"/>
    </xf>
    <xf borderId="0" fillId="3" fontId="12" numFmtId="166" xfId="0" applyAlignment="1" applyFont="1" applyNumberFormat="1">
      <alignment horizontal="right" vertical="bottom"/>
    </xf>
    <xf borderId="0" fillId="0" fontId="14" numFmtId="0" xfId="0" applyAlignment="1" applyFont="1">
      <alignment readingOrder="0"/>
    </xf>
    <xf borderId="0" fillId="3" fontId="15" numFmtId="164" xfId="0" applyAlignment="1" applyFont="1" applyNumberFormat="1">
      <alignment readingOrder="0"/>
    </xf>
    <xf borderId="0" fillId="3" fontId="2" numFmtId="164" xfId="0" applyFont="1" applyNumberFormat="1"/>
    <xf borderId="0" fillId="3" fontId="2" numFmtId="3" xfId="0" applyAlignment="1" applyFont="1" applyNumberFormat="1">
      <alignment readingOrder="0"/>
    </xf>
    <xf borderId="0" fillId="3" fontId="2" numFmtId="3" xfId="0" applyFont="1" applyNumberFormat="1"/>
    <xf borderId="0" fillId="3" fontId="2" numFmtId="1" xfId="0" applyAlignment="1" applyFont="1" applyNumberFormat="1">
      <alignment readingOrder="0"/>
    </xf>
    <xf borderId="0" fillId="5" fontId="16" numFmtId="0" xfId="0" applyAlignment="1" applyFill="1" applyFont="1">
      <alignment horizontal="left" shrinkToFit="0" vertical="bottom" wrapText="0"/>
    </xf>
    <xf borderId="0" fillId="5" fontId="16" numFmtId="0" xfId="0" applyAlignment="1" applyFont="1">
      <alignment horizontal="left" shrinkToFit="0" vertical="bottom" wrapText="0"/>
    </xf>
    <xf borderId="0" fillId="0" fontId="17" numFmtId="0" xfId="0" applyAlignment="1" applyFont="1">
      <alignment vertical="bottom"/>
    </xf>
    <xf borderId="0" fillId="5" fontId="17" numFmtId="0" xfId="0" applyAlignment="1" applyFont="1">
      <alignment vertical="bottom"/>
    </xf>
    <xf borderId="0" fillId="3" fontId="18" numFmtId="164" xfId="0" applyAlignment="1" applyFont="1" applyNumberFormat="1">
      <alignment readingOrder="0"/>
    </xf>
    <xf borderId="0" fillId="0" fontId="19" numFmtId="0" xfId="0" applyAlignment="1" applyFont="1">
      <alignment readingOrder="0"/>
    </xf>
    <xf borderId="0" fillId="0" fontId="2" numFmtId="2" xfId="0" applyFont="1" applyNumberFormat="1"/>
    <xf borderId="0" fillId="0" fontId="20" numFmtId="0" xfId="0" applyAlignment="1" applyFont="1">
      <alignment readingOrder="0"/>
    </xf>
    <xf borderId="0" fillId="0" fontId="21" numFmtId="0" xfId="0" applyAlignment="1" applyFont="1">
      <alignment readingOrder="0"/>
    </xf>
    <xf borderId="0" fillId="0" fontId="2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2" fontId="3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1" fillId="0" fontId="6" numFmtId="0" xfId="0" applyAlignment="1" applyBorder="1" applyFont="1">
      <alignment readingOrder="0"/>
    </xf>
    <xf borderId="0" fillId="3" fontId="2" numFmtId="167" xfId="0" applyAlignment="1" applyFont="1" applyNumberFormat="1">
      <alignment readingOrder="0"/>
    </xf>
    <xf borderId="0" fillId="4" fontId="2" numFmtId="0" xfId="0" applyAlignment="1" applyFont="1">
      <alignment readingOrder="0"/>
    </xf>
    <xf borderId="0" fillId="3" fontId="2" numFmtId="1" xfId="0" applyFont="1" applyNumberFormat="1"/>
    <xf borderId="0" fillId="4" fontId="2" numFmtId="1" xfId="0" applyAlignment="1" applyFont="1" applyNumberFormat="1">
      <alignment readingOrder="0"/>
    </xf>
    <xf borderId="0" fillId="4" fontId="2" numFmtId="164" xfId="0" applyFont="1" applyNumberFormat="1"/>
    <xf borderId="0" fillId="3" fontId="23" numFmtId="164" xfId="0" applyFont="1" applyNumberFormat="1"/>
    <xf borderId="0" fillId="2" fontId="2" numFmtId="164" xfId="0" applyAlignment="1" applyFont="1" applyNumberFormat="1">
      <alignment horizontal="right" readingOrder="0"/>
    </xf>
    <xf borderId="0" fillId="2" fontId="2" numFmtId="0" xfId="0" applyAlignment="1" applyFont="1">
      <alignment horizontal="right" readingOrder="0"/>
    </xf>
    <xf borderId="0" fillId="4" fontId="2" numFmtId="166" xfId="0" applyFont="1" applyNumberFormat="1"/>
    <xf borderId="0" fillId="0" fontId="2" numFmtId="4" xfId="0" applyFont="1" applyNumberFormat="1"/>
    <xf borderId="0" fillId="3" fontId="2" numFmtId="169" xfId="0" applyFont="1" applyNumberFormat="1"/>
    <xf borderId="0" fillId="4" fontId="24" numFmtId="166" xfId="0" applyFont="1" applyNumberFormat="1"/>
    <xf borderId="0" fillId="3" fontId="24" numFmtId="2" xfId="0" applyFont="1" applyNumberFormat="1"/>
    <xf borderId="1" fillId="3" fontId="25" numFmtId="166" xfId="0" applyAlignment="1" applyBorder="1" applyFont="1" applyNumberFormat="1">
      <alignment readingOrder="0"/>
    </xf>
    <xf borderId="1" fillId="3" fontId="26" numFmtId="169" xfId="0" applyBorder="1" applyFont="1" applyNumberFormat="1"/>
    <xf borderId="0" fillId="4" fontId="2" numFmtId="3" xfId="0" applyFont="1" applyNumberFormat="1"/>
    <xf borderId="1" fillId="3" fontId="25" numFmtId="164" xfId="0" applyAlignment="1" applyBorder="1" applyFont="1" applyNumberFormat="1">
      <alignment readingOrder="0"/>
    </xf>
    <xf borderId="0" fillId="3" fontId="24" numFmtId="164" xfId="0" applyAlignment="1" applyFont="1" applyNumberFormat="1">
      <alignment readingOrder="0"/>
    </xf>
    <xf borderId="0" fillId="3" fontId="2" numFmtId="170" xfId="0" applyFont="1" applyNumberFormat="1"/>
    <xf borderId="0" fillId="4" fontId="2" numFmtId="0" xfId="0" applyFont="1"/>
    <xf borderId="0" fillId="2" fontId="2" numFmtId="3" xfId="0" applyAlignment="1" applyFont="1" applyNumberFormat="1">
      <alignment readingOrder="0"/>
    </xf>
    <xf borderId="1" fillId="3" fontId="27" numFmtId="164" xfId="0" applyAlignment="1" applyBorder="1" applyFont="1" applyNumberFormat="1">
      <alignment readingOrder="0"/>
    </xf>
    <xf borderId="0" fillId="4" fontId="24" numFmtId="164" xfId="0" applyAlignment="1" applyFont="1" applyNumberFormat="1">
      <alignment readingOrder="0"/>
    </xf>
    <xf borderId="0" fillId="3" fontId="24" numFmtId="166" xfId="0" applyAlignment="1" applyFont="1" applyNumberFormat="1">
      <alignment horizontal="right" readingOrder="0" shrinkToFit="0" wrapText="1"/>
    </xf>
    <xf borderId="0" fillId="3" fontId="26" numFmtId="166" xfId="0" applyFont="1" applyNumberFormat="1"/>
    <xf borderId="0" fillId="3" fontId="24" numFmtId="170" xfId="0" applyFont="1" applyNumberFormat="1"/>
    <xf borderId="1" fillId="3" fontId="26" numFmtId="166" xfId="0" applyBorder="1" applyFont="1" applyNumberFormat="1"/>
    <xf borderId="0" fillId="3" fontId="24" numFmtId="169" xfId="0" applyFont="1" applyNumberFormat="1"/>
    <xf borderId="0" fillId="4" fontId="2" numFmtId="165" xfId="0" applyFont="1" applyNumberFormat="1"/>
    <xf borderId="0" fillId="3" fontId="7" numFmtId="3" xfId="0" applyFont="1" applyNumberFormat="1"/>
    <xf borderId="0" fillId="3" fontId="28" numFmtId="164" xfId="0" applyFont="1" applyNumberFormat="1"/>
    <xf borderId="0" fillId="3" fontId="2" numFmtId="0" xfId="0" applyAlignment="1" applyFont="1">
      <alignment horizontal="right"/>
    </xf>
    <xf borderId="0" fillId="0" fontId="29" numFmtId="0" xfId="0" applyAlignment="1" applyFont="1">
      <alignment readingOrder="0" vertical="bottom"/>
    </xf>
    <xf borderId="0" fillId="3" fontId="7" numFmtId="4" xfId="0" applyAlignment="1" applyFont="1" applyNumberFormat="1">
      <alignment readingOrder="0"/>
    </xf>
    <xf borderId="0" fillId="3" fontId="7" numFmtId="2" xfId="0" applyAlignment="1" applyFont="1" applyNumberFormat="1">
      <alignment readingOrder="0"/>
    </xf>
    <xf borderId="0" fillId="3" fontId="7" numFmtId="166" xfId="0" applyAlignment="1" applyFont="1" applyNumberFormat="1">
      <alignment readingOrder="0"/>
    </xf>
    <xf borderId="0" fillId="3" fontId="7" numFmtId="164" xfId="0" applyAlignment="1" applyFont="1" applyNumberFormat="1">
      <alignment readingOrder="0"/>
    </xf>
    <xf borderId="0" fillId="3" fontId="7" numFmtId="3" xfId="0" applyAlignment="1" applyFont="1" applyNumberFormat="1">
      <alignment horizontal="right" readingOrder="0"/>
    </xf>
    <xf borderId="0" fillId="3" fontId="7" numFmtId="4" xfId="0" applyAlignment="1" applyFont="1" applyNumberFormat="1">
      <alignment horizontal="right" readingOrder="0"/>
    </xf>
    <xf borderId="0" fillId="3" fontId="7" numFmtId="3" xfId="0" applyAlignment="1" applyFont="1" applyNumberFormat="1">
      <alignment readingOrder="0"/>
    </xf>
    <xf borderId="0" fillId="0" fontId="30" numFmtId="0" xfId="0" applyAlignment="1" applyFont="1">
      <alignment readingOrder="0"/>
    </xf>
    <xf borderId="0" fillId="0" fontId="2" numFmtId="3" xfId="0" applyFont="1" applyNumberFormat="1"/>
    <xf borderId="0" fillId="3" fontId="2" numFmtId="171" xfId="0" applyAlignment="1" applyFont="1" applyNumberFormat="1">
      <alignment readingOrder="0"/>
    </xf>
    <xf borderId="0" fillId="0" fontId="2" numFmtId="0" xfId="0" applyAlignment="1" applyFont="1">
      <alignment horizontal="right" readingOrder="0"/>
    </xf>
    <xf borderId="0" fillId="0" fontId="26" numFmtId="166" xfId="0" applyFont="1" applyNumberFormat="1"/>
    <xf borderId="0" fillId="2" fontId="2" numFmtId="166" xfId="0" applyAlignment="1" applyFont="1" applyNumberFormat="1">
      <alignment horizontal="center" readingOrder="0"/>
    </xf>
    <xf borderId="0" fillId="0" fontId="2" numFmtId="0" xfId="0" applyFont="1"/>
    <xf borderId="0" fillId="3" fontId="7" numFmtId="166" xfId="0" applyFont="1" applyNumberFormat="1"/>
    <xf borderId="1" fillId="3" fontId="25" numFmtId="166" xfId="0" applyBorder="1" applyFont="1" applyNumberFormat="1"/>
    <xf quotePrefix="1" borderId="0" fillId="0" fontId="2" numFmtId="0" xfId="0" applyAlignment="1" applyFont="1">
      <alignment readingOrder="0"/>
    </xf>
    <xf borderId="0" fillId="0" fontId="6" numFmtId="0" xfId="0" applyAlignment="1" applyFont="1">
      <alignment readingOrder="0" shrinkToFit="0" wrapText="1"/>
    </xf>
    <xf borderId="0" fillId="0" fontId="6" numFmtId="0" xfId="0" applyAlignment="1" applyFont="1">
      <alignment shrinkToFit="0" wrapText="1"/>
    </xf>
    <xf borderId="0" fillId="0" fontId="2" numFmtId="166" xfId="0" applyFont="1" applyNumberFormat="1"/>
    <xf borderId="0" fillId="0" fontId="6" numFmtId="0" xfId="0" applyAlignment="1" applyFont="1">
      <alignment horizontal="right" readingOrder="0"/>
    </xf>
    <xf borderId="0" fillId="6" fontId="6" numFmtId="0" xfId="0" applyFill="1" applyFont="1"/>
    <xf borderId="0" fillId="6" fontId="6" numFmtId="1" xfId="0" applyFont="1" applyNumberFormat="1"/>
    <xf borderId="0" fillId="7" fontId="18" numFmtId="164" xfId="0" applyFill="1" applyFont="1" applyNumberFormat="1"/>
    <xf borderId="0" fillId="0" fontId="20" numFmtId="0" xfId="0" applyAlignment="1" applyFont="1">
      <alignment horizontal="center" readingOrder="0"/>
    </xf>
    <xf borderId="0" fillId="0" fontId="20" numFmtId="0" xfId="0" applyAlignment="1" applyFont="1">
      <alignment horizontal="center"/>
    </xf>
    <xf borderId="0" fillId="4" fontId="2" numFmtId="9" xfId="0" applyAlignment="1" applyFont="1" applyNumberFormat="1">
      <alignment readingOrder="0"/>
    </xf>
    <xf borderId="0" fillId="0" fontId="31" numFmtId="0" xfId="0" applyAlignment="1" applyFont="1">
      <alignment readingOrder="0"/>
    </xf>
  </cellXfs>
  <cellStyles count="1">
    <cellStyle xfId="0" name="Normal" builtinId="0"/>
  </cellStyles>
  <dxfs count="2"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19</xdr:row>
      <xdr:rowOff>57150</xdr:rowOff>
    </xdr:from>
    <xdr:ext cx="6276975" cy="2781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x6FU26vnlshDdNBc7A8jaLB7o8ol1mdyvq0uAkGbWZc/edit?usp=drive_link" TargetMode="External"/><Relationship Id="rId2" Type="http://schemas.openxmlformats.org/officeDocument/2006/relationships/hyperlink" Target="https://docs.google.com/presentation/d/1Gv-qn9MdSMsqow9QPCXmvO5Zp7N3LvAs/edit?slide=id.p6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verleaf.com/project/67170d690d68308814b3ba47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38"/>
    <col customWidth="1" min="2" max="2" width="61.0"/>
    <col customWidth="1" min="3" max="3" width="13.5"/>
    <col customWidth="1" min="4" max="4" width="11.88"/>
    <col customWidth="1" min="5" max="7" width="12.25"/>
    <col customWidth="1" min="8" max="8" width="11.75"/>
    <col customWidth="1" min="9" max="12" width="12.25"/>
    <col customWidth="1" min="13" max="13" width="8.75"/>
    <col customWidth="1" min="14" max="14" width="11.5"/>
    <col customWidth="1" min="15" max="15" width="14.75"/>
    <col customWidth="1" min="16" max="16" width="7.75"/>
    <col customWidth="1" min="17" max="21" width="7.13"/>
    <col customWidth="1" min="22" max="34" width="11.5"/>
  </cols>
  <sheetData>
    <row r="1" ht="12.75" customHeight="1">
      <c r="A1" s="1" t="s">
        <v>0</v>
      </c>
      <c r="C1" s="2"/>
      <c r="D1" s="3" t="s">
        <v>1</v>
      </c>
    </row>
    <row r="2" ht="12.75" customHeight="1">
      <c r="A2" s="4" t="s">
        <v>2</v>
      </c>
      <c r="C2" s="2"/>
      <c r="D2" s="5" t="s">
        <v>3</v>
      </c>
    </row>
    <row r="3" ht="12.75" customHeight="1">
      <c r="C3" s="2"/>
      <c r="D3" s="6" t="s">
        <v>4</v>
      </c>
    </row>
    <row r="4" ht="12.75" customHeight="1">
      <c r="A4" s="7" t="s">
        <v>5</v>
      </c>
      <c r="C4" s="2"/>
      <c r="D4" s="8" t="s">
        <v>6</v>
      </c>
    </row>
    <row r="5" ht="12.75" customHeight="1">
      <c r="A5" s="9" t="s">
        <v>7</v>
      </c>
      <c r="B5" s="10"/>
      <c r="C5" s="2"/>
      <c r="D5" s="2"/>
      <c r="E5" s="2"/>
    </row>
    <row r="6" ht="12.75" customHeight="1">
      <c r="A6" s="9" t="s">
        <v>8</v>
      </c>
    </row>
    <row r="7" ht="12.75" customHeight="1">
      <c r="A7" s="9" t="s">
        <v>9</v>
      </c>
    </row>
    <row r="8" ht="12.75" customHeight="1">
      <c r="A8" s="11" t="s">
        <v>10</v>
      </c>
    </row>
    <row r="9" ht="12.75" customHeight="1">
      <c r="A9" s="11" t="s">
        <v>11</v>
      </c>
    </row>
    <row r="10" ht="12.75" customHeight="1">
      <c r="A10" s="11" t="s">
        <v>12</v>
      </c>
    </row>
    <row r="11" ht="12.75" customHeight="1">
      <c r="A11" s="11" t="s">
        <v>13</v>
      </c>
    </row>
    <row r="12" ht="12.75" customHeight="1">
      <c r="A12" s="11" t="s">
        <v>14</v>
      </c>
    </row>
    <row r="13" ht="12.75" customHeight="1">
      <c r="A13" s="11" t="s">
        <v>15</v>
      </c>
    </row>
    <row r="14" ht="12.75" customHeight="1">
      <c r="A14" s="11" t="s">
        <v>16</v>
      </c>
    </row>
    <row r="15" ht="12.75" customHeight="1">
      <c r="A15" s="11" t="s">
        <v>17</v>
      </c>
    </row>
    <row r="16" ht="12.75" customHeight="1">
      <c r="A16" s="11" t="s">
        <v>18</v>
      </c>
    </row>
    <row r="17" ht="12.75" customHeight="1">
      <c r="A17" s="11" t="s">
        <v>19</v>
      </c>
    </row>
    <row r="18" ht="12.75" customHeight="1">
      <c r="A18" s="11" t="s">
        <v>20</v>
      </c>
    </row>
    <row r="19" ht="12.75" customHeight="1">
      <c r="A19" s="11" t="s">
        <v>21</v>
      </c>
    </row>
    <row r="20" ht="12.75" customHeight="1">
      <c r="A20" s="11" t="s">
        <v>22</v>
      </c>
    </row>
    <row r="21" ht="12.75" customHeight="1">
      <c r="A21" s="12" t="s">
        <v>23</v>
      </c>
    </row>
    <row r="22" ht="12.75" customHeight="1">
      <c r="A22" s="13" t="s">
        <v>24</v>
      </c>
    </row>
    <row r="23" ht="12.75" customHeight="1">
      <c r="A23" s="13" t="s">
        <v>25</v>
      </c>
    </row>
    <row r="24" ht="12.75" customHeight="1">
      <c r="A24" s="14"/>
    </row>
    <row r="25" ht="12.75" customHeight="1">
      <c r="A25" s="7" t="s">
        <v>26</v>
      </c>
    </row>
    <row r="26" ht="12.75" customHeight="1">
      <c r="A26" s="14" t="s">
        <v>27</v>
      </c>
      <c r="B26" s="14" t="s">
        <v>28</v>
      </c>
      <c r="C26" s="14" t="s">
        <v>29</v>
      </c>
      <c r="D26" s="15">
        <v>101325.0</v>
      </c>
    </row>
    <row r="27" ht="12.75" customHeight="1">
      <c r="A27" s="14" t="s">
        <v>30</v>
      </c>
      <c r="B27" s="14" t="s">
        <v>31</v>
      </c>
      <c r="C27" s="14" t="s">
        <v>32</v>
      </c>
      <c r="D27" s="15">
        <v>288.71</v>
      </c>
    </row>
    <row r="28" ht="12.75" customHeight="1">
      <c r="A28" s="14" t="s">
        <v>33</v>
      </c>
      <c r="B28" s="14" t="s">
        <v>34</v>
      </c>
      <c r="C28" s="14" t="s">
        <v>35</v>
      </c>
      <c r="D28" s="16">
        <f>D26/(D31*D27)</f>
        <v>1.222849158</v>
      </c>
    </row>
    <row r="29" ht="12.75" customHeight="1">
      <c r="A29" s="14" t="s">
        <v>36</v>
      </c>
      <c r="B29" s="14" t="s">
        <v>37</v>
      </c>
      <c r="C29" s="14" t="s">
        <v>38</v>
      </c>
      <c r="D29" s="17">
        <v>1.81E-5</v>
      </c>
    </row>
    <row r="30" ht="12.75" customHeight="1">
      <c r="A30" s="14" t="s">
        <v>39</v>
      </c>
      <c r="B30" s="14" t="s">
        <v>40</v>
      </c>
      <c r="C30" s="14" t="s">
        <v>32</v>
      </c>
      <c r="D30" s="15">
        <v>273.15</v>
      </c>
    </row>
    <row r="31" ht="12.75" customHeight="1">
      <c r="A31" s="14" t="s">
        <v>41</v>
      </c>
      <c r="B31" s="14" t="s">
        <v>42</v>
      </c>
      <c r="C31" s="14" t="s">
        <v>43</v>
      </c>
      <c r="D31" s="15">
        <v>287.0</v>
      </c>
      <c r="L31" s="14"/>
    </row>
    <row r="32" ht="12.75" customHeight="1">
      <c r="A32" s="14" t="s">
        <v>44</v>
      </c>
      <c r="B32" s="14" t="s">
        <v>45</v>
      </c>
      <c r="C32" s="14" t="s">
        <v>46</v>
      </c>
      <c r="D32" s="18">
        <v>1.4</v>
      </c>
    </row>
    <row r="33" ht="12.75" customHeight="1">
      <c r="A33" s="14" t="s">
        <v>47</v>
      </c>
      <c r="B33" s="14" t="s">
        <v>48</v>
      </c>
      <c r="C33" s="14" t="s">
        <v>43</v>
      </c>
      <c r="D33" s="19">
        <f>D31*D32/(D32-1)</f>
        <v>1004.5</v>
      </c>
    </row>
    <row r="34" ht="12.75" customHeight="1">
      <c r="A34" s="14" t="s">
        <v>49</v>
      </c>
      <c r="B34" s="14" t="s">
        <v>50</v>
      </c>
      <c r="C34" s="14" t="s">
        <v>46</v>
      </c>
      <c r="D34" s="16">
        <f>(Sheet1!γ-1)/Sheet1!γ</f>
        <v>0.2857142857</v>
      </c>
    </row>
    <row r="35" ht="12.75" customHeight="1">
      <c r="A35" s="14" t="s">
        <v>51</v>
      </c>
      <c r="B35" s="14" t="s">
        <v>52</v>
      </c>
      <c r="C35" s="14" t="s">
        <v>46</v>
      </c>
      <c r="D35" s="16">
        <f>(2/(Sheet1!γ+1))^(1/D34)</f>
        <v>0.5282817877</v>
      </c>
    </row>
    <row r="36" ht="12.75" customHeight="1">
      <c r="A36" s="14" t="s">
        <v>53</v>
      </c>
      <c r="B36" s="14" t="s">
        <v>54</v>
      </c>
      <c r="C36" s="14" t="s">
        <v>46</v>
      </c>
      <c r="D36" s="15">
        <v>0.42</v>
      </c>
      <c r="E36" s="14" t="s">
        <v>55</v>
      </c>
    </row>
    <row r="37" ht="12.75" customHeight="1">
      <c r="A37" s="14" t="s">
        <v>56</v>
      </c>
      <c r="B37" s="14" t="s">
        <v>57</v>
      </c>
      <c r="C37" s="14" t="s">
        <v>46</v>
      </c>
      <c r="D37" s="20">
        <v>1.0E99</v>
      </c>
    </row>
    <row r="38" ht="12.75" customHeight="1">
      <c r="A38" s="14" t="s">
        <v>58</v>
      </c>
      <c r="B38" s="14" t="s">
        <v>59</v>
      </c>
      <c r="C38" s="14" t="s">
        <v>46</v>
      </c>
      <c r="D38" s="15">
        <v>2118.88</v>
      </c>
      <c r="H38" s="21"/>
      <c r="I38" s="21"/>
    </row>
    <row r="39" ht="12.75" customHeight="1">
      <c r="A39" s="14" t="s">
        <v>60</v>
      </c>
      <c r="B39" s="14" t="s">
        <v>61</v>
      </c>
      <c r="C39" s="14" t="s">
        <v>46</v>
      </c>
      <c r="D39" s="15">
        <v>100000.0</v>
      </c>
      <c r="H39" s="21"/>
      <c r="I39" s="21"/>
    </row>
    <row r="40" ht="12.75" customHeight="1">
      <c r="A40" s="14" t="s">
        <v>62</v>
      </c>
      <c r="B40" s="14" t="s">
        <v>63</v>
      </c>
      <c r="C40" s="14" t="s">
        <v>46</v>
      </c>
      <c r="D40" s="15">
        <v>401.463</v>
      </c>
    </row>
    <row r="41" ht="12.75" customHeight="1">
      <c r="A41" s="14" t="s">
        <v>64</v>
      </c>
      <c r="B41" s="14" t="s">
        <v>65</v>
      </c>
      <c r="C41" s="14" t="s">
        <v>46</v>
      </c>
      <c r="D41" s="15">
        <v>14.5038</v>
      </c>
    </row>
    <row r="42" ht="12.75" customHeight="1">
      <c r="A42" s="14" t="s">
        <v>66</v>
      </c>
      <c r="B42" s="14" t="s">
        <v>67</v>
      </c>
      <c r="C42" s="14" t="s">
        <v>46</v>
      </c>
      <c r="D42" s="19">
        <f>D26/Pa_per_bar</f>
        <v>1.01325</v>
      </c>
    </row>
    <row r="43" ht="12.75" customHeight="1">
      <c r="A43" s="14"/>
      <c r="B43" s="14"/>
      <c r="C43" s="14"/>
      <c r="D43" s="22"/>
    </row>
    <row r="44" ht="12.75" customHeight="1">
      <c r="A44" s="23" t="s">
        <v>68</v>
      </c>
      <c r="B44" s="14"/>
      <c r="C44" s="14"/>
      <c r="D44" s="22"/>
    </row>
    <row r="45" ht="12.75" customHeight="1">
      <c r="A45" s="14" t="s">
        <v>69</v>
      </c>
      <c r="B45" s="14" t="s">
        <v>70</v>
      </c>
      <c r="C45" s="14" t="s">
        <v>71</v>
      </c>
      <c r="D45" s="24">
        <v>0.02</v>
      </c>
      <c r="E45" s="25" t="s">
        <v>72</v>
      </c>
    </row>
    <row r="46" ht="12.75" customHeight="1">
      <c r="A46" s="14" t="s">
        <v>73</v>
      </c>
      <c r="B46" s="14" t="s">
        <v>73</v>
      </c>
      <c r="C46" s="14" t="s">
        <v>74</v>
      </c>
      <c r="D46" s="26">
        <f>0.0254/(D45*0.1761)</f>
        <v>7.211811471</v>
      </c>
    </row>
    <row r="47" ht="12.75" customHeight="1">
      <c r="A47" s="14" t="s">
        <v>75</v>
      </c>
      <c r="B47" s="14" t="s">
        <v>76</v>
      </c>
      <c r="C47" s="14" t="s">
        <v>46</v>
      </c>
      <c r="D47" s="27">
        <v>1.5</v>
      </c>
    </row>
    <row r="48" ht="12.75" customHeight="1">
      <c r="A48" s="14" t="s">
        <v>77</v>
      </c>
      <c r="B48" s="14" t="s">
        <v>78</v>
      </c>
      <c r="C48" s="14" t="s">
        <v>79</v>
      </c>
      <c r="D48" s="27">
        <v>5.0</v>
      </c>
    </row>
    <row r="49" ht="12.75" customHeight="1">
      <c r="A49" s="14" t="s">
        <v>80</v>
      </c>
      <c r="B49" s="14" t="s">
        <v>81</v>
      </c>
      <c r="C49" s="14" t="s">
        <v>82</v>
      </c>
      <c r="D49" s="27">
        <v>13.0</v>
      </c>
      <c r="E49" s="28">
        <f>D49+T_0</f>
        <v>286.15</v>
      </c>
      <c r="F49" s="4" t="s">
        <v>32</v>
      </c>
      <c r="G49" s="14" t="s">
        <v>83</v>
      </c>
      <c r="H49" s="14"/>
      <c r="I49" s="14"/>
      <c r="J49" s="14"/>
      <c r="K49" s="14"/>
      <c r="L49" s="14"/>
      <c r="M49" s="14"/>
    </row>
    <row r="50" ht="12.75" customHeight="1">
      <c r="A50" s="14" t="s">
        <v>84</v>
      </c>
      <c r="B50" s="14" t="s">
        <v>85</v>
      </c>
      <c r="C50" s="14" t="s">
        <v>82</v>
      </c>
      <c r="D50" s="27">
        <v>20.0</v>
      </c>
      <c r="E50" s="28">
        <f>D50+T_0</f>
        <v>293.15</v>
      </c>
      <c r="F50" s="4" t="s">
        <v>32</v>
      </c>
      <c r="G50" s="14" t="s">
        <v>86</v>
      </c>
      <c r="H50" s="14"/>
      <c r="I50" s="14"/>
      <c r="J50" s="14"/>
      <c r="K50" s="14"/>
      <c r="L50" s="14"/>
      <c r="M50" s="14"/>
    </row>
    <row r="51" ht="12.75" customHeight="1">
      <c r="A51" s="14" t="s">
        <v>87</v>
      </c>
      <c r="B51" s="14" t="s">
        <v>88</v>
      </c>
      <c r="C51" s="14" t="s">
        <v>82</v>
      </c>
      <c r="D51" s="26">
        <f>E51-T_0</f>
        <v>18.65772776</v>
      </c>
      <c r="E51" s="28">
        <f>average($K$171,$K$191)</f>
        <v>291.8077278</v>
      </c>
      <c r="F51" s="4" t="s">
        <v>32</v>
      </c>
      <c r="G51" s="14" t="s">
        <v>89</v>
      </c>
      <c r="H51" s="14"/>
      <c r="I51" s="14"/>
      <c r="J51" s="14"/>
      <c r="K51" s="14"/>
      <c r="L51" s="14"/>
      <c r="M51" s="14"/>
    </row>
    <row r="52" ht="12.75" customHeight="1">
      <c r="A52" s="14" t="s">
        <v>90</v>
      </c>
      <c r="B52" s="14" t="s">
        <v>91</v>
      </c>
      <c r="C52" s="14" t="s">
        <v>92</v>
      </c>
      <c r="D52" s="29">
        <v>0.8</v>
      </c>
      <c r="E52" s="14"/>
      <c r="F52" s="4"/>
      <c r="G52" s="14"/>
      <c r="H52" s="14"/>
      <c r="I52" s="14"/>
      <c r="J52" s="14"/>
      <c r="K52" s="14"/>
      <c r="L52" s="14"/>
      <c r="M52" s="14"/>
    </row>
    <row r="53" ht="12.75" customHeight="1">
      <c r="A53" s="30" t="s">
        <v>93</v>
      </c>
      <c r="B53" s="30" t="s">
        <v>94</v>
      </c>
      <c r="C53" s="30" t="s">
        <v>46</v>
      </c>
      <c r="D53" s="31">
        <f>ln(D52 * exp((17.62 * D147) / (243.12 + D147)))</f>
        <v>0.2699797495</v>
      </c>
      <c r="E53" s="32"/>
      <c r="F53" s="32"/>
      <c r="G53" s="30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</row>
    <row r="54" ht="12.75" customHeight="1">
      <c r="A54" s="14" t="s">
        <v>95</v>
      </c>
      <c r="B54" s="14" t="s">
        <v>96</v>
      </c>
      <c r="C54" s="14" t="s">
        <v>82</v>
      </c>
      <c r="D54" s="28">
        <f>(243.12*D53)/(17.62-D53)</f>
        <v>3.783135452</v>
      </c>
      <c r="E54" s="28">
        <f>D54+T_0</f>
        <v>276.9331355</v>
      </c>
      <c r="F54" s="4" t="s">
        <v>32</v>
      </c>
      <c r="G54" s="30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</row>
    <row r="55" ht="12.75" customHeight="1">
      <c r="A55" s="14" t="s">
        <v>97</v>
      </c>
      <c r="B55" s="14" t="s">
        <v>98</v>
      </c>
      <c r="C55" s="14" t="s">
        <v>82</v>
      </c>
      <c r="D55" s="33">
        <f>D54</f>
        <v>3.783135452</v>
      </c>
      <c r="E55" s="28">
        <f>D55+T_0</f>
        <v>276.9331355</v>
      </c>
      <c r="F55" s="4" t="s">
        <v>32</v>
      </c>
      <c r="G55" s="34" t="s">
        <v>99</v>
      </c>
      <c r="H55" s="14"/>
      <c r="I55" s="14"/>
      <c r="J55" s="14"/>
      <c r="K55" s="14"/>
      <c r="L55" s="14"/>
      <c r="M55" s="14"/>
    </row>
    <row r="56" ht="12.75" customHeight="1"/>
    <row r="57" ht="12.75" customHeight="1">
      <c r="A57" s="7" t="s">
        <v>100</v>
      </c>
    </row>
    <row r="58" ht="12.75" customHeight="1">
      <c r="A58" s="14" t="s">
        <v>101</v>
      </c>
      <c r="B58" s="14" t="s">
        <v>102</v>
      </c>
      <c r="C58" s="14" t="s">
        <v>103</v>
      </c>
      <c r="D58" s="15">
        <v>34.7</v>
      </c>
    </row>
    <row r="59" ht="12.75" customHeight="1">
      <c r="A59" s="14" t="s">
        <v>104</v>
      </c>
      <c r="B59" s="14" t="s">
        <v>105</v>
      </c>
      <c r="C59" s="14" t="s">
        <v>103</v>
      </c>
      <c r="D59" s="15">
        <v>6.0</v>
      </c>
    </row>
    <row r="60" ht="12.75" customHeight="1">
      <c r="A60" s="14" t="s">
        <v>106</v>
      </c>
      <c r="B60" s="14" t="s">
        <v>107</v>
      </c>
      <c r="C60" s="14" t="s">
        <v>108</v>
      </c>
      <c r="D60" s="26">
        <f>D58*D59/2</f>
        <v>104.1</v>
      </c>
    </row>
    <row r="61" ht="12.75" customHeight="1">
      <c r="A61" s="14" t="s">
        <v>109</v>
      </c>
      <c r="B61" s="14" t="s">
        <v>110</v>
      </c>
      <c r="C61" s="14" t="s">
        <v>103</v>
      </c>
      <c r="D61" s="35">
        <f>sqrt(4*D60/pi())</f>
        <v>11.51278579</v>
      </c>
    </row>
    <row r="62" ht="12.75" customHeight="1">
      <c r="A62" s="14" t="s">
        <v>111</v>
      </c>
      <c r="B62" s="14" t="s">
        <v>112</v>
      </c>
      <c r="C62" s="14" t="s">
        <v>103</v>
      </c>
      <c r="D62" s="15">
        <v>870.0</v>
      </c>
    </row>
    <row r="63" ht="12.75" customHeight="1">
      <c r="A63" s="14" t="s">
        <v>113</v>
      </c>
      <c r="B63" s="14" t="s">
        <v>114</v>
      </c>
      <c r="C63" s="14" t="s">
        <v>103</v>
      </c>
      <c r="D63" s="36">
        <v>488.0</v>
      </c>
    </row>
    <row r="64" ht="12.75" customHeight="1">
      <c r="A64" s="14" t="s">
        <v>115</v>
      </c>
      <c r="B64" s="14" t="s">
        <v>116</v>
      </c>
      <c r="C64" s="14" t="s">
        <v>46</v>
      </c>
      <c r="D64" s="36">
        <v>4.0</v>
      </c>
    </row>
    <row r="65" ht="12.75" customHeight="1">
      <c r="A65" s="14" t="s">
        <v>117</v>
      </c>
      <c r="B65" s="14" t="s">
        <v>118</v>
      </c>
      <c r="C65" s="14" t="s">
        <v>46</v>
      </c>
      <c r="D65" s="36">
        <v>1.0</v>
      </c>
    </row>
    <row r="66" ht="12.75" customHeight="1">
      <c r="A66" s="14" t="s">
        <v>119</v>
      </c>
      <c r="B66" s="14" t="s">
        <v>120</v>
      </c>
      <c r="C66" s="14" t="s">
        <v>103</v>
      </c>
      <c r="D66" s="26">
        <f>sqrt((D62^2*D64+D63^2*D65)/(D64+D65))</f>
        <v>808.1762184</v>
      </c>
    </row>
    <row r="67" ht="12.75" customHeight="1">
      <c r="A67" s="14" t="s">
        <v>121</v>
      </c>
      <c r="B67" s="14" t="s">
        <v>122</v>
      </c>
      <c r="C67" s="14" t="s">
        <v>103</v>
      </c>
      <c r="D67" s="26">
        <f t="shared" ref="D67:D68" si="1">pi()/4*D62</f>
        <v>683.2964022</v>
      </c>
    </row>
    <row r="68" ht="12.75" customHeight="1">
      <c r="A68" s="14" t="s">
        <v>123</v>
      </c>
      <c r="B68" s="14" t="s">
        <v>124</v>
      </c>
      <c r="C68" s="14" t="s">
        <v>103</v>
      </c>
      <c r="D68" s="26">
        <f t="shared" si="1"/>
        <v>383.2743037</v>
      </c>
      <c r="F68" s="37"/>
    </row>
    <row r="69" ht="12.75" customHeight="1">
      <c r="A69" s="14" t="s">
        <v>125</v>
      </c>
      <c r="B69" s="14" t="s">
        <v>126</v>
      </c>
      <c r="C69" s="14" t="s">
        <v>103</v>
      </c>
      <c r="D69" s="35">
        <f>pi()/4 * D66</f>
        <v>634.7401176</v>
      </c>
      <c r="F69" s="37"/>
    </row>
    <row r="70" ht="12.75" customHeight="1">
      <c r="A70" s="14" t="s">
        <v>127</v>
      </c>
      <c r="B70" s="14" t="s">
        <v>128</v>
      </c>
      <c r="C70" s="14" t="s">
        <v>46</v>
      </c>
      <c r="D70" s="26">
        <f>(D66/2) / (D58/2)</f>
        <v>23.29038093</v>
      </c>
      <c r="E70" s="14" t="s">
        <v>129</v>
      </c>
    </row>
    <row r="71" ht="12.75" customHeight="1"/>
    <row r="72" ht="12.75" customHeight="1">
      <c r="A72" s="7" t="s">
        <v>130</v>
      </c>
    </row>
    <row r="73" ht="12.75" customHeight="1">
      <c r="A73" s="14" t="s">
        <v>131</v>
      </c>
      <c r="B73" s="14" t="s">
        <v>132</v>
      </c>
      <c r="C73" s="14" t="s">
        <v>103</v>
      </c>
      <c r="D73" s="15">
        <v>20.65</v>
      </c>
    </row>
    <row r="74" ht="12.75" customHeight="1">
      <c r="A74" s="14" t="s">
        <v>133</v>
      </c>
      <c r="B74" s="14" t="s">
        <v>134</v>
      </c>
      <c r="C74" s="14" t="s">
        <v>103</v>
      </c>
      <c r="D74" s="15">
        <v>2.92</v>
      </c>
    </row>
    <row r="75" ht="12.75" customHeight="1">
      <c r="A75" s="14" t="s">
        <v>135</v>
      </c>
      <c r="B75" s="14" t="s">
        <v>136</v>
      </c>
      <c r="C75" s="14" t="s">
        <v>103</v>
      </c>
      <c r="D75" s="15">
        <v>7.49</v>
      </c>
    </row>
    <row r="76" ht="12.75" customHeight="1">
      <c r="A76" s="14" t="s">
        <v>137</v>
      </c>
      <c r="B76" s="14" t="s">
        <v>138</v>
      </c>
      <c r="C76" s="14" t="s">
        <v>103</v>
      </c>
      <c r="D76" s="26">
        <f>(D74+D75)/2</f>
        <v>5.205</v>
      </c>
    </row>
    <row r="77" ht="12.75" customHeight="1">
      <c r="A77" s="14" t="s">
        <v>139</v>
      </c>
      <c r="B77" s="14" t="s">
        <v>140</v>
      </c>
      <c r="C77" s="14" t="s">
        <v>108</v>
      </c>
      <c r="D77" s="26">
        <f>D73*D76</f>
        <v>107.48325</v>
      </c>
    </row>
    <row r="78" ht="12.75" customHeight="1">
      <c r="A78" s="14" t="s">
        <v>141</v>
      </c>
      <c r="B78" s="14" t="s">
        <v>142</v>
      </c>
      <c r="C78" s="14" t="s">
        <v>103</v>
      </c>
      <c r="D78" s="26">
        <f>sqrt(4*D77/pi())</f>
        <v>11.69837272</v>
      </c>
    </row>
    <row r="79" ht="12.75" customHeight="1">
      <c r="A79" s="14" t="s">
        <v>143</v>
      </c>
      <c r="B79" s="14" t="s">
        <v>144</v>
      </c>
      <c r="C79" s="14" t="s">
        <v>46</v>
      </c>
      <c r="D79" s="38">
        <f>D78/D61-1</f>
        <v>0.01612007165</v>
      </c>
      <c r="E79" s="14" t="s">
        <v>145</v>
      </c>
    </row>
    <row r="80" ht="12.75" customHeight="1">
      <c r="A80" s="14" t="s">
        <v>146</v>
      </c>
      <c r="B80" s="14" t="s">
        <v>147</v>
      </c>
      <c r="C80" s="14" t="s">
        <v>103</v>
      </c>
      <c r="D80" s="15">
        <v>793.0</v>
      </c>
    </row>
    <row r="81" ht="12.75" customHeight="1">
      <c r="A81" s="14" t="s">
        <v>148</v>
      </c>
      <c r="B81" s="14" t="s">
        <v>149</v>
      </c>
      <c r="C81" s="14" t="s">
        <v>103</v>
      </c>
      <c r="D81" s="15">
        <v>503.0</v>
      </c>
    </row>
    <row r="82" ht="12.75" customHeight="1">
      <c r="A82" s="14" t="s">
        <v>150</v>
      </c>
      <c r="B82" s="14" t="s">
        <v>151</v>
      </c>
      <c r="C82" s="14" t="s">
        <v>46</v>
      </c>
      <c r="D82" s="15">
        <v>35.0</v>
      </c>
    </row>
    <row r="83" ht="12.75" customHeight="1">
      <c r="A83" s="14" t="s">
        <v>152</v>
      </c>
      <c r="B83" s="14" t="s">
        <v>153</v>
      </c>
      <c r="C83" s="14" t="s">
        <v>46</v>
      </c>
      <c r="D83" s="15">
        <v>22.0</v>
      </c>
      <c r="F83" s="39"/>
    </row>
    <row r="84" ht="12.75" customHeight="1">
      <c r="A84" s="14" t="s">
        <v>154</v>
      </c>
      <c r="B84" s="14" t="s">
        <v>155</v>
      </c>
      <c r="C84" s="14" t="s">
        <v>103</v>
      </c>
      <c r="D84" s="26">
        <f>(D80*D82+D81*D83)/(D82+D83)</f>
        <v>681.0701754</v>
      </c>
    </row>
    <row r="85" ht="12.75" customHeight="1">
      <c r="A85" s="14" t="s">
        <v>156</v>
      </c>
      <c r="B85" s="14" t="s">
        <v>157</v>
      </c>
      <c r="C85" s="14" t="s">
        <v>46</v>
      </c>
      <c r="D85" s="40">
        <f>D84/D69-1</f>
        <v>0.07299059333</v>
      </c>
      <c r="E85" s="14" t="s">
        <v>158</v>
      </c>
    </row>
    <row r="86" ht="12.75" customHeight="1">
      <c r="A86" s="41" t="s">
        <v>159</v>
      </c>
    </row>
    <row r="87" ht="12.75" customHeight="1">
      <c r="A87" s="14" t="s">
        <v>160</v>
      </c>
      <c r="B87" s="14" t="s">
        <v>161</v>
      </c>
      <c r="D87" s="35">
        <f>D84*(D82+D83)/(D69*D70)</f>
        <v>2.625996715</v>
      </c>
      <c r="E87" s="14" t="s">
        <v>162</v>
      </c>
    </row>
    <row r="88" ht="12.75" customHeight="1"/>
    <row r="89" ht="12.75" customHeight="1">
      <c r="A89" s="23" t="s">
        <v>163</v>
      </c>
    </row>
    <row r="90" ht="12.75" customHeight="1">
      <c r="A90" s="14" t="s">
        <v>164</v>
      </c>
      <c r="B90" s="14" t="s">
        <v>165</v>
      </c>
      <c r="D90" s="15">
        <v>5.0</v>
      </c>
    </row>
    <row r="91" ht="12.75" customHeight="1">
      <c r="A91" s="14" t="s">
        <v>166</v>
      </c>
      <c r="B91" s="14" t="s">
        <v>167</v>
      </c>
      <c r="D91" s="15">
        <v>2.0</v>
      </c>
    </row>
    <row r="92" ht="12.75" customHeight="1">
      <c r="A92" s="14" t="s">
        <v>168</v>
      </c>
      <c r="B92" s="14" t="s">
        <v>169</v>
      </c>
      <c r="D92" s="15">
        <v>1.0</v>
      </c>
    </row>
    <row r="93" ht="12.75" customHeight="1">
      <c r="A93" s="14" t="s">
        <v>170</v>
      </c>
      <c r="B93" s="14" t="s">
        <v>171</v>
      </c>
      <c r="D93" s="26">
        <f>(D90+D87)/sum(D90:D92)*D70</f>
        <v>22.20154606</v>
      </c>
      <c r="E93" s="14" t="s">
        <v>172</v>
      </c>
    </row>
    <row r="94" ht="12.75" customHeight="1"/>
    <row r="95" ht="12.75" customHeight="1">
      <c r="A95" s="7" t="s">
        <v>173</v>
      </c>
    </row>
    <row r="96" ht="12.75" customHeight="1">
      <c r="A96" s="14" t="s">
        <v>174</v>
      </c>
      <c r="B96" s="14" t="s">
        <v>175</v>
      </c>
      <c r="C96" s="14" t="s">
        <v>46</v>
      </c>
      <c r="D96" s="29">
        <v>0.9</v>
      </c>
    </row>
    <row r="97" ht="12.75" customHeight="1">
      <c r="A97" s="14" t="s">
        <v>176</v>
      </c>
      <c r="B97" s="14" t="s">
        <v>177</v>
      </c>
      <c r="C97" s="14" t="s">
        <v>103</v>
      </c>
      <c r="D97" s="15">
        <v>1076.0</v>
      </c>
    </row>
    <row r="98" ht="12.75" customHeight="1">
      <c r="A98" s="14" t="s">
        <v>178</v>
      </c>
      <c r="B98" s="14" t="s">
        <v>179</v>
      </c>
      <c r="C98" s="14" t="s">
        <v>103</v>
      </c>
      <c r="D98" s="36">
        <v>2540.0</v>
      </c>
    </row>
    <row r="99" ht="12.75" customHeight="1">
      <c r="A99" s="14" t="s">
        <v>180</v>
      </c>
      <c r="B99" s="14" t="s">
        <v>181</v>
      </c>
      <c r="C99" s="14" t="s">
        <v>182</v>
      </c>
      <c r="D99" s="42">
        <f>D96*D97^2*pi()/4*D98</f>
        <v>2078694419</v>
      </c>
    </row>
    <row r="100" ht="12.75" customHeight="1">
      <c r="A100" s="14" t="s">
        <v>183</v>
      </c>
      <c r="B100" s="14" t="s">
        <v>184</v>
      </c>
      <c r="C100" s="14" t="s">
        <v>46</v>
      </c>
      <c r="D100" s="15">
        <v>12.0</v>
      </c>
      <c r="E100" s="14" t="s">
        <v>185</v>
      </c>
    </row>
    <row r="101" ht="12.75" customHeight="1">
      <c r="A101" s="14" t="s">
        <v>186</v>
      </c>
      <c r="B101" s="14" t="s">
        <v>187</v>
      </c>
      <c r="C101" s="14" t="s">
        <v>182</v>
      </c>
      <c r="D101" s="42">
        <f>D99/D100</f>
        <v>173224534.9</v>
      </c>
    </row>
    <row r="102" ht="12.75" customHeight="1">
      <c r="A102" s="14" t="s">
        <v>188</v>
      </c>
      <c r="B102" s="14" t="s">
        <v>189</v>
      </c>
      <c r="C102" s="14" t="s">
        <v>46</v>
      </c>
      <c r="D102" s="15">
        <v>6.0</v>
      </c>
    </row>
    <row r="103" ht="12.75" customHeight="1">
      <c r="A103" s="14" t="s">
        <v>190</v>
      </c>
      <c r="B103" s="14" t="s">
        <v>191</v>
      </c>
      <c r="C103" s="14" t="s">
        <v>103</v>
      </c>
      <c r="D103" s="26">
        <f>(D98-D80/1000)/D102</f>
        <v>423.2011667</v>
      </c>
    </row>
    <row r="104" ht="12.75" customHeight="1">
      <c r="A104" s="14" t="s">
        <v>192</v>
      </c>
      <c r="B104" s="14" t="s">
        <v>193</v>
      </c>
      <c r="C104" s="14" t="s">
        <v>103</v>
      </c>
      <c r="D104" s="28">
        <f>sqrt(4/pi()*D97*D103)</f>
        <v>761.4381339</v>
      </c>
    </row>
    <row r="105" ht="12.75" customHeight="1">
      <c r="A105" s="14" t="s">
        <v>194</v>
      </c>
      <c r="B105" s="14" t="s">
        <v>195</v>
      </c>
      <c r="C105" s="14" t="s">
        <v>103</v>
      </c>
      <c r="D105" s="36">
        <v>840.0</v>
      </c>
    </row>
    <row r="106" ht="12.75" customHeight="1">
      <c r="A106" s="14" t="s">
        <v>196</v>
      </c>
      <c r="B106" s="14" t="s">
        <v>197</v>
      </c>
      <c r="C106" s="14" t="s">
        <v>103</v>
      </c>
      <c r="D106" s="36">
        <v>540.0</v>
      </c>
    </row>
    <row r="107" ht="12.75" customHeight="1">
      <c r="A107" s="14" t="s">
        <v>198</v>
      </c>
      <c r="B107" s="14" t="s">
        <v>199</v>
      </c>
      <c r="C107" s="14" t="s">
        <v>103</v>
      </c>
      <c r="D107" s="26">
        <f>sqrt(D97^2-D105^2)</f>
        <v>672.4403319</v>
      </c>
    </row>
    <row r="108" ht="12.75" customHeight="1">
      <c r="A108" s="14" t="s">
        <v>200</v>
      </c>
      <c r="B108" s="14" t="s">
        <v>201</v>
      </c>
      <c r="C108" s="14" t="s">
        <v>103</v>
      </c>
      <c r="D108" s="26">
        <f>sqrt(D105^2-D106^2)</f>
        <v>643.4283177</v>
      </c>
    </row>
    <row r="109" ht="12.75" customHeight="1">
      <c r="A109" s="14" t="s">
        <v>202</v>
      </c>
      <c r="B109" s="14" t="s">
        <v>203</v>
      </c>
      <c r="C109" s="14" t="s">
        <v>103</v>
      </c>
      <c r="D109" s="35">
        <f>(D102*D104+D106+D107+D108)/(D102+3)</f>
        <v>713.8330504</v>
      </c>
    </row>
    <row r="110" ht="12.75" customHeight="1">
      <c r="A110" s="14" t="s">
        <v>204</v>
      </c>
      <c r="B110" s="14" t="s">
        <v>205</v>
      </c>
      <c r="C110" s="14" t="s">
        <v>103</v>
      </c>
      <c r="D110" s="35">
        <f>D101/(pi()/4*D109^2)</f>
        <v>432.8388345</v>
      </c>
    </row>
    <row r="111" ht="12.75" customHeight="1"/>
    <row r="112" ht="12.75" customHeight="1">
      <c r="A112" s="7" t="s">
        <v>206</v>
      </c>
    </row>
    <row r="113" ht="12.75" customHeight="1">
      <c r="A113" s="14" t="s">
        <v>207</v>
      </c>
      <c r="B113" s="14" t="s">
        <v>208</v>
      </c>
      <c r="C113" s="14" t="s">
        <v>103</v>
      </c>
      <c r="D113" s="15">
        <v>35.0</v>
      </c>
    </row>
    <row r="114" ht="12.75" customHeight="1">
      <c r="A114" s="14" t="s">
        <v>209</v>
      </c>
      <c r="B114" s="14" t="s">
        <v>210</v>
      </c>
      <c r="C114" s="14" t="s">
        <v>103</v>
      </c>
      <c r="D114" s="15">
        <v>104.0</v>
      </c>
    </row>
    <row r="115" ht="12.75" customHeight="1">
      <c r="A115" s="14" t="s">
        <v>211</v>
      </c>
      <c r="B115" s="14" t="s">
        <v>212</v>
      </c>
      <c r="C115" s="14" t="s">
        <v>108</v>
      </c>
      <c r="D115" s="43">
        <f>D113*D114</f>
        <v>3640</v>
      </c>
    </row>
    <row r="116" ht="12.75" customHeight="1">
      <c r="A116" s="14" t="s">
        <v>213</v>
      </c>
      <c r="B116" s="14" t="s">
        <v>214</v>
      </c>
      <c r="C116" s="14" t="s">
        <v>103</v>
      </c>
      <c r="D116" s="43">
        <f>2*(D113+D114)</f>
        <v>278</v>
      </c>
    </row>
    <row r="117" ht="12.75" customHeight="1">
      <c r="A117" s="14" t="s">
        <v>215</v>
      </c>
      <c r="B117" s="14" t="s">
        <v>216</v>
      </c>
      <c r="C117" s="14" t="s">
        <v>103</v>
      </c>
      <c r="D117" s="26">
        <f>4*D115/D116</f>
        <v>52.37410072</v>
      </c>
    </row>
    <row r="118" ht="12.75" customHeight="1">
      <c r="A118" s="14" t="s">
        <v>217</v>
      </c>
      <c r="B118" s="14" t="s">
        <v>218</v>
      </c>
      <c r="C118" s="14" t="s">
        <v>46</v>
      </c>
      <c r="D118" s="15">
        <v>1.0</v>
      </c>
    </row>
    <row r="119" ht="12.75" customHeight="1"/>
    <row r="120" ht="12.75" customHeight="1">
      <c r="A120" s="7" t="s">
        <v>219</v>
      </c>
    </row>
    <row r="121" ht="12.75" customHeight="1">
      <c r="A121" s="14" t="s">
        <v>220</v>
      </c>
      <c r="B121" s="44" t="s">
        <v>221</v>
      </c>
      <c r="C121" s="45" t="s">
        <v>222</v>
      </c>
      <c r="D121" s="14"/>
    </row>
    <row r="122" ht="12.75" customHeight="1">
      <c r="A122" s="14" t="s">
        <v>223</v>
      </c>
      <c r="B122" s="14" t="s">
        <v>224</v>
      </c>
      <c r="C122" s="14" t="s">
        <v>225</v>
      </c>
      <c r="D122" s="15">
        <v>0.208</v>
      </c>
    </row>
    <row r="123" ht="12.75" customHeight="1">
      <c r="A123" s="14" t="s">
        <v>226</v>
      </c>
      <c r="B123" s="14" t="s">
        <v>227</v>
      </c>
      <c r="C123" s="14" t="s">
        <v>225</v>
      </c>
      <c r="D123" s="15">
        <v>0.208</v>
      </c>
    </row>
    <row r="124" ht="12.75" customHeight="1">
      <c r="A124" s="14" t="s">
        <v>228</v>
      </c>
      <c r="B124" s="14" t="s">
        <v>229</v>
      </c>
      <c r="C124" s="14" t="s">
        <v>46</v>
      </c>
      <c r="D124" s="46">
        <f>'alt RSU counts &amp; power'!G8</f>
        <v>5.651945321</v>
      </c>
      <c r="E124" s="14" t="s">
        <v>230</v>
      </c>
    </row>
    <row r="125" ht="12.75" customHeight="1">
      <c r="A125" s="14" t="s">
        <v>231</v>
      </c>
      <c r="B125" s="14" t="s">
        <v>232</v>
      </c>
      <c r="C125" s="14" t="s">
        <v>225</v>
      </c>
      <c r="D125" s="47">
        <f>D124*D123+D122</f>
        <v>1.383604627</v>
      </c>
    </row>
    <row r="126" ht="12.75" customHeight="1">
      <c r="A126" s="14" t="s">
        <v>233</v>
      </c>
      <c r="B126" s="14" t="s">
        <v>234</v>
      </c>
      <c r="C126" s="14" t="s">
        <v>46</v>
      </c>
      <c r="D126" s="29">
        <v>0.45</v>
      </c>
    </row>
    <row r="127" ht="12.75" customHeight="1">
      <c r="A127" s="14" t="s">
        <v>235</v>
      </c>
      <c r="B127" s="14" t="s">
        <v>236</v>
      </c>
      <c r="C127" s="14" t="s">
        <v>225</v>
      </c>
      <c r="D127" s="47">
        <f>D126*D125</f>
        <v>0.622622082</v>
      </c>
    </row>
    <row r="128" ht="12.75" customHeight="1">
      <c r="A128" s="14" t="s">
        <v>237</v>
      </c>
      <c r="B128" s="14" t="s">
        <v>238</v>
      </c>
      <c r="C128" s="14" t="s">
        <v>46</v>
      </c>
      <c r="D128" s="29">
        <v>0.3</v>
      </c>
    </row>
    <row r="129" ht="12.75" customHeight="1">
      <c r="A129" s="14" t="s">
        <v>239</v>
      </c>
      <c r="B129" s="14" t="s">
        <v>240</v>
      </c>
      <c r="C129" s="14" t="s">
        <v>225</v>
      </c>
      <c r="D129" s="47">
        <f>D125*D128</f>
        <v>0.415081388</v>
      </c>
    </row>
    <row r="130" ht="12.75" customHeight="1">
      <c r="A130" s="14" t="s">
        <v>241</v>
      </c>
      <c r="B130" s="14" t="s">
        <v>242</v>
      </c>
      <c r="C130" s="14" t="s">
        <v>103</v>
      </c>
      <c r="D130" s="15">
        <v>21.6</v>
      </c>
    </row>
    <row r="131" ht="12.75" customHeight="1">
      <c r="A131" s="14" t="s">
        <v>243</v>
      </c>
      <c r="B131" s="14" t="s">
        <v>244</v>
      </c>
      <c r="C131" s="14" t="s">
        <v>46</v>
      </c>
      <c r="D131" s="28">
        <f>D69/D130</f>
        <v>29.38611656</v>
      </c>
      <c r="E131" s="14" t="s">
        <v>245</v>
      </c>
    </row>
    <row r="132" ht="12.75" customHeight="1">
      <c r="A132" s="14" t="s">
        <v>246</v>
      </c>
      <c r="B132" s="14" t="s">
        <v>247</v>
      </c>
      <c r="C132" s="14" t="s">
        <v>46</v>
      </c>
      <c r="D132" s="26">
        <f>D131/D124</f>
        <v>5.199292436</v>
      </c>
    </row>
    <row r="133" ht="12.75" customHeight="1">
      <c r="A133" s="14" t="s">
        <v>248</v>
      </c>
      <c r="B133" s="14" t="s">
        <v>249</v>
      </c>
      <c r="C133" s="14" t="s">
        <v>225</v>
      </c>
      <c r="D133" s="48">
        <f>D123*D131</f>
        <v>6.112312244</v>
      </c>
    </row>
    <row r="134" ht="12.75" customHeight="1">
      <c r="A134" s="14" t="s">
        <v>250</v>
      </c>
      <c r="B134" s="14" t="s">
        <v>251</v>
      </c>
      <c r="C134" s="14" t="s">
        <v>225</v>
      </c>
      <c r="D134" s="48">
        <f>D122 * D132</f>
        <v>1.081452827</v>
      </c>
    </row>
    <row r="135" ht="12.75" customHeight="1">
      <c r="A135" s="14" t="s">
        <v>252</v>
      </c>
      <c r="B135" s="14" t="s">
        <v>253</v>
      </c>
      <c r="C135" s="14" t="s">
        <v>225</v>
      </c>
      <c r="D135" s="48">
        <f>D127 * D132</f>
        <v>3.237194282</v>
      </c>
    </row>
    <row r="136" ht="12.75" customHeight="1">
      <c r="A136" s="14" t="s">
        <v>254</v>
      </c>
      <c r="B136" s="14" t="s">
        <v>255</v>
      </c>
      <c r="C136" s="14" t="s">
        <v>225</v>
      </c>
      <c r="D136" s="48">
        <f>D129 * D132</f>
        <v>2.158129521</v>
      </c>
    </row>
    <row r="137" ht="12.75" customHeight="1">
      <c r="A137" s="14" t="s">
        <v>256</v>
      </c>
      <c r="B137" s="14" t="s">
        <v>257</v>
      </c>
      <c r="C137" s="14" t="s">
        <v>225</v>
      </c>
      <c r="D137" s="49">
        <f>D133+D134+D135+D136</f>
        <v>12.58908887</v>
      </c>
    </row>
    <row r="138" ht="12.75" customHeight="1">
      <c r="A138" s="50" t="s">
        <v>258</v>
      </c>
      <c r="B138" s="50" t="s">
        <v>259</v>
      </c>
      <c r="C138" s="50" t="s">
        <v>225</v>
      </c>
      <c r="D138" s="51">
        <f>D137/D132</f>
        <v>2.421308097</v>
      </c>
      <c r="E138" s="52" t="s">
        <v>260</v>
      </c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</row>
    <row r="139" ht="12.75" customHeight="1">
      <c r="A139" s="50" t="s">
        <v>261</v>
      </c>
      <c r="B139" s="50" t="s">
        <v>262</v>
      </c>
      <c r="C139" s="53" t="s">
        <v>46</v>
      </c>
      <c r="D139" s="54">
        <f>J163*D132</f>
        <v>3693.834576</v>
      </c>
      <c r="E139" s="52" t="s">
        <v>260</v>
      </c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</row>
    <row r="140" ht="12.75" customHeight="1"/>
    <row r="141" ht="12.75" customHeight="1">
      <c r="A141" s="7" t="s">
        <v>263</v>
      </c>
    </row>
    <row r="142" ht="12.75" customHeight="1">
      <c r="A142" s="14" t="s">
        <v>264</v>
      </c>
      <c r="B142" s="14" t="s">
        <v>265</v>
      </c>
      <c r="C142" s="14" t="s">
        <v>266</v>
      </c>
      <c r="D142" s="18">
        <v>0.02</v>
      </c>
      <c r="E142" s="43">
        <f>D142*Pa_per_bar</f>
        <v>2000</v>
      </c>
      <c r="F142" s="14" t="s">
        <v>29</v>
      </c>
      <c r="G142" s="55" t="s">
        <v>267</v>
      </c>
    </row>
    <row r="143" ht="12.75" customHeight="1">
      <c r="A143" s="14" t="s">
        <v>268</v>
      </c>
      <c r="B143" s="14" t="s">
        <v>269</v>
      </c>
      <c r="C143" s="14" t="s">
        <v>266</v>
      </c>
      <c r="D143" s="18">
        <v>0.003</v>
      </c>
      <c r="E143" s="43">
        <f>D143*Pa_per_bar</f>
        <v>300</v>
      </c>
      <c r="F143" s="14" t="s">
        <v>29</v>
      </c>
      <c r="G143" s="14" t="s">
        <v>270</v>
      </c>
    </row>
    <row r="144" ht="12.75" customHeight="1">
      <c r="A144" s="14" t="s">
        <v>271</v>
      </c>
      <c r="B144" s="14" t="s">
        <v>272</v>
      </c>
      <c r="C144" s="14" t="s">
        <v>266</v>
      </c>
      <c r="D144" s="16">
        <f>max(D142:D143)</f>
        <v>0.02</v>
      </c>
      <c r="E144" s="43">
        <f>D144*Pa_per_bar</f>
        <v>2000</v>
      </c>
      <c r="F144" s="14" t="s">
        <v>29</v>
      </c>
      <c r="G144" s="14" t="s">
        <v>273</v>
      </c>
    </row>
    <row r="145" ht="12.75" customHeight="1"/>
    <row r="146" ht="12.75" customHeight="1">
      <c r="A146" s="7" t="s">
        <v>274</v>
      </c>
    </row>
    <row r="147" ht="12.75" customHeight="1">
      <c r="A147" s="14" t="s">
        <v>275</v>
      </c>
      <c r="B147" s="14" t="s">
        <v>276</v>
      </c>
      <c r="C147" s="14" t="s">
        <v>82</v>
      </c>
      <c r="D147" s="27">
        <v>7.0</v>
      </c>
      <c r="E147" s="28">
        <f>D147+T_0</f>
        <v>280.15</v>
      </c>
      <c r="F147" s="4" t="s">
        <v>32</v>
      </c>
      <c r="G147" s="14" t="s">
        <v>277</v>
      </c>
      <c r="H147" s="14"/>
      <c r="I147" s="14"/>
      <c r="J147" s="14"/>
      <c r="K147" s="14"/>
      <c r="L147" s="14"/>
      <c r="M147" s="14"/>
    </row>
    <row r="148" ht="12.75" customHeight="1">
      <c r="A148" s="14" t="s">
        <v>278</v>
      </c>
      <c r="B148" s="14" t="s">
        <v>279</v>
      </c>
      <c r="C148" s="14" t="s">
        <v>266</v>
      </c>
      <c r="D148" s="56">
        <f>iferror(max(D154, D148 + 0.01*(D154-K182)), H149)</f>
        <v>1.426641776</v>
      </c>
      <c r="E148" s="57">
        <f>D148-bar_per_atm</f>
        <v>0.4133917763</v>
      </c>
      <c r="F148" s="14" t="s">
        <v>280</v>
      </c>
      <c r="G148" s="41" t="s">
        <v>281</v>
      </c>
      <c r="H148" s="14"/>
      <c r="I148" s="14"/>
      <c r="J148" s="14"/>
      <c r="K148" s="14"/>
      <c r="L148" s="14"/>
      <c r="M148" s="14"/>
    </row>
    <row r="149" ht="12.75" customHeight="1">
      <c r="A149" s="14" t="s">
        <v>73</v>
      </c>
      <c r="B149" s="14" t="s">
        <v>73</v>
      </c>
      <c r="C149" s="14" t="s">
        <v>29</v>
      </c>
      <c r="D149" s="58">
        <f>D148*Pa_per_bar</f>
        <v>142664.1776</v>
      </c>
      <c r="E149" s="59">
        <f>D149-bar_per_atm*Pa_per_bar</f>
        <v>41339.17763</v>
      </c>
      <c r="F149" s="14" t="s">
        <v>282</v>
      </c>
      <c r="G149" s="14"/>
      <c r="H149" s="15">
        <v>2.0</v>
      </c>
      <c r="I149" s="41" t="s">
        <v>283</v>
      </c>
      <c r="J149" s="14"/>
      <c r="K149" s="14"/>
      <c r="L149" s="14"/>
      <c r="M149" s="14"/>
    </row>
    <row r="150" ht="12.75" customHeight="1">
      <c r="A150" s="14" t="s">
        <v>73</v>
      </c>
      <c r="B150" s="14" t="s">
        <v>73</v>
      </c>
      <c r="C150" s="14" t="s">
        <v>284</v>
      </c>
      <c r="D150" s="28">
        <f>D148*psi_per_bar</f>
        <v>20.691727</v>
      </c>
      <c r="E150" s="28">
        <f>D150-bar_per_atm*psi_per_bar</f>
        <v>5.995751645</v>
      </c>
      <c r="F150" s="14" t="s">
        <v>285</v>
      </c>
      <c r="G150" s="14"/>
      <c r="H150" s="14"/>
      <c r="I150" s="14"/>
      <c r="J150" s="14"/>
      <c r="K150" s="14"/>
      <c r="L150" s="14"/>
      <c r="M150" s="14"/>
    </row>
    <row r="151" ht="12.75" customHeight="1">
      <c r="A151" s="14" t="s">
        <v>286</v>
      </c>
      <c r="B151" s="14" t="s">
        <v>287</v>
      </c>
      <c r="C151" s="14" t="s">
        <v>288</v>
      </c>
      <c r="D151" s="24">
        <v>0.95</v>
      </c>
      <c r="E151" s="14"/>
      <c r="F151" s="14"/>
      <c r="G151" s="14"/>
      <c r="H151" s="14"/>
      <c r="I151" s="14"/>
      <c r="J151" s="14"/>
      <c r="K151" s="14"/>
      <c r="L151" s="14"/>
      <c r="M151" s="14"/>
    </row>
    <row r="152" ht="12.75" customHeight="1">
      <c r="A152" s="14" t="s">
        <v>289</v>
      </c>
      <c r="B152" s="14" t="s">
        <v>290</v>
      </c>
      <c r="C152" s="14" t="s">
        <v>291</v>
      </c>
      <c r="D152" s="16">
        <f>D151/D28</f>
        <v>0.7768742314</v>
      </c>
      <c r="E152" s="60">
        <f>D152*cfm_per_m3s</f>
        <v>1646.103271</v>
      </c>
      <c r="F152" s="14" t="s">
        <v>292</v>
      </c>
      <c r="G152" s="14"/>
      <c r="H152" s="61"/>
      <c r="I152" s="61"/>
      <c r="J152" s="61"/>
      <c r="K152" s="61"/>
      <c r="L152" s="61"/>
      <c r="M152" s="61"/>
      <c r="N152" s="62"/>
      <c r="O152" s="63"/>
      <c r="P152" s="63"/>
      <c r="Q152" s="63"/>
      <c r="R152" s="63"/>
      <c r="S152" s="63"/>
      <c r="T152" s="63"/>
      <c r="U152" s="63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</row>
    <row r="153" ht="12.75" customHeight="1">
      <c r="A153" s="14" t="s">
        <v>293</v>
      </c>
      <c r="B153" s="14" t="s">
        <v>294</v>
      </c>
      <c r="C153" s="14" t="s">
        <v>280</v>
      </c>
      <c r="D153" s="15">
        <v>0.001</v>
      </c>
      <c r="E153" s="28">
        <f>D153*inH20_per_bar</f>
        <v>0.401463</v>
      </c>
      <c r="F153" s="14" t="s">
        <v>295</v>
      </c>
      <c r="G153" s="14" t="s">
        <v>296</v>
      </c>
      <c r="H153" s="61"/>
      <c r="I153" s="61"/>
      <c r="J153" s="61"/>
      <c r="K153" s="61"/>
      <c r="L153" s="61"/>
      <c r="M153" s="61"/>
      <c r="N153" s="62"/>
      <c r="O153" s="63"/>
      <c r="P153" s="63"/>
      <c r="Q153" s="63"/>
      <c r="R153" s="63"/>
      <c r="S153" s="63"/>
      <c r="T153" s="63"/>
      <c r="U153" s="63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</row>
    <row r="154" ht="12.75" customHeight="1">
      <c r="A154" s="14" t="s">
        <v>297</v>
      </c>
      <c r="B154" s="14" t="s">
        <v>298</v>
      </c>
      <c r="C154" s="14" t="s">
        <v>266</v>
      </c>
      <c r="D154" s="65">
        <f>1*bar_per_atm+D153</f>
        <v>1.01425</v>
      </c>
      <c r="E154" s="16">
        <f>D154/bar_per_atm</f>
        <v>1.000986923</v>
      </c>
      <c r="F154" s="14" t="s">
        <v>299</v>
      </c>
      <c r="G154" s="14" t="s">
        <v>300</v>
      </c>
      <c r="H154" s="14"/>
      <c r="I154" s="14"/>
      <c r="J154" s="14"/>
      <c r="K154" s="14"/>
      <c r="L154" s="14"/>
      <c r="M154" s="14"/>
    </row>
    <row r="155" ht="12.75" customHeight="1">
      <c r="A155" s="14"/>
      <c r="B155" s="14"/>
      <c r="C155" s="14"/>
      <c r="E155" s="14"/>
      <c r="F155" s="14"/>
      <c r="H155" s="14"/>
      <c r="I155" s="14"/>
      <c r="J155" s="14"/>
      <c r="K155" s="14"/>
      <c r="L155" s="14"/>
      <c r="M155" s="14"/>
    </row>
    <row r="156" ht="12.75" customHeight="1">
      <c r="A156" s="7" t="s">
        <v>301</v>
      </c>
      <c r="B156" s="14"/>
      <c r="D156" s="66" t="s">
        <v>302</v>
      </c>
      <c r="Q156" s="67"/>
      <c r="R156" s="67"/>
      <c r="S156" s="67"/>
      <c r="T156" s="67"/>
      <c r="U156" s="67"/>
    </row>
    <row r="157" ht="12.75" customHeight="1">
      <c r="A157" s="68" t="s">
        <v>303</v>
      </c>
      <c r="B157" s="14"/>
      <c r="D157" s="69" t="s">
        <v>304</v>
      </c>
    </row>
    <row r="158" ht="12.75" customHeight="1">
      <c r="A158" s="68" t="s">
        <v>305</v>
      </c>
      <c r="B158" s="14"/>
      <c r="D158" s="66" t="s">
        <v>306</v>
      </c>
      <c r="Q158" s="39"/>
      <c r="R158" s="39"/>
      <c r="S158" s="39"/>
      <c r="T158" s="39"/>
      <c r="U158" s="39"/>
    </row>
    <row r="159" ht="12.75" customHeight="1">
      <c r="A159" s="68" t="s">
        <v>307</v>
      </c>
      <c r="D159" s="70" t="s">
        <v>308</v>
      </c>
    </row>
    <row r="160" ht="12.75" customHeight="1">
      <c r="A160" s="71" t="s">
        <v>309</v>
      </c>
      <c r="B160" s="71" t="s">
        <v>46</v>
      </c>
      <c r="C160" s="71" t="s">
        <v>46</v>
      </c>
      <c r="D160" s="72" t="s">
        <v>310</v>
      </c>
      <c r="E160" s="72" t="s">
        <v>311</v>
      </c>
      <c r="F160" s="72" t="s">
        <v>312</v>
      </c>
      <c r="G160" s="72" t="s">
        <v>313</v>
      </c>
      <c r="H160" s="72" t="s">
        <v>314</v>
      </c>
      <c r="I160" s="72" t="s">
        <v>315</v>
      </c>
      <c r="J160" s="72" t="s">
        <v>316</v>
      </c>
      <c r="K160" s="72" t="s">
        <v>317</v>
      </c>
      <c r="L160" s="72" t="s">
        <v>318</v>
      </c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</row>
    <row r="161" ht="12.75" customHeight="1">
      <c r="A161" s="14" t="s">
        <v>319</v>
      </c>
      <c r="B161" s="14" t="s">
        <v>46</v>
      </c>
      <c r="C161" s="14" t="s">
        <v>46</v>
      </c>
      <c r="D161" s="74">
        <v>0.0</v>
      </c>
      <c r="E161" s="74">
        <v>1.0</v>
      </c>
      <c r="F161" s="74">
        <v>2.0</v>
      </c>
      <c r="G161" s="74">
        <v>3.0</v>
      </c>
      <c r="H161" s="74">
        <v>4.0</v>
      </c>
      <c r="I161" s="74">
        <v>5.0</v>
      </c>
      <c r="J161" s="74">
        <v>6.0</v>
      </c>
      <c r="K161" s="74">
        <v>7.0</v>
      </c>
      <c r="L161" s="74">
        <v>8.0</v>
      </c>
    </row>
    <row r="162" ht="12.75" customHeight="1">
      <c r="A162" s="14" t="s">
        <v>320</v>
      </c>
      <c r="B162" s="14" t="s">
        <v>321</v>
      </c>
      <c r="C162" s="14" t="s">
        <v>46</v>
      </c>
      <c r="D162" s="15">
        <v>1.0</v>
      </c>
      <c r="E162" s="15">
        <v>2.0</v>
      </c>
      <c r="F162" s="15">
        <v>2.0</v>
      </c>
      <c r="G162" s="60">
        <f>sum(D90:D92)</f>
        <v>8</v>
      </c>
      <c r="H162" s="15">
        <v>1.0</v>
      </c>
      <c r="I162" s="15">
        <v>1.0</v>
      </c>
      <c r="J162" s="33">
        <f>D93</f>
        <v>22.20154606</v>
      </c>
      <c r="K162" s="75">
        <f>K163/J163</f>
        <v>0.01689071558</v>
      </c>
      <c r="L162" s="76">
        <f>D118</f>
        <v>1</v>
      </c>
      <c r="M162" s="14" t="s">
        <v>322</v>
      </c>
    </row>
    <row r="163" ht="12.75" customHeight="1">
      <c r="A163" s="14" t="s">
        <v>323</v>
      </c>
      <c r="B163" s="14" t="s">
        <v>324</v>
      </c>
      <c r="C163" s="14" t="s">
        <v>325</v>
      </c>
      <c r="D163" s="77">
        <f t="shared" ref="D163:J163" si="2">product($D162:D162)</f>
        <v>1</v>
      </c>
      <c r="E163" s="77">
        <f t="shared" si="2"/>
        <v>2</v>
      </c>
      <c r="F163" s="77">
        <f t="shared" si="2"/>
        <v>4</v>
      </c>
      <c r="G163" s="77">
        <f t="shared" si="2"/>
        <v>32</v>
      </c>
      <c r="H163" s="77">
        <f t="shared" si="2"/>
        <v>32</v>
      </c>
      <c r="I163" s="77">
        <f t="shared" si="2"/>
        <v>32</v>
      </c>
      <c r="J163" s="77">
        <f t="shared" si="2"/>
        <v>710.449474</v>
      </c>
      <c r="K163" s="78">
        <f>D100</f>
        <v>12</v>
      </c>
      <c r="L163" s="77">
        <f>product($D162:L162)</f>
        <v>12</v>
      </c>
    </row>
    <row r="164" ht="12.75" customHeight="1">
      <c r="A164" s="14" t="s">
        <v>326</v>
      </c>
      <c r="B164" s="14" t="s">
        <v>327</v>
      </c>
      <c r="C164" s="14" t="s">
        <v>288</v>
      </c>
      <c r="D164" s="79">
        <f>D151/D162</f>
        <v>0.95</v>
      </c>
      <c r="E164" s="57">
        <f t="shared" ref="E164:L164" si="3">D164/E162</f>
        <v>0.475</v>
      </c>
      <c r="F164" s="57">
        <f t="shared" si="3"/>
        <v>0.2375</v>
      </c>
      <c r="G164" s="57">
        <f t="shared" si="3"/>
        <v>0.0296875</v>
      </c>
      <c r="H164" s="57">
        <f t="shared" si="3"/>
        <v>0.0296875</v>
      </c>
      <c r="I164" s="57">
        <f t="shared" si="3"/>
        <v>0.0296875</v>
      </c>
      <c r="J164" s="57">
        <f t="shared" si="3"/>
        <v>0.00133718165</v>
      </c>
      <c r="K164" s="57">
        <f t="shared" si="3"/>
        <v>0.07916666667</v>
      </c>
      <c r="L164" s="57">
        <f t="shared" si="3"/>
        <v>0.07916666667</v>
      </c>
      <c r="M164" s="80">
        <f>L164*L163</f>
        <v>0.95</v>
      </c>
      <c r="N164" s="14" t="s">
        <v>328</v>
      </c>
    </row>
    <row r="165" ht="12.75" customHeight="1">
      <c r="A165" s="14" t="s">
        <v>329</v>
      </c>
      <c r="B165" s="14" t="s">
        <v>330</v>
      </c>
      <c r="C165" s="14" t="s">
        <v>325</v>
      </c>
      <c r="D165" s="18">
        <v>10.0</v>
      </c>
      <c r="E165" s="18">
        <v>10.0</v>
      </c>
      <c r="F165" s="18">
        <v>15.0</v>
      </c>
      <c r="G165" s="81">
        <v>7.0</v>
      </c>
      <c r="H165" s="18">
        <v>3.0</v>
      </c>
      <c r="I165" s="18">
        <v>0.1</v>
      </c>
      <c r="J165" s="46">
        <f>D69/1000</f>
        <v>0.6347401176</v>
      </c>
      <c r="K165" s="46">
        <f>D110/1000</f>
        <v>0.4328388345</v>
      </c>
      <c r="L165" s="18">
        <v>10.0</v>
      </c>
    </row>
    <row r="166" ht="12.75" customHeight="1">
      <c r="A166" s="14" t="s">
        <v>331</v>
      </c>
      <c r="B166" s="14" t="s">
        <v>332</v>
      </c>
      <c r="C166" s="14" t="s">
        <v>103</v>
      </c>
      <c r="D166" s="15">
        <v>100.0</v>
      </c>
      <c r="E166" s="15">
        <v>75.0</v>
      </c>
      <c r="F166" s="15">
        <v>50.0</v>
      </c>
      <c r="G166" s="82">
        <v>23.0</v>
      </c>
      <c r="H166" s="82">
        <v>23.0</v>
      </c>
      <c r="I166" s="15">
        <v>23.0</v>
      </c>
      <c r="J166" s="33">
        <f>D61</f>
        <v>11.51278579</v>
      </c>
      <c r="K166" s="83">
        <f>D109</f>
        <v>713.8330504</v>
      </c>
      <c r="L166" s="83">
        <f>D117</f>
        <v>52.37410072</v>
      </c>
      <c r="M166" s="14" t="s">
        <v>333</v>
      </c>
    </row>
    <row r="167" ht="12.75" customHeight="1">
      <c r="A167" s="14" t="s">
        <v>334</v>
      </c>
      <c r="B167" s="14" t="s">
        <v>335</v>
      </c>
      <c r="C167" s="14" t="s">
        <v>325</v>
      </c>
      <c r="D167" s="57">
        <f t="shared" ref="D167:L167" si="4">D166/1000</f>
        <v>0.1</v>
      </c>
      <c r="E167" s="57">
        <f t="shared" si="4"/>
        <v>0.075</v>
      </c>
      <c r="F167" s="57">
        <f t="shared" si="4"/>
        <v>0.05</v>
      </c>
      <c r="G167" s="57">
        <f t="shared" si="4"/>
        <v>0.023</v>
      </c>
      <c r="H167" s="57">
        <f t="shared" si="4"/>
        <v>0.023</v>
      </c>
      <c r="I167" s="57">
        <f t="shared" si="4"/>
        <v>0.023</v>
      </c>
      <c r="J167" s="57">
        <f t="shared" si="4"/>
        <v>0.01151278579</v>
      </c>
      <c r="K167" s="57">
        <f t="shared" si="4"/>
        <v>0.7138330504</v>
      </c>
      <c r="L167" s="57">
        <f t="shared" si="4"/>
        <v>0.05237410072</v>
      </c>
    </row>
    <row r="168" ht="12.75" customHeight="1">
      <c r="A168" s="14" t="s">
        <v>336</v>
      </c>
      <c r="B168" s="14" t="s">
        <v>337</v>
      </c>
      <c r="C168" s="14" t="s">
        <v>338</v>
      </c>
      <c r="D168" s="42">
        <f t="shared" ref="D168:L168" si="5">pi()*D167^2/4</f>
        <v>0.007853981634</v>
      </c>
      <c r="E168" s="42">
        <f t="shared" si="5"/>
        <v>0.004417864669</v>
      </c>
      <c r="F168" s="42">
        <f t="shared" si="5"/>
        <v>0.001963495408</v>
      </c>
      <c r="G168" s="42">
        <f t="shared" si="5"/>
        <v>0.0004154756284</v>
      </c>
      <c r="H168" s="42">
        <f t="shared" si="5"/>
        <v>0.0004154756284</v>
      </c>
      <c r="I168" s="42">
        <f t="shared" si="5"/>
        <v>0.0004154756284</v>
      </c>
      <c r="J168" s="42">
        <f t="shared" si="5"/>
        <v>0.0001041</v>
      </c>
      <c r="K168" s="42">
        <f t="shared" si="5"/>
        <v>0.4002056219</v>
      </c>
      <c r="L168" s="42">
        <f t="shared" si="5"/>
        <v>0.002154383625</v>
      </c>
      <c r="M168" s="84"/>
    </row>
    <row r="169" ht="12.75" customHeight="1">
      <c r="A169" s="14" t="s">
        <v>339</v>
      </c>
      <c r="B169" s="14" t="s">
        <v>340</v>
      </c>
      <c r="C169" s="14" t="s">
        <v>338</v>
      </c>
      <c r="D169" s="42">
        <f t="shared" ref="D169:L169" si="6">D168*D163</f>
        <v>0.007853981634</v>
      </c>
      <c r="E169" s="42">
        <f t="shared" si="6"/>
        <v>0.008835729338</v>
      </c>
      <c r="F169" s="42">
        <f t="shared" si="6"/>
        <v>0.007853981634</v>
      </c>
      <c r="G169" s="42">
        <f t="shared" si="6"/>
        <v>0.01329522011</v>
      </c>
      <c r="H169" s="42">
        <f t="shared" si="6"/>
        <v>0.01329522011</v>
      </c>
      <c r="I169" s="42">
        <f t="shared" si="6"/>
        <v>0.01329522011</v>
      </c>
      <c r="J169" s="42">
        <f t="shared" si="6"/>
        <v>0.07395779024</v>
      </c>
      <c r="K169" s="42">
        <f t="shared" si="6"/>
        <v>4.802467462</v>
      </c>
      <c r="L169" s="42">
        <f t="shared" si="6"/>
        <v>0.0258526035</v>
      </c>
    </row>
    <row r="170" ht="12.75" customHeight="1">
      <c r="A170" s="14" t="s">
        <v>73</v>
      </c>
      <c r="B170" s="14" t="s">
        <v>73</v>
      </c>
      <c r="C170" s="14" t="s">
        <v>341</v>
      </c>
      <c r="D170" s="85">
        <f t="shared" ref="D170:L170" si="7">D169*100^2</f>
        <v>78.53981634</v>
      </c>
      <c r="E170" s="85">
        <f t="shared" si="7"/>
        <v>88.35729338</v>
      </c>
      <c r="F170" s="85">
        <f t="shared" si="7"/>
        <v>78.53981634</v>
      </c>
      <c r="G170" s="85">
        <f t="shared" si="7"/>
        <v>132.9522011</v>
      </c>
      <c r="H170" s="85">
        <f t="shared" si="7"/>
        <v>132.9522011</v>
      </c>
      <c r="I170" s="85">
        <f t="shared" si="7"/>
        <v>132.9522011</v>
      </c>
      <c r="J170" s="85">
        <f t="shared" si="7"/>
        <v>739.5779024</v>
      </c>
      <c r="K170" s="85">
        <f t="shared" si="7"/>
        <v>48024.67462</v>
      </c>
      <c r="L170" s="85">
        <f t="shared" si="7"/>
        <v>258.526035</v>
      </c>
    </row>
    <row r="171" ht="12.75" customHeight="1">
      <c r="A171" s="14" t="s">
        <v>342</v>
      </c>
      <c r="B171" s="14" t="s">
        <v>343</v>
      </c>
      <c r="C171" s="14" t="s">
        <v>32</v>
      </c>
      <c r="D171" s="86">
        <f>E147</f>
        <v>280.15</v>
      </c>
      <c r="E171" s="87">
        <f t="shared" ref="E171:L171" si="8">D219</f>
        <v>280.5294195</v>
      </c>
      <c r="F171" s="87">
        <f t="shared" si="8"/>
        <v>279.7730483</v>
      </c>
      <c r="G171" s="87">
        <f t="shared" si="8"/>
        <v>281.2324101</v>
      </c>
      <c r="H171" s="87">
        <f t="shared" si="8"/>
        <v>281.0061931</v>
      </c>
      <c r="I171" s="87">
        <f t="shared" si="8"/>
        <v>280.8783706</v>
      </c>
      <c r="J171" s="87">
        <f t="shared" si="8"/>
        <v>282.3814186</v>
      </c>
      <c r="K171" s="87">
        <f t="shared" si="8"/>
        <v>291.8077278</v>
      </c>
      <c r="L171" s="87">
        <f t="shared" si="8"/>
        <v>291.3437175</v>
      </c>
    </row>
    <row r="172" ht="12.75" customHeight="1">
      <c r="A172" s="14" t="s">
        <v>73</v>
      </c>
      <c r="B172" s="71" t="s">
        <v>73</v>
      </c>
      <c r="C172" s="14" t="s">
        <v>82</v>
      </c>
      <c r="D172" s="88">
        <f>D171-T_0</f>
        <v>7</v>
      </c>
      <c r="E172" s="88">
        <f>E171-T_0</f>
        <v>7.37941952</v>
      </c>
      <c r="F172" s="88">
        <f>F171-T_0</f>
        <v>6.623048303</v>
      </c>
      <c r="G172" s="88">
        <f>G171-T_0</f>
        <v>8.08241012</v>
      </c>
      <c r="H172" s="88">
        <f>H171-T_0</f>
        <v>7.85619312</v>
      </c>
      <c r="I172" s="88">
        <f>I171-T_0</f>
        <v>7.728370591</v>
      </c>
      <c r="J172" s="89">
        <f>J171-T_0</f>
        <v>9.231418621</v>
      </c>
      <c r="K172" s="88">
        <f>K171-T_0</f>
        <v>18.65772776</v>
      </c>
      <c r="L172" s="88">
        <f>L171-T_0</f>
        <v>18.19371754</v>
      </c>
      <c r="M172" s="34" t="s">
        <v>344</v>
      </c>
    </row>
    <row r="173" ht="12.75" customHeight="1">
      <c r="A173" s="14" t="s">
        <v>345</v>
      </c>
      <c r="B173" s="71" t="s">
        <v>346</v>
      </c>
      <c r="C173" s="14" t="s">
        <v>29</v>
      </c>
      <c r="D173" s="90">
        <f>D149</f>
        <v>142664.1776</v>
      </c>
      <c r="E173" s="59">
        <f t="shared" ref="E173:L173" si="9">D215</f>
        <v>138974.1685</v>
      </c>
      <c r="F173" s="59">
        <f t="shared" si="9"/>
        <v>132253.085</v>
      </c>
      <c r="G173" s="59">
        <f t="shared" si="9"/>
        <v>117310.3172</v>
      </c>
      <c r="H173" s="59">
        <f t="shared" si="9"/>
        <v>107627.3194</v>
      </c>
      <c r="I173" s="59">
        <f t="shared" si="9"/>
        <v>103108.4389</v>
      </c>
      <c r="J173" s="59">
        <f t="shared" si="9"/>
        <v>103540.7685</v>
      </c>
      <c r="K173" s="59">
        <f t="shared" si="9"/>
        <v>101425.0003</v>
      </c>
      <c r="L173" s="59">
        <f t="shared" si="9"/>
        <v>100636.4905</v>
      </c>
    </row>
    <row r="174" ht="12.75" customHeight="1">
      <c r="A174" s="14" t="s">
        <v>73</v>
      </c>
      <c r="B174" s="14" t="s">
        <v>73</v>
      </c>
      <c r="C174" s="14" t="s">
        <v>266</v>
      </c>
      <c r="D174" s="91">
        <f>D173/Pa_per_bar</f>
        <v>1.426641776</v>
      </c>
      <c r="E174" s="92">
        <f>E173/Pa_per_bar</f>
        <v>1.389741685</v>
      </c>
      <c r="F174" s="92">
        <f>F173/Pa_per_bar</f>
        <v>1.32253085</v>
      </c>
      <c r="G174" s="92">
        <f>G173/Pa_per_bar</f>
        <v>1.173103172</v>
      </c>
      <c r="H174" s="92">
        <f>H173/Pa_per_bar</f>
        <v>1.076273194</v>
      </c>
      <c r="I174" s="92">
        <f>I173/Pa_per_bar</f>
        <v>1.031084389</v>
      </c>
      <c r="J174" s="92">
        <f>J173/Pa_per_bar</f>
        <v>1.035407685</v>
      </c>
      <c r="K174" s="92">
        <f>K173/Pa_per_bar</f>
        <v>1.014250003</v>
      </c>
      <c r="L174" s="92">
        <f>L173/Pa_per_bar</f>
        <v>1.006364905</v>
      </c>
      <c r="M174" s="4"/>
    </row>
    <row r="175" ht="12.75" customHeight="1">
      <c r="A175" s="14" t="s">
        <v>347</v>
      </c>
      <c r="B175" s="14" t="s">
        <v>348</v>
      </c>
      <c r="C175" s="14" t="s">
        <v>35</v>
      </c>
      <c r="D175" s="57">
        <f t="shared" ref="D175:L175" si="10">D173/($D$31*D171)</f>
        <v>1.774362759</v>
      </c>
      <c r="E175" s="57">
        <f t="shared" si="10"/>
        <v>1.726131088</v>
      </c>
      <c r="F175" s="57">
        <f t="shared" si="10"/>
        <v>1.647092691</v>
      </c>
      <c r="G175" s="57">
        <f t="shared" si="10"/>
        <v>1.453412676</v>
      </c>
      <c r="H175" s="57">
        <f t="shared" si="10"/>
        <v>1.334518921</v>
      </c>
      <c r="I175" s="57">
        <f t="shared" si="10"/>
        <v>1.279069131</v>
      </c>
      <c r="J175" s="57">
        <f t="shared" si="10"/>
        <v>1.277595495</v>
      </c>
      <c r="K175" s="57">
        <f t="shared" si="10"/>
        <v>1.211061874</v>
      </c>
      <c r="L175" s="57">
        <f t="shared" si="10"/>
        <v>1.203560508</v>
      </c>
    </row>
    <row r="176" ht="12.75" customHeight="1">
      <c r="A176" s="14" t="s">
        <v>349</v>
      </c>
      <c r="B176" s="14" t="s">
        <v>350</v>
      </c>
      <c r="C176" s="14" t="s">
        <v>38</v>
      </c>
      <c r="D176" s="42">
        <f>mu_std*(D171/T_std)^0.76</f>
        <v>0.0000176906774</v>
      </c>
      <c r="E176" s="42">
        <f>mu_std*(E171/T_std)^0.76</f>
        <v>0.00001770888348</v>
      </c>
      <c r="F176" s="42">
        <f>mu_std*(F171/T_std)^0.76</f>
        <v>0.00001767258387</v>
      </c>
      <c r="G176" s="42">
        <f>mu_std*(G171/T_std)^0.76</f>
        <v>0.00001774260021</v>
      </c>
      <c r="H176" s="42">
        <f>mu_std*(H171/T_std)^0.76</f>
        <v>0.00001773175263</v>
      </c>
      <c r="I176" s="42">
        <f>mu_std*(I171/T_std)^0.76</f>
        <v>0.00001772562235</v>
      </c>
      <c r="J176" s="42">
        <f>mu_std*(J171/T_std)^0.76</f>
        <v>0.00001779766527</v>
      </c>
      <c r="K176" s="42">
        <f>mu_std*(K171/T_std)^0.76</f>
        <v>0.00001824740646</v>
      </c>
      <c r="L176" s="42">
        <f>mu_std*(L171/T_std)^0.76</f>
        <v>0.00001822535038</v>
      </c>
    </row>
    <row r="177" ht="12.75" customHeight="1">
      <c r="A177" s="14" t="s">
        <v>351</v>
      </c>
      <c r="B177" s="14" t="s">
        <v>352</v>
      </c>
      <c r="C177" s="14" t="s">
        <v>46</v>
      </c>
      <c r="D177" s="42">
        <f t="shared" ref="D177:L177" si="11">4*D164/(pi()*D167*D176)</f>
        <v>683737.2816</v>
      </c>
      <c r="E177" s="42">
        <f t="shared" si="11"/>
        <v>455356.2317</v>
      </c>
      <c r="F177" s="42">
        <f t="shared" si="11"/>
        <v>342218.6525</v>
      </c>
      <c r="G177" s="42">
        <f t="shared" si="11"/>
        <v>92627.22276</v>
      </c>
      <c r="H177" s="42">
        <f t="shared" si="11"/>
        <v>92683.88838</v>
      </c>
      <c r="I177" s="42">
        <f t="shared" si="11"/>
        <v>92715.94245</v>
      </c>
      <c r="J177" s="42">
        <f t="shared" si="11"/>
        <v>8309.158978</v>
      </c>
      <c r="K177" s="42">
        <f t="shared" si="11"/>
        <v>7738.462457</v>
      </c>
      <c r="L177" s="42">
        <f t="shared" si="11"/>
        <v>105599.0503</v>
      </c>
    </row>
    <row r="178" ht="12.75" customHeight="1">
      <c r="A178" s="14" t="s">
        <v>353</v>
      </c>
      <c r="B178" s="14" t="s">
        <v>354</v>
      </c>
      <c r="C178" s="14" t="s">
        <v>46</v>
      </c>
      <c r="D178" s="93">
        <f t="shared" ref="D178:L178" si="12">if(D177&lt;2300, 64/D177, 0.316/D177^0.25)</f>
        <v>0.01098916685</v>
      </c>
      <c r="E178" s="93">
        <f t="shared" si="12"/>
        <v>0.01216464002</v>
      </c>
      <c r="F178" s="93">
        <f t="shared" si="12"/>
        <v>0.01306505263</v>
      </c>
      <c r="G178" s="93">
        <f t="shared" si="12"/>
        <v>0.01811350194</v>
      </c>
      <c r="H178" s="93">
        <f t="shared" si="12"/>
        <v>0.01811073272</v>
      </c>
      <c r="I178" s="93">
        <f t="shared" si="12"/>
        <v>0.01810916719</v>
      </c>
      <c r="J178" s="93">
        <f t="shared" si="12"/>
        <v>0.03309770003</v>
      </c>
      <c r="K178" s="93">
        <f t="shared" si="12"/>
        <v>0.03369173783</v>
      </c>
      <c r="L178" s="93">
        <f t="shared" si="12"/>
        <v>0.01752960296</v>
      </c>
    </row>
    <row r="179" ht="12.75" customHeight="1">
      <c r="A179" s="14" t="s">
        <v>355</v>
      </c>
      <c r="B179" s="14" t="s">
        <v>356</v>
      </c>
      <c r="C179" s="14" t="s">
        <v>29</v>
      </c>
      <c r="D179" s="59">
        <f t="shared" ref="D179:L179" si="13">-D178*(D165/D167)*D164^2/(2*D175*D168^2)</f>
        <v>-4530.642617</v>
      </c>
      <c r="E179" s="59">
        <f t="shared" si="13"/>
        <v>-5431.210447</v>
      </c>
      <c r="F179" s="59">
        <f t="shared" si="13"/>
        <v>-17408.11834</v>
      </c>
      <c r="G179" s="59">
        <f t="shared" si="13"/>
        <v>-9682.997811</v>
      </c>
      <c r="H179" s="59">
        <f t="shared" si="13"/>
        <v>-4518.880491</v>
      </c>
      <c r="I179" s="59">
        <f t="shared" si="13"/>
        <v>-157.1457992</v>
      </c>
      <c r="J179" s="59">
        <f t="shared" si="13"/>
        <v>-117.8336497</v>
      </c>
      <c r="K179" s="59">
        <f t="shared" si="13"/>
        <v>-0.0003300464002</v>
      </c>
      <c r="L179" s="59">
        <f t="shared" si="13"/>
        <v>-1877.570336</v>
      </c>
    </row>
    <row r="180" ht="12.75" customHeight="1">
      <c r="A180" s="14" t="s">
        <v>357</v>
      </c>
      <c r="B180" s="14" t="s">
        <v>358</v>
      </c>
      <c r="C180" s="14" t="s">
        <v>29</v>
      </c>
      <c r="D180" s="15">
        <v>0.0</v>
      </c>
      <c r="E180" s="15">
        <v>0.0</v>
      </c>
      <c r="F180" s="15">
        <v>0.0</v>
      </c>
      <c r="G180" s="15">
        <v>0.0</v>
      </c>
      <c r="H180" s="15">
        <v>0.0</v>
      </c>
      <c r="I180" s="15">
        <v>0.0</v>
      </c>
      <c r="J180" s="94">
        <f>-abs(E144)</f>
        <v>-2000</v>
      </c>
      <c r="K180" s="95">
        <v>0.0</v>
      </c>
      <c r="L180" s="95">
        <v>0.0</v>
      </c>
      <c r="M180" s="14" t="s">
        <v>359</v>
      </c>
    </row>
    <row r="181" ht="12.75" customHeight="1">
      <c r="A181" s="14" t="s">
        <v>360</v>
      </c>
      <c r="B181" s="14" t="s">
        <v>361</v>
      </c>
      <c r="C181" s="14" t="s">
        <v>29</v>
      </c>
      <c r="D181" s="59">
        <f t="shared" ref="D181:L181" si="14">D173+D179+D180</f>
        <v>138133.535</v>
      </c>
      <c r="E181" s="59">
        <f t="shared" si="14"/>
        <v>133542.958</v>
      </c>
      <c r="F181" s="59">
        <f t="shared" si="14"/>
        <v>114844.9667</v>
      </c>
      <c r="G181" s="59">
        <f t="shared" si="14"/>
        <v>107627.3194</v>
      </c>
      <c r="H181" s="59">
        <f t="shared" si="14"/>
        <v>103108.4389</v>
      </c>
      <c r="I181" s="59">
        <f t="shared" si="14"/>
        <v>102951.2931</v>
      </c>
      <c r="J181" s="59">
        <f t="shared" si="14"/>
        <v>101422.9349</v>
      </c>
      <c r="K181" s="59">
        <f t="shared" si="14"/>
        <v>101425</v>
      </c>
      <c r="L181" s="59">
        <f t="shared" si="14"/>
        <v>98758.92018</v>
      </c>
    </row>
    <row r="182" ht="12.75" customHeight="1">
      <c r="A182" s="14" t="s">
        <v>73</v>
      </c>
      <c r="B182" s="14" t="s">
        <v>73</v>
      </c>
      <c r="C182" s="14" t="s">
        <v>266</v>
      </c>
      <c r="D182" s="92">
        <f>D181/Pa_per_bar</f>
        <v>1.38133535</v>
      </c>
      <c r="E182" s="92">
        <f>E181/Pa_per_bar</f>
        <v>1.33542958</v>
      </c>
      <c r="F182" s="92">
        <f>F181/Pa_per_bar</f>
        <v>1.148449667</v>
      </c>
      <c r="G182" s="92">
        <f>G181/Pa_per_bar</f>
        <v>1.076273194</v>
      </c>
      <c r="H182" s="92">
        <f>H181/Pa_per_bar</f>
        <v>1.031084389</v>
      </c>
      <c r="I182" s="92">
        <f>I181/Pa_per_bar</f>
        <v>1.029512931</v>
      </c>
      <c r="J182" s="92">
        <f>J181/Pa_per_bar</f>
        <v>1.014229349</v>
      </c>
      <c r="K182" s="96">
        <f>K181/Pa_per_bar</f>
        <v>1.01425</v>
      </c>
      <c r="L182" s="92">
        <f>L181/Pa_per_bar</f>
        <v>0.9875892018</v>
      </c>
      <c r="M182" s="34"/>
    </row>
    <row r="183" ht="12.75" customHeight="1">
      <c r="A183" s="14" t="s">
        <v>362</v>
      </c>
      <c r="B183" s="14" t="s">
        <v>363</v>
      </c>
      <c r="C183" s="14" t="s">
        <v>266</v>
      </c>
      <c r="D183" s="92">
        <f>1*bar_per_atm</f>
        <v>1.01325</v>
      </c>
      <c r="E183" s="92">
        <f>1*bar_per_atm</f>
        <v>1.01325</v>
      </c>
      <c r="F183" s="92">
        <f>1*bar_per_atm</f>
        <v>1.01325</v>
      </c>
      <c r="G183" s="97">
        <f t="shared" ref="G183:K183" si="15">$D$154</f>
        <v>1.01425</v>
      </c>
      <c r="H183" s="97">
        <f t="shared" si="15"/>
        <v>1.01425</v>
      </c>
      <c r="I183" s="97">
        <f t="shared" si="15"/>
        <v>1.01425</v>
      </c>
      <c r="J183" s="97">
        <f t="shared" si="15"/>
        <v>1.01425</v>
      </c>
      <c r="K183" s="97">
        <f t="shared" si="15"/>
        <v>1.01425</v>
      </c>
      <c r="L183" s="92">
        <f>1*bar_per_atm</f>
        <v>1.01325</v>
      </c>
      <c r="M183" s="4"/>
    </row>
    <row r="184" ht="12.75" customHeight="1">
      <c r="A184" s="14" t="s">
        <v>364</v>
      </c>
      <c r="B184" s="14" t="s">
        <v>365</v>
      </c>
      <c r="C184" s="14" t="s">
        <v>46</v>
      </c>
      <c r="D184" s="98" t="str">
        <f t="shared" ref="D184:L184" si="16">ifs(abs(D182-D183)&lt;0.01, "approx neutral", D182&gt;D183, "positive", D182&lt; D183, "relative vacuum")</f>
        <v>positive</v>
      </c>
      <c r="E184" s="98" t="str">
        <f t="shared" si="16"/>
        <v>positive</v>
      </c>
      <c r="F184" s="98" t="str">
        <f t="shared" si="16"/>
        <v>positive</v>
      </c>
      <c r="G184" s="98" t="str">
        <f t="shared" si="16"/>
        <v>positive</v>
      </c>
      <c r="H184" s="98" t="str">
        <f t="shared" si="16"/>
        <v>positive</v>
      </c>
      <c r="I184" s="98" t="str">
        <f t="shared" si="16"/>
        <v>positive</v>
      </c>
      <c r="J184" s="98" t="str">
        <f t="shared" si="16"/>
        <v>approx neutral</v>
      </c>
      <c r="K184" s="98" t="str">
        <f t="shared" si="16"/>
        <v>approx neutral</v>
      </c>
      <c r="L184" s="98" t="str">
        <f t="shared" si="16"/>
        <v>relative vacuum</v>
      </c>
      <c r="M184" s="14" t="s">
        <v>366</v>
      </c>
    </row>
    <row r="185" ht="12.75" customHeight="1">
      <c r="A185" s="14" t="s">
        <v>367</v>
      </c>
      <c r="B185" s="14" t="s">
        <v>368</v>
      </c>
      <c r="C185" s="14" t="s">
        <v>225</v>
      </c>
      <c r="D185" s="27">
        <v>0.0</v>
      </c>
      <c r="E185" s="27">
        <v>0.0</v>
      </c>
      <c r="F185" s="27">
        <v>0.0</v>
      </c>
      <c r="G185" s="27">
        <v>0.0</v>
      </c>
      <c r="H185" s="27">
        <v>0.0</v>
      </c>
      <c r="I185" s="27">
        <v>0.0</v>
      </c>
      <c r="J185" s="99">
        <f>D137*J163</f>
        <v>8943.911568</v>
      </c>
      <c r="K185" s="27">
        <v>0.0</v>
      </c>
      <c r="L185" s="27">
        <v>0.0</v>
      </c>
      <c r="M185" s="34" t="s">
        <v>369</v>
      </c>
    </row>
    <row r="186" ht="12.75" customHeight="1">
      <c r="A186" s="14" t="s">
        <v>370</v>
      </c>
      <c r="B186" s="14" t="s">
        <v>371</v>
      </c>
      <c r="C186" s="14" t="s">
        <v>32</v>
      </c>
      <c r="D186" s="26">
        <f t="shared" ref="D186:L186" si="17">D185/(D163*D164*$D$33)</f>
        <v>0</v>
      </c>
      <c r="E186" s="26">
        <f t="shared" si="17"/>
        <v>0</v>
      </c>
      <c r="F186" s="26">
        <f t="shared" si="17"/>
        <v>0</v>
      </c>
      <c r="G186" s="26">
        <f t="shared" si="17"/>
        <v>0</v>
      </c>
      <c r="H186" s="26">
        <f t="shared" si="17"/>
        <v>0</v>
      </c>
      <c r="I186" s="26">
        <f t="shared" si="17"/>
        <v>0</v>
      </c>
      <c r="J186" s="26">
        <f t="shared" si="17"/>
        <v>9.372467651</v>
      </c>
      <c r="K186" s="26">
        <f t="shared" si="17"/>
        <v>0</v>
      </c>
      <c r="L186" s="26">
        <f t="shared" si="17"/>
        <v>0</v>
      </c>
    </row>
    <row r="187" ht="12.75" customHeight="1">
      <c r="A187" s="14" t="s">
        <v>372</v>
      </c>
      <c r="B187" s="14" t="s">
        <v>373</v>
      </c>
      <c r="C187" s="14" t="s">
        <v>374</v>
      </c>
      <c r="D187" s="26">
        <f t="shared" ref="D187:L187" si="18">D$164/(D175*D$168)</f>
        <v>68.1696886</v>
      </c>
      <c r="E187" s="26">
        <f t="shared" si="18"/>
        <v>62.28843612</v>
      </c>
      <c r="F187" s="26">
        <f t="shared" si="18"/>
        <v>73.43712799</v>
      </c>
      <c r="G187" s="26">
        <f t="shared" si="18"/>
        <v>49.1630853</v>
      </c>
      <c r="H187" s="26">
        <f t="shared" si="18"/>
        <v>53.54307854</v>
      </c>
      <c r="I187" s="26">
        <f t="shared" si="18"/>
        <v>55.8642607</v>
      </c>
      <c r="J187" s="26">
        <f t="shared" si="18"/>
        <v>10.05417192</v>
      </c>
      <c r="K187" s="26">
        <f t="shared" si="18"/>
        <v>0.1633401093</v>
      </c>
      <c r="L187" s="26">
        <f t="shared" si="18"/>
        <v>30.53172843</v>
      </c>
      <c r="M187" s="14"/>
    </row>
    <row r="188" ht="12.75" customHeight="1">
      <c r="A188" s="14" t="s">
        <v>375</v>
      </c>
      <c r="B188" s="14" t="s">
        <v>376</v>
      </c>
      <c r="C188" s="14" t="s">
        <v>35</v>
      </c>
      <c r="D188" s="57">
        <f t="shared" ref="D188:L188" si="19">D181/($D$31*D171)</f>
        <v>1.71801362</v>
      </c>
      <c r="E188" s="57">
        <f t="shared" si="19"/>
        <v>1.658672644</v>
      </c>
      <c r="F188" s="57">
        <f t="shared" si="19"/>
        <v>1.430290304</v>
      </c>
      <c r="G188" s="57">
        <f t="shared" si="19"/>
        <v>1.333445464</v>
      </c>
      <c r="H188" s="57">
        <f t="shared" si="19"/>
        <v>1.278487315</v>
      </c>
      <c r="I188" s="57">
        <f t="shared" si="19"/>
        <v>1.277119724</v>
      </c>
      <c r="J188" s="57">
        <f t="shared" si="19"/>
        <v>1.251463424</v>
      </c>
      <c r="K188" s="57">
        <f t="shared" si="19"/>
        <v>1.21106187</v>
      </c>
      <c r="L188" s="57">
        <f t="shared" si="19"/>
        <v>1.181105736</v>
      </c>
      <c r="M188" s="14"/>
    </row>
    <row r="189" ht="12.75" customHeight="1">
      <c r="A189" s="14" t="s">
        <v>377</v>
      </c>
      <c r="B189" s="14" t="s">
        <v>378</v>
      </c>
      <c r="C189" s="14" t="s">
        <v>374</v>
      </c>
      <c r="D189" s="26">
        <f t="shared" ref="D189:L189" si="20">D164/(D188*D168)</f>
        <v>70.40558661</v>
      </c>
      <c r="E189" s="26">
        <f t="shared" si="20"/>
        <v>64.82171537</v>
      </c>
      <c r="F189" s="26">
        <f t="shared" si="20"/>
        <v>84.5686756</v>
      </c>
      <c r="G189" s="26">
        <f t="shared" si="20"/>
        <v>53.58618206</v>
      </c>
      <c r="H189" s="26">
        <f t="shared" si="20"/>
        <v>55.88968349</v>
      </c>
      <c r="I189" s="26">
        <f t="shared" si="20"/>
        <v>55.94953242</v>
      </c>
      <c r="J189" s="26">
        <f t="shared" si="20"/>
        <v>10.2641152</v>
      </c>
      <c r="K189" s="26">
        <f t="shared" si="20"/>
        <v>0.1633401099</v>
      </c>
      <c r="L189" s="26">
        <f t="shared" si="20"/>
        <v>31.11218706</v>
      </c>
      <c r="M189" s="14"/>
    </row>
    <row r="190" ht="12.75" customHeight="1">
      <c r="A190" s="14" t="s">
        <v>379</v>
      </c>
      <c r="B190" s="14" t="s">
        <v>380</v>
      </c>
      <c r="C190" s="14" t="s">
        <v>32</v>
      </c>
      <c r="D190" s="26">
        <f t="shared" ref="D190:L190" si="21">(D187^2-D189^2)/(2*$D$33)</f>
        <v>-0.1542260739</v>
      </c>
      <c r="E190" s="26">
        <f t="shared" si="21"/>
        <v>-0.1602814881</v>
      </c>
      <c r="F190" s="26">
        <f t="shared" si="21"/>
        <v>-0.8754848807</v>
      </c>
      <c r="G190" s="26">
        <f t="shared" si="21"/>
        <v>-0.2262169991</v>
      </c>
      <c r="H190" s="26">
        <f t="shared" si="21"/>
        <v>-0.1278225291</v>
      </c>
      <c r="I190" s="26">
        <f t="shared" si="21"/>
        <v>-0.004745920616</v>
      </c>
      <c r="J190" s="26">
        <f t="shared" si="21"/>
        <v>-0.002123289119</v>
      </c>
      <c r="K190" s="26">
        <f t="shared" si="21"/>
        <v>0</v>
      </c>
      <c r="L190" s="26">
        <f t="shared" si="21"/>
        <v>-0.01781072314</v>
      </c>
      <c r="M190" s="14" t="s">
        <v>381</v>
      </c>
    </row>
    <row r="191" ht="12.75" customHeight="1">
      <c r="A191" s="14" t="s">
        <v>382</v>
      </c>
      <c r="B191" s="14" t="s">
        <v>383</v>
      </c>
      <c r="C191" s="14" t="s">
        <v>32</v>
      </c>
      <c r="D191" s="26">
        <f t="shared" ref="D191:L191" si="22">D171+D186+D190</f>
        <v>279.9957739</v>
      </c>
      <c r="E191" s="26">
        <f t="shared" si="22"/>
        <v>280.369138</v>
      </c>
      <c r="F191" s="26">
        <f t="shared" si="22"/>
        <v>278.8975634</v>
      </c>
      <c r="G191" s="26">
        <f t="shared" si="22"/>
        <v>281.0061931</v>
      </c>
      <c r="H191" s="26">
        <f t="shared" si="22"/>
        <v>280.8783706</v>
      </c>
      <c r="I191" s="26">
        <f t="shared" si="22"/>
        <v>280.8736247</v>
      </c>
      <c r="J191" s="26">
        <f t="shared" si="22"/>
        <v>291.751763</v>
      </c>
      <c r="K191" s="26">
        <f t="shared" si="22"/>
        <v>291.8077278</v>
      </c>
      <c r="L191" s="26">
        <f t="shared" si="22"/>
        <v>291.3259068</v>
      </c>
    </row>
    <row r="192" ht="12.75" customHeight="1">
      <c r="A192" s="14" t="s">
        <v>73</v>
      </c>
      <c r="B192" s="14" t="s">
        <v>73</v>
      </c>
      <c r="C192" s="14" t="s">
        <v>82</v>
      </c>
      <c r="D192" s="88">
        <f>D191-T_0</f>
        <v>6.845773926</v>
      </c>
      <c r="E192" s="88">
        <f>E191-T_0</f>
        <v>7.219138031</v>
      </c>
      <c r="F192" s="88">
        <f>F191-T_0</f>
        <v>5.747563422</v>
      </c>
      <c r="G192" s="88">
        <f>G191-T_0</f>
        <v>7.85619312</v>
      </c>
      <c r="H192" s="88">
        <f>H191-T_0</f>
        <v>7.728370591</v>
      </c>
      <c r="I192" s="88">
        <f>I191-T_0</f>
        <v>7.723624671</v>
      </c>
      <c r="J192" s="89">
        <f>J191-T_0</f>
        <v>18.60176298</v>
      </c>
      <c r="K192" s="88">
        <f>K191-T_0</f>
        <v>18.65772776</v>
      </c>
      <c r="L192" s="88">
        <f>L191-T_0</f>
        <v>18.17590681</v>
      </c>
    </row>
    <row r="193" ht="12.75" customHeight="1">
      <c r="A193" s="14" t="s">
        <v>384</v>
      </c>
      <c r="B193" s="14" t="s">
        <v>385</v>
      </c>
      <c r="C193" s="14" t="s">
        <v>35</v>
      </c>
      <c r="D193" s="57">
        <f t="shared" ref="D193:L193" si="23">D181/($D$31*D191)</f>
        <v>1.718959929</v>
      </c>
      <c r="E193" s="57">
        <f t="shared" si="23"/>
        <v>1.659620874</v>
      </c>
      <c r="F193" s="57">
        <f t="shared" si="23"/>
        <v>1.434780116</v>
      </c>
      <c r="G193" s="57">
        <f t="shared" si="23"/>
        <v>1.334518921</v>
      </c>
      <c r="H193" s="57">
        <f t="shared" si="23"/>
        <v>1.279069131</v>
      </c>
      <c r="I193" s="57">
        <f t="shared" si="23"/>
        <v>1.277141303</v>
      </c>
      <c r="J193" s="57">
        <f t="shared" si="23"/>
        <v>1.211269517</v>
      </c>
      <c r="K193" s="57">
        <f t="shared" si="23"/>
        <v>1.21106187</v>
      </c>
      <c r="L193" s="57">
        <f t="shared" si="23"/>
        <v>1.181177945</v>
      </c>
    </row>
    <row r="194" ht="12.75" customHeight="1">
      <c r="A194" s="14" t="s">
        <v>386</v>
      </c>
      <c r="B194" s="14" t="s">
        <v>387</v>
      </c>
      <c r="C194" s="14" t="s">
        <v>374</v>
      </c>
      <c r="D194" s="28">
        <f t="shared" ref="D194:L194" si="24">D164/(D193*D168)</f>
        <v>70.36682746</v>
      </c>
      <c r="E194" s="28">
        <f t="shared" si="24"/>
        <v>64.78467925</v>
      </c>
      <c r="F194" s="28">
        <f t="shared" si="24"/>
        <v>84.30403754</v>
      </c>
      <c r="G194" s="28">
        <f t="shared" si="24"/>
        <v>53.54307854</v>
      </c>
      <c r="H194" s="28">
        <f t="shared" si="24"/>
        <v>55.8642607</v>
      </c>
      <c r="I194" s="28">
        <f t="shared" si="24"/>
        <v>55.94858706</v>
      </c>
      <c r="J194" s="28">
        <f t="shared" si="24"/>
        <v>10.6047123</v>
      </c>
      <c r="K194" s="28">
        <f t="shared" si="24"/>
        <v>0.1633401099</v>
      </c>
      <c r="L194" s="28">
        <f t="shared" si="24"/>
        <v>31.11028507</v>
      </c>
      <c r="M194" s="34"/>
    </row>
    <row r="195" ht="12.75" customHeight="1">
      <c r="A195" s="14" t="s">
        <v>388</v>
      </c>
      <c r="B195" s="14" t="s">
        <v>389</v>
      </c>
      <c r="C195" s="14" t="s">
        <v>35</v>
      </c>
      <c r="D195" s="57">
        <f t="shared" ref="D195:L195" si="25">(D175+D193)/2</f>
        <v>1.746661344</v>
      </c>
      <c r="E195" s="57">
        <f t="shared" si="25"/>
        <v>1.692875981</v>
      </c>
      <c r="F195" s="57">
        <f t="shared" si="25"/>
        <v>1.540936403</v>
      </c>
      <c r="G195" s="57">
        <f t="shared" si="25"/>
        <v>1.393965799</v>
      </c>
      <c r="H195" s="57">
        <f t="shared" si="25"/>
        <v>1.306794026</v>
      </c>
      <c r="I195" s="57">
        <f t="shared" si="25"/>
        <v>1.278105217</v>
      </c>
      <c r="J195" s="57">
        <f t="shared" si="25"/>
        <v>1.244432506</v>
      </c>
      <c r="K195" s="57">
        <f t="shared" si="25"/>
        <v>1.211061872</v>
      </c>
      <c r="L195" s="57">
        <f t="shared" si="25"/>
        <v>1.192369226</v>
      </c>
    </row>
    <row r="196" ht="12.75" customHeight="1">
      <c r="A196" s="14" t="s">
        <v>390</v>
      </c>
      <c r="B196" s="14" t="s">
        <v>391</v>
      </c>
      <c r="C196" s="14" t="s">
        <v>291</v>
      </c>
      <c r="D196" s="57">
        <f t="shared" ref="D196:L196" si="26">D164/D195</f>
        <v>0.5438947872</v>
      </c>
      <c r="E196" s="57">
        <f t="shared" si="26"/>
        <v>0.2805875949</v>
      </c>
      <c r="F196" s="57">
        <f t="shared" si="26"/>
        <v>0.1541270616</v>
      </c>
      <c r="G196" s="57">
        <f t="shared" si="26"/>
        <v>0.02129715093</v>
      </c>
      <c r="H196" s="57">
        <f t="shared" si="26"/>
        <v>0.02271781123</v>
      </c>
      <c r="I196" s="57">
        <f t="shared" si="26"/>
        <v>0.02322774338</v>
      </c>
      <c r="J196" s="57">
        <f t="shared" si="26"/>
        <v>0.001074531278</v>
      </c>
      <c r="K196" s="57">
        <f t="shared" si="26"/>
        <v>0.06536963014</v>
      </c>
      <c r="L196" s="57">
        <f t="shared" si="26"/>
        <v>0.0663944229</v>
      </c>
    </row>
    <row r="197" ht="12.75" customHeight="1">
      <c r="A197" s="14" t="s">
        <v>73</v>
      </c>
      <c r="B197" s="14" t="s">
        <v>73</v>
      </c>
      <c r="C197" s="14" t="s">
        <v>392</v>
      </c>
      <c r="D197" s="26">
        <f t="shared" ref="D197:L197" si="27">D196*$D$38</f>
        <v>1152.447787</v>
      </c>
      <c r="E197" s="26">
        <f t="shared" si="27"/>
        <v>594.5314431</v>
      </c>
      <c r="F197" s="26">
        <f t="shared" si="27"/>
        <v>326.5767483</v>
      </c>
      <c r="G197" s="26">
        <f t="shared" si="27"/>
        <v>45.12610716</v>
      </c>
      <c r="H197" s="26">
        <f t="shared" si="27"/>
        <v>48.13631587</v>
      </c>
      <c r="I197" s="26">
        <f t="shared" si="27"/>
        <v>49.2168009</v>
      </c>
      <c r="J197" s="26">
        <f t="shared" si="27"/>
        <v>2.276802833</v>
      </c>
      <c r="K197" s="26">
        <f t="shared" si="27"/>
        <v>138.5104019</v>
      </c>
      <c r="L197" s="26">
        <f t="shared" si="27"/>
        <v>140.6818148</v>
      </c>
    </row>
    <row r="198" ht="12.75" customHeight="1">
      <c r="A198" s="14" t="s">
        <v>393</v>
      </c>
      <c r="B198" s="14" t="s">
        <v>394</v>
      </c>
      <c r="C198" s="14" t="s">
        <v>291</v>
      </c>
      <c r="D198" s="100">
        <f t="shared" ref="D198:L198" si="28">D196*D163</f>
        <v>0.5438947872</v>
      </c>
      <c r="E198" s="100">
        <f t="shared" si="28"/>
        <v>0.5611751898</v>
      </c>
      <c r="F198" s="100">
        <f t="shared" si="28"/>
        <v>0.6165082465</v>
      </c>
      <c r="G198" s="100">
        <f t="shared" si="28"/>
        <v>0.6815088297</v>
      </c>
      <c r="H198" s="100">
        <f t="shared" si="28"/>
        <v>0.7269699595</v>
      </c>
      <c r="I198" s="100">
        <f t="shared" si="28"/>
        <v>0.7432877883</v>
      </c>
      <c r="J198" s="100">
        <f t="shared" si="28"/>
        <v>0.7634001809</v>
      </c>
      <c r="K198" s="100">
        <f t="shared" si="28"/>
        <v>0.7844355617</v>
      </c>
      <c r="L198" s="100">
        <f t="shared" si="28"/>
        <v>0.7967330748</v>
      </c>
      <c r="M198" s="34"/>
    </row>
    <row r="199" ht="12.75" customHeight="1">
      <c r="A199" s="14" t="s">
        <v>73</v>
      </c>
      <c r="B199" s="14" t="s">
        <v>73</v>
      </c>
      <c r="C199" s="14" t="s">
        <v>392</v>
      </c>
      <c r="D199" s="101">
        <f t="shared" ref="D199:L199" si="29">D198*$D$38</f>
        <v>1152.447787</v>
      </c>
      <c r="E199" s="26">
        <f t="shared" si="29"/>
        <v>1189.062886</v>
      </c>
      <c r="F199" s="26">
        <f t="shared" si="29"/>
        <v>1306.306993</v>
      </c>
      <c r="G199" s="26">
        <f t="shared" si="29"/>
        <v>1444.035429</v>
      </c>
      <c r="H199" s="26">
        <f t="shared" si="29"/>
        <v>1540.362108</v>
      </c>
      <c r="I199" s="26">
        <f t="shared" si="29"/>
        <v>1574.937629</v>
      </c>
      <c r="J199" s="26">
        <f t="shared" si="29"/>
        <v>1617.553375</v>
      </c>
      <c r="K199" s="101">
        <f t="shared" si="29"/>
        <v>1662.124823</v>
      </c>
      <c r="L199" s="26">
        <f t="shared" si="29"/>
        <v>1688.181778</v>
      </c>
      <c r="M199" s="34" t="s">
        <v>395</v>
      </c>
    </row>
    <row r="200" ht="12.75" customHeight="1">
      <c r="A200" s="14" t="s">
        <v>396</v>
      </c>
      <c r="B200" s="14" t="s">
        <v>397</v>
      </c>
      <c r="C200" s="14" t="s">
        <v>374</v>
      </c>
      <c r="D200" s="102">
        <f t="shared" ref="D200:L200" si="30">D196/D168</f>
        <v>69.25083512</v>
      </c>
      <c r="E200" s="102">
        <f t="shared" si="30"/>
        <v>63.5120394</v>
      </c>
      <c r="F200" s="102">
        <f t="shared" si="30"/>
        <v>78.49626791</v>
      </c>
      <c r="G200" s="102">
        <f t="shared" si="30"/>
        <v>51.25968762</v>
      </c>
      <c r="H200" s="102">
        <f t="shared" si="30"/>
        <v>54.67904656</v>
      </c>
      <c r="I200" s="102">
        <f t="shared" si="30"/>
        <v>55.90639208</v>
      </c>
      <c r="J200" s="89">
        <f t="shared" si="30"/>
        <v>10.32210641</v>
      </c>
      <c r="K200" s="102">
        <f t="shared" si="30"/>
        <v>0.1633401096</v>
      </c>
      <c r="L200" s="102">
        <f t="shared" si="30"/>
        <v>30.81829166</v>
      </c>
      <c r="M200" s="34" t="s">
        <v>398</v>
      </c>
    </row>
    <row r="201" ht="12.75" customHeight="1">
      <c r="A201" s="14" t="s">
        <v>399</v>
      </c>
      <c r="B201" s="14" t="s">
        <v>400</v>
      </c>
      <c r="C201" s="14" t="s">
        <v>338</v>
      </c>
      <c r="D201" s="42">
        <f t="shared" ref="D201:K201" si="31">E168*E162</f>
        <v>0.008835729338</v>
      </c>
      <c r="E201" s="42">
        <f t="shared" si="31"/>
        <v>0.003926990817</v>
      </c>
      <c r="F201" s="42">
        <f t="shared" si="31"/>
        <v>0.003323805027</v>
      </c>
      <c r="G201" s="42">
        <f t="shared" si="31"/>
        <v>0.0004154756284</v>
      </c>
      <c r="H201" s="42">
        <f t="shared" si="31"/>
        <v>0.0004154756284</v>
      </c>
      <c r="I201" s="42">
        <f t="shared" si="31"/>
        <v>0.002311180945</v>
      </c>
      <c r="J201" s="42">
        <f t="shared" si="31"/>
        <v>0.006759759333</v>
      </c>
      <c r="K201" s="42">
        <f t="shared" si="31"/>
        <v>0.002154383625</v>
      </c>
      <c r="L201" s="103">
        <f>infinity</f>
        <v>1E+99</v>
      </c>
    </row>
    <row r="202" ht="12.75" customHeight="1">
      <c r="A202" s="30" t="s">
        <v>401</v>
      </c>
      <c r="B202" s="30" t="s">
        <v>402</v>
      </c>
      <c r="C202" s="30" t="s">
        <v>29</v>
      </c>
      <c r="D202" s="104">
        <f t="shared" ref="D202:L202" si="32">D164^2/(2*D193)*(1/D168^2-1/D201^2)</f>
        <v>893.173032</v>
      </c>
      <c r="E202" s="104">
        <f t="shared" si="32"/>
        <v>-925.1080629</v>
      </c>
      <c r="F202" s="104">
        <f t="shared" si="32"/>
        <v>3319.347951</v>
      </c>
      <c r="G202" s="104">
        <f t="shared" si="32"/>
        <v>0</v>
      </c>
      <c r="H202" s="104">
        <f t="shared" si="32"/>
        <v>0</v>
      </c>
      <c r="I202" s="104">
        <f t="shared" si="32"/>
        <v>1934.28549</v>
      </c>
      <c r="J202" s="104">
        <f t="shared" si="32"/>
        <v>68.09348553</v>
      </c>
      <c r="K202" s="104">
        <f t="shared" si="32"/>
        <v>-557.4805599</v>
      </c>
      <c r="L202" s="104">
        <f t="shared" si="32"/>
        <v>571.6014408</v>
      </c>
      <c r="M202" s="14" t="s">
        <v>403</v>
      </c>
    </row>
    <row r="203" ht="12.75" customHeight="1">
      <c r="A203" s="30" t="s">
        <v>404</v>
      </c>
      <c r="B203" s="30" t="s">
        <v>405</v>
      </c>
      <c r="C203" s="30" t="s">
        <v>29</v>
      </c>
      <c r="D203" s="104">
        <f t="shared" ref="D203:L203" si="33">D181+D202</f>
        <v>139026.708</v>
      </c>
      <c r="E203" s="104">
        <f t="shared" si="33"/>
        <v>132617.8499</v>
      </c>
      <c r="F203" s="104">
        <f t="shared" si="33"/>
        <v>118164.3146</v>
      </c>
      <c r="G203" s="104">
        <f t="shared" si="33"/>
        <v>107627.3194</v>
      </c>
      <c r="H203" s="104">
        <f t="shared" si="33"/>
        <v>103108.4389</v>
      </c>
      <c r="I203" s="104">
        <f t="shared" si="33"/>
        <v>104885.5786</v>
      </c>
      <c r="J203" s="104">
        <f t="shared" si="33"/>
        <v>101491.0284</v>
      </c>
      <c r="K203" s="104">
        <f t="shared" si="33"/>
        <v>100867.5194</v>
      </c>
      <c r="L203" s="104">
        <f t="shared" si="33"/>
        <v>99330.52162</v>
      </c>
      <c r="M203" s="14" t="s">
        <v>406</v>
      </c>
    </row>
    <row r="204" ht="12.75" customHeight="1">
      <c r="A204" s="30" t="s">
        <v>407</v>
      </c>
      <c r="B204" s="30" t="s">
        <v>408</v>
      </c>
      <c r="C204" s="30" t="s">
        <v>29</v>
      </c>
      <c r="D204" s="104">
        <f t="shared" ref="D204:L204" si="34">D181*$D$35</f>
        <v>72973.43082</v>
      </c>
      <c r="E204" s="104">
        <f t="shared" si="34"/>
        <v>70548.31259</v>
      </c>
      <c r="F204" s="104">
        <f t="shared" si="34"/>
        <v>60670.50431</v>
      </c>
      <c r="G204" s="104">
        <f t="shared" si="34"/>
        <v>56857.5527</v>
      </c>
      <c r="H204" s="104">
        <f t="shared" si="34"/>
        <v>54470.31044</v>
      </c>
      <c r="I204" s="104">
        <f t="shared" si="34"/>
        <v>54387.29318</v>
      </c>
      <c r="J204" s="104">
        <f t="shared" si="34"/>
        <v>53579.88935</v>
      </c>
      <c r="K204" s="104">
        <f t="shared" si="34"/>
        <v>53580.98032</v>
      </c>
      <c r="L204" s="104">
        <f t="shared" si="34"/>
        <v>52172.5389</v>
      </c>
      <c r="M204" s="14" t="s">
        <v>409</v>
      </c>
    </row>
    <row r="205" ht="12.75" customHeight="1">
      <c r="A205" s="14" t="s">
        <v>410</v>
      </c>
      <c r="B205" s="14" t="s">
        <v>411</v>
      </c>
      <c r="C205" s="14" t="s">
        <v>46</v>
      </c>
      <c r="D205" s="105">
        <f t="shared" ref="D205:L205" si="35">D203/D181</f>
        <v>1.006466012</v>
      </c>
      <c r="E205" s="105">
        <f t="shared" si="35"/>
        <v>0.9930725807</v>
      </c>
      <c r="F205" s="105">
        <f t="shared" si="35"/>
        <v>1.02890286</v>
      </c>
      <c r="G205" s="105">
        <f t="shared" si="35"/>
        <v>1</v>
      </c>
      <c r="H205" s="105">
        <f t="shared" si="35"/>
        <v>1</v>
      </c>
      <c r="I205" s="105">
        <f t="shared" si="35"/>
        <v>1.018788355</v>
      </c>
      <c r="J205" s="105">
        <f t="shared" si="35"/>
        <v>1.000671382</v>
      </c>
      <c r="K205" s="105">
        <f t="shared" si="35"/>
        <v>0.9945035193</v>
      </c>
      <c r="L205" s="105">
        <f t="shared" si="35"/>
        <v>1.005787846</v>
      </c>
      <c r="M205" s="14" t="s">
        <v>412</v>
      </c>
    </row>
    <row r="206" ht="12.75" customHeight="1">
      <c r="A206" s="14" t="s">
        <v>413</v>
      </c>
      <c r="B206" s="14" t="s">
        <v>414</v>
      </c>
      <c r="C206" s="14" t="s">
        <v>415</v>
      </c>
      <c r="D206" s="106" t="b">
        <f t="shared" ref="D206:L206" si="36">D205&lt;$D$35</f>
        <v>0</v>
      </c>
      <c r="E206" s="106" t="b">
        <f t="shared" si="36"/>
        <v>0</v>
      </c>
      <c r="F206" s="106" t="b">
        <f t="shared" si="36"/>
        <v>0</v>
      </c>
      <c r="G206" s="106" t="b">
        <f t="shared" si="36"/>
        <v>0</v>
      </c>
      <c r="H206" s="106" t="b">
        <f t="shared" si="36"/>
        <v>0</v>
      </c>
      <c r="I206" s="106" t="b">
        <f t="shared" si="36"/>
        <v>0</v>
      </c>
      <c r="J206" s="106" t="b">
        <f t="shared" si="36"/>
        <v>0</v>
      </c>
      <c r="K206" s="106" t="b">
        <f t="shared" si="36"/>
        <v>0</v>
      </c>
      <c r="L206" s="106" t="b">
        <f t="shared" si="36"/>
        <v>0</v>
      </c>
    </row>
    <row r="207" ht="12.75" customHeight="1">
      <c r="A207" s="30" t="s">
        <v>416</v>
      </c>
      <c r="B207" s="30" t="s">
        <v>417</v>
      </c>
      <c r="C207" s="30" t="s">
        <v>29</v>
      </c>
      <c r="D207" s="104">
        <f t="shared" ref="D207:L207" si="37">if(D206,D204,D203)</f>
        <v>139026.708</v>
      </c>
      <c r="E207" s="104">
        <f t="shared" si="37"/>
        <v>132617.8499</v>
      </c>
      <c r="F207" s="104">
        <f t="shared" si="37"/>
        <v>118164.3146</v>
      </c>
      <c r="G207" s="104">
        <f t="shared" si="37"/>
        <v>107627.3194</v>
      </c>
      <c r="H207" s="104">
        <f t="shared" si="37"/>
        <v>103108.4389</v>
      </c>
      <c r="I207" s="104">
        <f t="shared" si="37"/>
        <v>104885.5786</v>
      </c>
      <c r="J207" s="104">
        <f t="shared" si="37"/>
        <v>101491.0284</v>
      </c>
      <c r="K207" s="104">
        <f t="shared" si="37"/>
        <v>100867.5194</v>
      </c>
      <c r="L207" s="104">
        <f t="shared" si="37"/>
        <v>99330.52162</v>
      </c>
    </row>
    <row r="208" ht="12.75" customHeight="1">
      <c r="A208" s="30" t="s">
        <v>418</v>
      </c>
      <c r="B208" s="107" t="s">
        <v>419</v>
      </c>
      <c r="C208" s="30" t="s">
        <v>374</v>
      </c>
      <c r="D208" s="108">
        <f t="shared" ref="D208:L208" si="38">D194*D168/D201</f>
        <v>62.54829108</v>
      </c>
      <c r="E208" s="108">
        <f t="shared" si="38"/>
        <v>72.88276416</v>
      </c>
      <c r="F208" s="108">
        <f t="shared" si="38"/>
        <v>49.80153446</v>
      </c>
      <c r="G208" s="108">
        <f t="shared" si="38"/>
        <v>53.54307854</v>
      </c>
      <c r="H208" s="108">
        <f t="shared" si="38"/>
        <v>55.8642607</v>
      </c>
      <c r="I208" s="108">
        <f t="shared" si="38"/>
        <v>10.0577475</v>
      </c>
      <c r="J208" s="108">
        <f t="shared" si="38"/>
        <v>0.1633121087</v>
      </c>
      <c r="K208" s="108">
        <f t="shared" si="38"/>
        <v>30.34261377</v>
      </c>
      <c r="L208" s="108">
        <f t="shared" si="38"/>
        <v>0</v>
      </c>
    </row>
    <row r="209" ht="12.75" customHeight="1">
      <c r="A209" s="30" t="s">
        <v>420</v>
      </c>
      <c r="B209" s="30" t="s">
        <v>421</v>
      </c>
      <c r="C209" s="30" t="s">
        <v>32</v>
      </c>
      <c r="D209" s="109">
        <f t="shared" ref="D209:L209" si="39">D$191+(D$194^2-D208^2)/(2*$D$33)</f>
        <v>280.513047</v>
      </c>
      <c r="E209" s="110">
        <f t="shared" si="39"/>
        <v>279.8142139</v>
      </c>
      <c r="F209" s="110">
        <f t="shared" si="39"/>
        <v>281.2006883</v>
      </c>
      <c r="G209" s="110">
        <f t="shared" si="39"/>
        <v>281.0061931</v>
      </c>
      <c r="H209" s="110">
        <f t="shared" si="39"/>
        <v>280.8783706</v>
      </c>
      <c r="I209" s="110">
        <f t="shared" si="39"/>
        <v>282.3813828</v>
      </c>
      <c r="J209" s="110">
        <f t="shared" si="39"/>
        <v>291.8077278</v>
      </c>
      <c r="K209" s="110">
        <f t="shared" si="39"/>
        <v>291.3494662</v>
      </c>
      <c r="L209" s="110">
        <f t="shared" si="39"/>
        <v>291.8076638</v>
      </c>
    </row>
    <row r="210" ht="12.75" customHeight="1">
      <c r="A210" s="30" t="s">
        <v>422</v>
      </c>
      <c r="B210" s="30" t="s">
        <v>423</v>
      </c>
      <c r="C210" s="30" t="s">
        <v>35</v>
      </c>
      <c r="D210" s="111">
        <f t="shared" ref="D210:L210" si="40">D$207/($D$31*D209)</f>
        <v>1.726884443</v>
      </c>
      <c r="E210" s="111">
        <f t="shared" si="40"/>
        <v>1.651392524</v>
      </c>
      <c r="F210" s="111">
        <f t="shared" si="40"/>
        <v>1.464158403</v>
      </c>
      <c r="G210" s="111">
        <f t="shared" si="40"/>
        <v>1.334518921</v>
      </c>
      <c r="H210" s="111">
        <f t="shared" si="40"/>
        <v>1.279069131</v>
      </c>
      <c r="I210" s="111">
        <f t="shared" si="40"/>
        <v>1.294189348</v>
      </c>
      <c r="J210" s="111">
        <f t="shared" si="40"/>
        <v>1.21185028</v>
      </c>
      <c r="K210" s="111">
        <f t="shared" si="40"/>
        <v>1.206299693</v>
      </c>
      <c r="L210" s="111">
        <f t="shared" si="40"/>
        <v>1.18605308</v>
      </c>
      <c r="M210" s="34"/>
    </row>
    <row r="211" ht="12.75" customHeight="1">
      <c r="A211" s="30" t="s">
        <v>424</v>
      </c>
      <c r="B211" s="30" t="s">
        <v>425</v>
      </c>
      <c r="C211" s="30" t="s">
        <v>415</v>
      </c>
      <c r="D211" s="112" t="b">
        <f t="shared" ref="D211:L211" si="41">D201&gt;D168</f>
        <v>1</v>
      </c>
      <c r="E211" s="112" t="b">
        <f t="shared" si="41"/>
        <v>0</v>
      </c>
      <c r="F211" s="112" t="b">
        <f t="shared" si="41"/>
        <v>1</v>
      </c>
      <c r="G211" s="112" t="b">
        <f t="shared" si="41"/>
        <v>0</v>
      </c>
      <c r="H211" s="112" t="b">
        <f t="shared" si="41"/>
        <v>0</v>
      </c>
      <c r="I211" s="112" t="b">
        <f t="shared" si="41"/>
        <v>1</v>
      </c>
      <c r="J211" s="112" t="b">
        <f t="shared" si="41"/>
        <v>1</v>
      </c>
      <c r="K211" s="112" t="b">
        <f t="shared" si="41"/>
        <v>0</v>
      </c>
      <c r="L211" s="112" t="b">
        <f t="shared" si="41"/>
        <v>1</v>
      </c>
      <c r="M211" s="34"/>
    </row>
    <row r="212" ht="12.75" customHeight="1">
      <c r="A212" s="30" t="s">
        <v>426</v>
      </c>
      <c r="B212" s="30" t="s">
        <v>427</v>
      </c>
      <c r="C212" s="30" t="s">
        <v>46</v>
      </c>
      <c r="D212" s="113" t="str">
        <f t="shared" ref="D212:L212" si="42">if(not(D211),0.42*(1-(D201/D168)^2),"n/a")</f>
        <v>n/a</v>
      </c>
      <c r="E212" s="113">
        <f t="shared" si="42"/>
        <v>0.08814814815</v>
      </c>
      <c r="F212" s="113" t="str">
        <f t="shared" si="42"/>
        <v>n/a</v>
      </c>
      <c r="G212" s="113">
        <f t="shared" si="42"/>
        <v>0</v>
      </c>
      <c r="H212" s="113">
        <f t="shared" si="42"/>
        <v>0</v>
      </c>
      <c r="I212" s="113" t="str">
        <f t="shared" si="42"/>
        <v>n/a</v>
      </c>
      <c r="J212" s="113" t="str">
        <f t="shared" si="42"/>
        <v>n/a</v>
      </c>
      <c r="K212" s="113">
        <f t="shared" si="42"/>
        <v>0.4199878289</v>
      </c>
      <c r="L212" s="113" t="str">
        <f t="shared" si="42"/>
        <v>n/a</v>
      </c>
      <c r="M212" s="34"/>
    </row>
    <row r="213" ht="12.75" customHeight="1">
      <c r="A213" s="30" t="s">
        <v>428</v>
      </c>
      <c r="B213" s="30" t="s">
        <v>429</v>
      </c>
      <c r="C213" s="30" t="s">
        <v>29</v>
      </c>
      <c r="D213" s="112" t="str">
        <f t="shared" ref="D213:L213" si="43">if(D$211,"n/a",D$181+(D$193*D$194^2-(1+D$212)*D210*D208^2)/2)</f>
        <v>n/a</v>
      </c>
      <c r="E213" s="112">
        <f t="shared" si="43"/>
        <v>132253.085</v>
      </c>
      <c r="F213" s="112" t="str">
        <f t="shared" si="43"/>
        <v>n/a</v>
      </c>
      <c r="G213" s="112">
        <f t="shared" si="43"/>
        <v>107627.3194</v>
      </c>
      <c r="H213" s="112">
        <f t="shared" si="43"/>
        <v>103108.4389</v>
      </c>
      <c r="I213" s="112" t="str">
        <f t="shared" si="43"/>
        <v>n/a</v>
      </c>
      <c r="J213" s="112" t="str">
        <f t="shared" si="43"/>
        <v>n/a</v>
      </c>
      <c r="K213" s="112">
        <f t="shared" si="43"/>
        <v>100636.4905</v>
      </c>
      <c r="L213" s="112" t="str">
        <f t="shared" si="43"/>
        <v>n/a</v>
      </c>
      <c r="M213" s="34"/>
    </row>
    <row r="214" ht="12.75" customHeight="1">
      <c r="A214" s="30" t="s">
        <v>430</v>
      </c>
      <c r="B214" s="30" t="s">
        <v>431</v>
      </c>
      <c r="C214" s="30" t="s">
        <v>29</v>
      </c>
      <c r="D214" s="114">
        <f t="shared" ref="D214:L214" si="44">D$181+D$164*(D$194-D208)/D$201</f>
        <v>138974.1685</v>
      </c>
      <c r="E214" s="114">
        <f t="shared" si="44"/>
        <v>132563.4318</v>
      </c>
      <c r="F214" s="114">
        <f t="shared" si="44"/>
        <v>117310.3172</v>
      </c>
      <c r="G214" s="114">
        <f t="shared" si="44"/>
        <v>107627.3194</v>
      </c>
      <c r="H214" s="114">
        <f t="shared" si="44"/>
        <v>103108.4389</v>
      </c>
      <c r="I214" s="114">
        <f t="shared" si="44"/>
        <v>103540.7685</v>
      </c>
      <c r="J214" s="114">
        <f t="shared" si="44"/>
        <v>101425.0003</v>
      </c>
      <c r="K214" s="114">
        <f t="shared" si="44"/>
        <v>100316.0088</v>
      </c>
      <c r="L214" s="114">
        <f t="shared" si="44"/>
        <v>98758.92018</v>
      </c>
      <c r="M214" s="34" t="s">
        <v>432</v>
      </c>
    </row>
    <row r="215" ht="12.75" customHeight="1">
      <c r="A215" s="115" t="s">
        <v>433</v>
      </c>
      <c r="B215" s="14" t="s">
        <v>434</v>
      </c>
      <c r="C215" s="14" t="s">
        <v>29</v>
      </c>
      <c r="D215" s="58">
        <f t="shared" ref="D215:L215" si="45">if(D$211,D214,D213)</f>
        <v>138974.1685</v>
      </c>
      <c r="E215" s="58">
        <f t="shared" si="45"/>
        <v>132253.085</v>
      </c>
      <c r="F215" s="58">
        <f t="shared" si="45"/>
        <v>117310.3172</v>
      </c>
      <c r="G215" s="58">
        <f t="shared" si="45"/>
        <v>107627.3194</v>
      </c>
      <c r="H215" s="58">
        <f t="shared" si="45"/>
        <v>103108.4389</v>
      </c>
      <c r="I215" s="58">
        <f t="shared" si="45"/>
        <v>103540.7685</v>
      </c>
      <c r="J215" s="58">
        <f t="shared" si="45"/>
        <v>101425.0003</v>
      </c>
      <c r="K215" s="58">
        <f t="shared" si="45"/>
        <v>100636.4905</v>
      </c>
      <c r="L215" s="58">
        <f t="shared" si="45"/>
        <v>98758.92018</v>
      </c>
      <c r="M215" s="34"/>
    </row>
    <row r="216" ht="12.75" customHeight="1">
      <c r="A216" s="30" t="s">
        <v>73</v>
      </c>
      <c r="B216" s="14" t="s">
        <v>73</v>
      </c>
      <c r="C216" s="14" t="s">
        <v>266</v>
      </c>
      <c r="D216" s="92">
        <f>D215/Pa_per_bar</f>
        <v>1.389741685</v>
      </c>
      <c r="E216" s="92">
        <f>E215/Pa_per_bar</f>
        <v>1.32253085</v>
      </c>
      <c r="F216" s="92">
        <f>F215/Pa_per_bar</f>
        <v>1.173103172</v>
      </c>
      <c r="G216" s="92">
        <f>G215/Pa_per_bar</f>
        <v>1.076273194</v>
      </c>
      <c r="H216" s="92">
        <f>H215/Pa_per_bar</f>
        <v>1.031084389</v>
      </c>
      <c r="I216" s="92">
        <f>I215/Pa_per_bar</f>
        <v>1.035407685</v>
      </c>
      <c r="J216" s="92">
        <f>J215/Pa_per_bar</f>
        <v>1.014250003</v>
      </c>
      <c r="K216" s="92">
        <f>K215/Pa_per_bar</f>
        <v>1.006364905</v>
      </c>
      <c r="L216" s="92">
        <f>L215/Pa_per_bar</f>
        <v>0.9875892018</v>
      </c>
    </row>
    <row r="217" ht="12.75" customHeight="1">
      <c r="A217" s="14" t="s">
        <v>435</v>
      </c>
      <c r="B217" s="14" t="s">
        <v>436</v>
      </c>
      <c r="C217" s="14" t="s">
        <v>35</v>
      </c>
      <c r="D217" s="16">
        <f t="shared" ref="D217:L217" si="46">D215/($D$31*D209)</f>
        <v>1.726231836</v>
      </c>
      <c r="E217" s="16">
        <f t="shared" si="46"/>
        <v>1.646850375</v>
      </c>
      <c r="F217" s="16">
        <f t="shared" si="46"/>
        <v>1.453576634</v>
      </c>
      <c r="G217" s="16">
        <f t="shared" si="46"/>
        <v>1.334518921</v>
      </c>
      <c r="H217" s="16">
        <f t="shared" si="46"/>
        <v>1.279069131</v>
      </c>
      <c r="I217" s="16">
        <f t="shared" si="46"/>
        <v>1.277595657</v>
      </c>
      <c r="J217" s="16">
        <f t="shared" si="46"/>
        <v>1.211061874</v>
      </c>
      <c r="K217" s="16">
        <f t="shared" si="46"/>
        <v>1.203536761</v>
      </c>
      <c r="L217" s="16">
        <f t="shared" si="46"/>
        <v>1.17922789</v>
      </c>
    </row>
    <row r="218" ht="12.75" customHeight="1">
      <c r="A218" s="14" t="s">
        <v>437</v>
      </c>
      <c r="B218" s="14" t="s">
        <v>438</v>
      </c>
      <c r="C218" s="14" t="s">
        <v>374</v>
      </c>
      <c r="D218" s="28">
        <f t="shared" ref="D218:L218" si="47">D$164/(D217*D$201)</f>
        <v>62.28480079</v>
      </c>
      <c r="E218" s="28">
        <f t="shared" si="47"/>
        <v>73.44793346</v>
      </c>
      <c r="F218" s="28">
        <f t="shared" si="47"/>
        <v>49.15753992</v>
      </c>
      <c r="G218" s="28">
        <f t="shared" si="47"/>
        <v>53.54307854</v>
      </c>
      <c r="H218" s="28">
        <f t="shared" si="47"/>
        <v>55.8642607</v>
      </c>
      <c r="I218" s="28">
        <f t="shared" si="47"/>
        <v>10.05417064</v>
      </c>
      <c r="J218" s="28">
        <f t="shared" si="47"/>
        <v>0.1633401093</v>
      </c>
      <c r="K218" s="28">
        <f t="shared" si="47"/>
        <v>30.53233086</v>
      </c>
      <c r="L218" s="28">
        <f t="shared" si="47"/>
        <v>0</v>
      </c>
    </row>
    <row r="219" ht="12.75" customHeight="1">
      <c r="A219" s="14" t="s">
        <v>439</v>
      </c>
      <c r="B219" s="14" t="s">
        <v>440</v>
      </c>
      <c r="C219" s="14" t="s">
        <v>32</v>
      </c>
      <c r="D219" s="47">
        <f t="shared" ref="D219:L219" si="48">D$191+(D$194^2-D218^2)/(2*$D$33)</f>
        <v>280.5294195</v>
      </c>
      <c r="E219" s="47">
        <f t="shared" si="48"/>
        <v>279.7730483</v>
      </c>
      <c r="F219" s="47">
        <f t="shared" si="48"/>
        <v>281.2324101</v>
      </c>
      <c r="G219" s="47">
        <f t="shared" si="48"/>
        <v>281.0061931</v>
      </c>
      <c r="H219" s="47">
        <f t="shared" si="48"/>
        <v>280.8783706</v>
      </c>
      <c r="I219" s="47">
        <f t="shared" si="48"/>
        <v>282.3814186</v>
      </c>
      <c r="J219" s="47">
        <f t="shared" si="48"/>
        <v>291.8077278</v>
      </c>
      <c r="K219" s="47">
        <f t="shared" si="48"/>
        <v>291.3437175</v>
      </c>
      <c r="L219" s="47">
        <f t="shared" si="48"/>
        <v>291.8076638</v>
      </c>
    </row>
    <row r="220" ht="12.75" customHeight="1">
      <c r="B220" s="50"/>
      <c r="C220" s="14"/>
      <c r="D220" s="116"/>
      <c r="E220" s="116"/>
      <c r="F220" s="116"/>
      <c r="G220" s="116"/>
      <c r="H220" s="116"/>
      <c r="I220" s="116"/>
      <c r="J220" s="116"/>
      <c r="K220" s="116"/>
      <c r="L220" s="116"/>
    </row>
    <row r="221" ht="12.75" customHeight="1">
      <c r="A221" s="23" t="s">
        <v>441</v>
      </c>
      <c r="B221" s="50"/>
      <c r="C221" s="14"/>
      <c r="D221" s="116"/>
      <c r="E221" s="116"/>
      <c r="F221" s="116"/>
      <c r="G221" s="116"/>
      <c r="H221" s="116"/>
      <c r="I221" s="116"/>
      <c r="J221" s="116"/>
      <c r="K221" s="116"/>
      <c r="L221" s="116"/>
    </row>
    <row r="222" ht="12.75" customHeight="1">
      <c r="A222" s="14" t="s">
        <v>442</v>
      </c>
      <c r="B222" s="50" t="s">
        <v>443</v>
      </c>
      <c r="C222" s="14" t="s">
        <v>225</v>
      </c>
      <c r="D222" s="59">
        <f t="shared" ref="D222:L222" si="49">D163*D164*($D$33*D171+D187^2/2)</f>
        <v>269547.5168</v>
      </c>
      <c r="E222" s="59">
        <f t="shared" si="49"/>
        <v>269545.1402</v>
      </c>
      <c r="F222" s="59">
        <f t="shared" si="49"/>
        <v>269542.1063</v>
      </c>
      <c r="G222" s="59">
        <f t="shared" si="49"/>
        <v>269521.1374</v>
      </c>
      <c r="H222" s="59">
        <f t="shared" si="49"/>
        <v>269518.944</v>
      </c>
      <c r="I222" s="59">
        <f t="shared" si="49"/>
        <v>269517.5945</v>
      </c>
      <c r="J222" s="59">
        <f t="shared" si="49"/>
        <v>269517.5443</v>
      </c>
      <c r="K222" s="59">
        <f t="shared" si="49"/>
        <v>278464.8321</v>
      </c>
      <c r="L222" s="59">
        <f t="shared" si="49"/>
        <v>278464.8146</v>
      </c>
    </row>
    <row r="223" ht="12.75" customHeight="1">
      <c r="A223" s="14" t="s">
        <v>444</v>
      </c>
      <c r="B223" s="50" t="s">
        <v>445</v>
      </c>
      <c r="C223" s="14" t="s">
        <v>225</v>
      </c>
      <c r="D223" s="59">
        <f t="shared" ref="D223:L223" si="50">D163*D164*($D$33*D191+D194^2/2)</f>
        <v>269544.9251</v>
      </c>
      <c r="E223" s="59">
        <f t="shared" si="50"/>
        <v>269542.8602</v>
      </c>
      <c r="F223" s="59">
        <f t="shared" si="50"/>
        <v>269520.8784</v>
      </c>
      <c r="G223" s="59">
        <f t="shared" si="50"/>
        <v>269518.944</v>
      </c>
      <c r="H223" s="59">
        <f t="shared" si="50"/>
        <v>269517.5945</v>
      </c>
      <c r="I223" s="59">
        <f t="shared" si="50"/>
        <v>269517.5443</v>
      </c>
      <c r="J223" s="59">
        <f t="shared" si="50"/>
        <v>278464.8321</v>
      </c>
      <c r="K223" s="59">
        <f t="shared" si="50"/>
        <v>278464.8321</v>
      </c>
      <c r="L223" s="59">
        <f t="shared" si="50"/>
        <v>278464.7584</v>
      </c>
    </row>
    <row r="224" ht="12.75" customHeight="1">
      <c r="A224" s="14" t="s">
        <v>446</v>
      </c>
      <c r="B224" s="50" t="s">
        <v>447</v>
      </c>
      <c r="C224" s="14" t="s">
        <v>225</v>
      </c>
      <c r="D224" s="58">
        <f t="shared" ref="D224:L224" si="51">D223-D222</f>
        <v>-2.591704396</v>
      </c>
      <c r="E224" s="58">
        <f t="shared" si="51"/>
        <v>-2.28005599</v>
      </c>
      <c r="F224" s="58">
        <f t="shared" si="51"/>
        <v>-21.22781995</v>
      </c>
      <c r="G224" s="58">
        <f t="shared" si="51"/>
        <v>-2.193382633</v>
      </c>
      <c r="H224" s="58">
        <f t="shared" si="51"/>
        <v>-1.349520961</v>
      </c>
      <c r="I224" s="58">
        <f t="shared" si="51"/>
        <v>-0.05024756625</v>
      </c>
      <c r="J224" s="58">
        <f t="shared" si="51"/>
        <v>8947.287803</v>
      </c>
      <c r="K224" s="58">
        <f t="shared" si="51"/>
        <v>0</v>
      </c>
      <c r="L224" s="58">
        <f t="shared" si="51"/>
        <v>-0.05621436477</v>
      </c>
    </row>
    <row r="225" ht="12.75" customHeight="1">
      <c r="A225" s="14" t="s">
        <v>448</v>
      </c>
      <c r="B225" s="50" t="s">
        <v>449</v>
      </c>
      <c r="C225" s="14" t="s">
        <v>225</v>
      </c>
      <c r="D225" s="58">
        <f t="shared" ref="D225:L225" si="52">(D223-sum($D185:D185)) - $D222</f>
        <v>-2.591704396</v>
      </c>
      <c r="E225" s="58">
        <f t="shared" si="52"/>
        <v>-4.656649806</v>
      </c>
      <c r="F225" s="58">
        <f t="shared" si="52"/>
        <v>-26.63837215</v>
      </c>
      <c r="G225" s="58">
        <f t="shared" si="52"/>
        <v>-28.57277261</v>
      </c>
      <c r="H225" s="58">
        <f t="shared" si="52"/>
        <v>-29.92229357</v>
      </c>
      <c r="I225" s="58">
        <f t="shared" si="52"/>
        <v>-29.97254113</v>
      </c>
      <c r="J225" s="58">
        <f t="shared" si="52"/>
        <v>-26.59629438</v>
      </c>
      <c r="K225" s="58">
        <f t="shared" si="52"/>
        <v>-26.59629438</v>
      </c>
      <c r="L225" s="58">
        <f t="shared" si="52"/>
        <v>-26.66998266</v>
      </c>
    </row>
    <row r="226" ht="12.75" customHeight="1">
      <c r="A226" s="14" t="s">
        <v>450</v>
      </c>
      <c r="B226" s="50" t="s">
        <v>451</v>
      </c>
      <c r="C226" s="14" t="s">
        <v>46</v>
      </c>
      <c r="D226" s="117">
        <f t="shared" ref="D226:L226" si="53">D225/$D222</f>
        <v>-0.000009615018631</v>
      </c>
      <c r="E226" s="117">
        <f t="shared" si="53"/>
        <v>-0.00001727580302</v>
      </c>
      <c r="F226" s="117">
        <f t="shared" si="53"/>
        <v>-0.00009882625693</v>
      </c>
      <c r="G226" s="117">
        <f t="shared" si="53"/>
        <v>-0.0001060027298</v>
      </c>
      <c r="H226" s="117">
        <f t="shared" si="53"/>
        <v>-0.000111009346</v>
      </c>
      <c r="I226" s="117">
        <f t="shared" si="53"/>
        <v>-0.0001111957605</v>
      </c>
      <c r="J226" s="117">
        <f t="shared" si="53"/>
        <v>-0.00009867015174</v>
      </c>
      <c r="K226" s="117">
        <f t="shared" si="53"/>
        <v>-0.00009867015174</v>
      </c>
      <c r="L226" s="117">
        <f t="shared" si="53"/>
        <v>-0.00009894352942</v>
      </c>
    </row>
    <row r="227" ht="12.75" customHeight="1">
      <c r="A227" s="14" t="s">
        <v>452</v>
      </c>
      <c r="B227" s="50" t="s">
        <v>453</v>
      </c>
      <c r="D227" s="117">
        <f t="shared" ref="D227:L227" si="54">D225/sum($D185:$L185)</f>
        <v>-0.0002897730346</v>
      </c>
      <c r="E227" s="117">
        <f t="shared" si="54"/>
        <v>-0.0005206502513</v>
      </c>
      <c r="F227" s="117">
        <f t="shared" si="54"/>
        <v>-0.002978380538</v>
      </c>
      <c r="G227" s="117">
        <f t="shared" si="54"/>
        <v>-0.003194661797</v>
      </c>
      <c r="H227" s="117">
        <f t="shared" si="54"/>
        <v>-0.003345548907</v>
      </c>
      <c r="I227" s="117">
        <f t="shared" si="54"/>
        <v>-0.003351166982</v>
      </c>
      <c r="J227" s="117">
        <f t="shared" si="54"/>
        <v>-0.002973675912</v>
      </c>
      <c r="K227" s="117">
        <f t="shared" si="54"/>
        <v>-0.002973675912</v>
      </c>
      <c r="L227" s="117">
        <f t="shared" si="54"/>
        <v>-0.002981914843</v>
      </c>
    </row>
    <row r="228" ht="12.75" customHeight="1">
      <c r="B228" s="53"/>
      <c r="G228" s="118"/>
    </row>
    <row r="229" ht="12.75" customHeight="1">
      <c r="A229" s="23" t="s">
        <v>454</v>
      </c>
      <c r="G229" s="118"/>
      <c r="H229" s="119"/>
      <c r="I229" s="119"/>
    </row>
    <row r="230" ht="12.75" customHeight="1">
      <c r="A230" s="14" t="s">
        <v>455</v>
      </c>
      <c r="B230" s="14" t="s">
        <v>46</v>
      </c>
      <c r="C230" s="14" t="s">
        <v>415</v>
      </c>
      <c r="D230" s="82">
        <v>1.0</v>
      </c>
      <c r="E230" s="82">
        <v>1.0</v>
      </c>
      <c r="F230" s="82">
        <v>1.0</v>
      </c>
      <c r="G230" s="82">
        <v>1.0</v>
      </c>
      <c r="H230" s="82">
        <v>0.0</v>
      </c>
      <c r="I230" s="82">
        <v>0.0</v>
      </c>
      <c r="J230" s="82">
        <v>0.0</v>
      </c>
      <c r="K230" s="82" t="s">
        <v>456</v>
      </c>
      <c r="L230" s="82">
        <v>1.0</v>
      </c>
    </row>
    <row r="231" ht="12.75" customHeight="1">
      <c r="A231" s="14" t="s">
        <v>457</v>
      </c>
      <c r="B231" s="14" t="s">
        <v>458</v>
      </c>
      <c r="C231" s="14" t="s">
        <v>32</v>
      </c>
      <c r="D231" s="26">
        <f t="shared" ref="D231:J231" si="55">min(D171,D191)</f>
        <v>279.9957739</v>
      </c>
      <c r="E231" s="26">
        <f t="shared" si="55"/>
        <v>280.369138</v>
      </c>
      <c r="F231" s="26">
        <f t="shared" si="55"/>
        <v>278.8975634</v>
      </c>
      <c r="G231" s="26">
        <f t="shared" si="55"/>
        <v>281.0061931</v>
      </c>
      <c r="H231" s="26">
        <f t="shared" si="55"/>
        <v>280.8783706</v>
      </c>
      <c r="I231" s="26">
        <f t="shared" si="55"/>
        <v>280.8736247</v>
      </c>
      <c r="J231" s="26">
        <f t="shared" si="55"/>
        <v>282.3814186</v>
      </c>
      <c r="K231" s="120" t="s">
        <v>46</v>
      </c>
      <c r="L231" s="26">
        <f>min(L171,L191)</f>
        <v>291.3259068</v>
      </c>
    </row>
    <row r="232" ht="12.75" customHeight="1">
      <c r="A232" s="14" t="s">
        <v>73</v>
      </c>
      <c r="B232" s="14" t="s">
        <v>73</v>
      </c>
      <c r="C232" s="14" t="s">
        <v>82</v>
      </c>
      <c r="D232" s="26">
        <f>D231-T_0</f>
        <v>6.845773926</v>
      </c>
      <c r="E232" s="26">
        <f>E231-T_0</f>
        <v>7.219138031</v>
      </c>
      <c r="F232" s="26">
        <f>F231-T_0</f>
        <v>5.747563422</v>
      </c>
      <c r="G232" s="26">
        <f>G231-T_0</f>
        <v>7.85619312</v>
      </c>
      <c r="H232" s="26">
        <f>H231-T_0</f>
        <v>7.728370591</v>
      </c>
      <c r="I232" s="26">
        <f>I231-T_0</f>
        <v>7.723624671</v>
      </c>
      <c r="J232" s="26">
        <f>J231-T_0</f>
        <v>9.231418621</v>
      </c>
      <c r="K232" s="120" t="s">
        <v>46</v>
      </c>
      <c r="L232" s="26">
        <f>L231-T_0</f>
        <v>18.17590681</v>
      </c>
      <c r="M232" s="121" t="b">
        <f>min(D232:L232) &gt; D54</f>
        <v>1</v>
      </c>
      <c r="N232" s="14" t="s">
        <v>459</v>
      </c>
    </row>
    <row r="233" ht="12.75" customHeight="1">
      <c r="A233" s="14" t="s">
        <v>460</v>
      </c>
      <c r="B233" s="14" t="s">
        <v>461</v>
      </c>
      <c r="C233" s="14" t="s">
        <v>32</v>
      </c>
      <c r="D233" s="26">
        <f t="shared" ref="D233:J233" si="56">D231 - if(D230,$E$49,$E$55)</f>
        <v>-6.154226074</v>
      </c>
      <c r="E233" s="26">
        <f t="shared" si="56"/>
        <v>-5.780861969</v>
      </c>
      <c r="F233" s="26">
        <f t="shared" si="56"/>
        <v>-7.252436578</v>
      </c>
      <c r="G233" s="26">
        <f t="shared" si="56"/>
        <v>-5.14380688</v>
      </c>
      <c r="H233" s="26">
        <f t="shared" si="56"/>
        <v>3.94523514</v>
      </c>
      <c r="I233" s="26">
        <f t="shared" si="56"/>
        <v>3.940489219</v>
      </c>
      <c r="J233" s="26">
        <f t="shared" si="56"/>
        <v>5.44828317</v>
      </c>
      <c r="K233" s="120" t="s">
        <v>46</v>
      </c>
      <c r="L233" s="26">
        <f>L231 - if(L230,$E$49,$E$55)</f>
        <v>5.175906813</v>
      </c>
    </row>
    <row r="234" ht="12.75" customHeight="1">
      <c r="A234" s="14" t="s">
        <v>462</v>
      </c>
      <c r="B234" s="14" t="s">
        <v>463</v>
      </c>
      <c r="C234" s="14" t="s">
        <v>32</v>
      </c>
      <c r="D234" s="26">
        <f t="shared" ref="D234:J234" si="57">abs(min(0,D233))</f>
        <v>6.154226074</v>
      </c>
      <c r="E234" s="26">
        <f t="shared" si="57"/>
        <v>5.780861969</v>
      </c>
      <c r="F234" s="26">
        <f t="shared" si="57"/>
        <v>7.252436578</v>
      </c>
      <c r="G234" s="26">
        <f t="shared" si="57"/>
        <v>5.14380688</v>
      </c>
      <c r="H234" s="26">
        <f t="shared" si="57"/>
        <v>0</v>
      </c>
      <c r="I234" s="26">
        <f t="shared" si="57"/>
        <v>0</v>
      </c>
      <c r="J234" s="26">
        <f t="shared" si="57"/>
        <v>0</v>
      </c>
      <c r="K234" s="120" t="s">
        <v>46</v>
      </c>
      <c r="L234" s="26">
        <f>abs(min(0,L233))</f>
        <v>0</v>
      </c>
    </row>
    <row r="235" ht="12.75" customHeight="1">
      <c r="A235" s="14" t="s">
        <v>464</v>
      </c>
      <c r="B235" s="14" t="s">
        <v>465</v>
      </c>
      <c r="C235" s="14" t="s">
        <v>32</v>
      </c>
      <c r="D235" s="26">
        <f t="shared" ref="D235:J235" si="58">if(D230,$E$50,$E$51) - if(D230,$E$49,$E$55)</f>
        <v>7</v>
      </c>
      <c r="E235" s="26">
        <f t="shared" si="58"/>
        <v>7</v>
      </c>
      <c r="F235" s="26">
        <f t="shared" si="58"/>
        <v>7</v>
      </c>
      <c r="G235" s="26">
        <f t="shared" si="58"/>
        <v>7</v>
      </c>
      <c r="H235" s="26">
        <f t="shared" si="58"/>
        <v>14.87459231</v>
      </c>
      <c r="I235" s="26">
        <f t="shared" si="58"/>
        <v>14.87459231</v>
      </c>
      <c r="J235" s="26">
        <f t="shared" si="58"/>
        <v>14.87459231</v>
      </c>
      <c r="K235" s="120" t="s">
        <v>46</v>
      </c>
      <c r="L235" s="26">
        <f>if(L230,$E$50,$E$51) - if(L230,$E$49,$E$55)</f>
        <v>7</v>
      </c>
    </row>
    <row r="236" ht="12.75" customHeight="1">
      <c r="A236" s="30" t="s">
        <v>466</v>
      </c>
      <c r="B236" s="30" t="s">
        <v>467</v>
      </c>
      <c r="C236" s="30" t="s">
        <v>103</v>
      </c>
      <c r="D236" s="122">
        <f t="shared" ref="D236:J236" si="59">$D$45 * D234 / ($D$48 * D235) * 1000</f>
        <v>3.516700614</v>
      </c>
      <c r="E236" s="122">
        <f t="shared" si="59"/>
        <v>3.303349696</v>
      </c>
      <c r="F236" s="122">
        <f t="shared" si="59"/>
        <v>4.144249473</v>
      </c>
      <c r="G236" s="122">
        <f t="shared" si="59"/>
        <v>2.939318217</v>
      </c>
      <c r="H236" s="122">
        <f t="shared" si="59"/>
        <v>0</v>
      </c>
      <c r="I236" s="122">
        <f t="shared" si="59"/>
        <v>0</v>
      </c>
      <c r="J236" s="122">
        <f t="shared" si="59"/>
        <v>0</v>
      </c>
      <c r="K236" s="120" t="s">
        <v>46</v>
      </c>
      <c r="L236" s="122">
        <f>$D$45 * L234 / ($D$48 * L235) * 1000</f>
        <v>0</v>
      </c>
    </row>
    <row r="237" ht="12.75" customHeight="1">
      <c r="A237" s="14" t="s">
        <v>468</v>
      </c>
      <c r="B237" s="14" t="s">
        <v>469</v>
      </c>
      <c r="C237" s="14" t="s">
        <v>103</v>
      </c>
      <c r="D237" s="26">
        <f t="shared" ref="D237:J237" si="60">MAX(D166, IF(D237 &lt;= D166, D166 * 1.01, (D237 * 0.99) + 0.1 * (2 * D236 / LN(D237 / D166))))</f>
        <v>156.6656161</v>
      </c>
      <c r="E237" s="26">
        <f t="shared" si="60"/>
        <v>126.4596664</v>
      </c>
      <c r="F237" s="26">
        <f t="shared" si="60"/>
        <v>107.8379647</v>
      </c>
      <c r="G237" s="26">
        <f t="shared" si="60"/>
        <v>60.63912568</v>
      </c>
      <c r="H237" s="26">
        <f t="shared" si="60"/>
        <v>23</v>
      </c>
      <c r="I237" s="26">
        <f t="shared" si="60"/>
        <v>23.23</v>
      </c>
      <c r="J237" s="26">
        <f t="shared" si="60"/>
        <v>11.62791365</v>
      </c>
      <c r="K237" s="120" t="s">
        <v>46</v>
      </c>
      <c r="L237" s="26">
        <f>MAX(L166, IF(L237 &lt;= L166, L166 * 1.01, (L237 * 0.99) + 0.1 * (2 * L236 / LN(L237 / L166))))</f>
        <v>52.37410072</v>
      </c>
      <c r="M237" s="14" t="s">
        <v>470</v>
      </c>
    </row>
    <row r="238" ht="12.75" customHeight="1">
      <c r="A238" s="14" t="s">
        <v>471</v>
      </c>
      <c r="B238" s="14" t="s">
        <v>472</v>
      </c>
      <c r="C238" s="14" t="s">
        <v>103</v>
      </c>
      <c r="D238" s="26">
        <f t="shared" ref="D238:J238" si="61">(D237-D166)/2</f>
        <v>28.33280805</v>
      </c>
      <c r="E238" s="26">
        <f t="shared" si="61"/>
        <v>25.72983321</v>
      </c>
      <c r="F238" s="26">
        <f t="shared" si="61"/>
        <v>28.91898233</v>
      </c>
      <c r="G238" s="26">
        <f t="shared" si="61"/>
        <v>18.81956284</v>
      </c>
      <c r="H238" s="26">
        <f t="shared" si="61"/>
        <v>0</v>
      </c>
      <c r="I238" s="26">
        <f t="shared" si="61"/>
        <v>0.115</v>
      </c>
      <c r="J238" s="26">
        <f t="shared" si="61"/>
        <v>0.05756392894</v>
      </c>
      <c r="K238" s="120" t="s">
        <v>46</v>
      </c>
      <c r="L238" s="26">
        <f>(L237-L166)/2</f>
        <v>0</v>
      </c>
      <c r="M238" s="14" t="s">
        <v>473</v>
      </c>
    </row>
    <row r="239" ht="12.75" customHeight="1">
      <c r="A239" s="14" t="s">
        <v>474</v>
      </c>
      <c r="B239" s="14" t="s">
        <v>475</v>
      </c>
      <c r="C239" s="14" t="s">
        <v>103</v>
      </c>
      <c r="D239" s="123">
        <f t="shared" ref="D239:J239" si="62">D238*$D$47</f>
        <v>42.49921208</v>
      </c>
      <c r="E239" s="123">
        <f t="shared" si="62"/>
        <v>38.59474982</v>
      </c>
      <c r="F239" s="123">
        <f t="shared" si="62"/>
        <v>43.37847349</v>
      </c>
      <c r="G239" s="123">
        <f t="shared" si="62"/>
        <v>28.22934426</v>
      </c>
      <c r="H239" s="123">
        <f t="shared" si="62"/>
        <v>0</v>
      </c>
      <c r="I239" s="123">
        <f t="shared" si="62"/>
        <v>0.1725</v>
      </c>
      <c r="J239" s="123">
        <f t="shared" si="62"/>
        <v>0.08634589341</v>
      </c>
      <c r="K239" s="120" t="s">
        <v>46</v>
      </c>
      <c r="L239" s="123">
        <f>L238*$D$47</f>
        <v>0</v>
      </c>
    </row>
    <row r="240" ht="12.75" customHeight="1">
      <c r="A240" s="14" t="s">
        <v>476</v>
      </c>
      <c r="B240" s="14" t="s">
        <v>477</v>
      </c>
      <c r="C240" s="14" t="s">
        <v>103</v>
      </c>
      <c r="D240" s="123">
        <f>D166+if(D239 &gt; $M240, 2*D239)</f>
        <v>184.9984242</v>
      </c>
      <c r="E240" s="123">
        <f t="shared" ref="E240:J240" si="63">E166+2*E239</f>
        <v>152.1894996</v>
      </c>
      <c r="F240" s="123">
        <f t="shared" si="63"/>
        <v>136.756947</v>
      </c>
      <c r="G240" s="123">
        <f t="shared" si="63"/>
        <v>79.45868853</v>
      </c>
      <c r="H240" s="123">
        <f t="shared" si="63"/>
        <v>23</v>
      </c>
      <c r="I240" s="123">
        <f t="shared" si="63"/>
        <v>23.345</v>
      </c>
      <c r="J240" s="123">
        <f t="shared" si="63"/>
        <v>11.68547758</v>
      </c>
      <c r="K240" s="120" t="s">
        <v>46</v>
      </c>
      <c r="L240" s="123">
        <f>L166+2*L239</f>
        <v>52.37410072</v>
      </c>
    </row>
    <row r="241" ht="12.75" customHeight="1">
      <c r="A241" s="23"/>
    </row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</sheetData>
  <conditionalFormatting sqref="D226:L227">
    <cfRule type="colorScale" priority="1">
      <colorScale>
        <cfvo type="formula" val="-1"/>
        <cfvo type="formula" val="0"/>
        <cfvo type="formula" val="1"/>
        <color rgb="FFFF0000"/>
        <color rgb="FFD9EAD3"/>
        <color rgb="FFFF0000"/>
      </colorScale>
    </cfRule>
  </conditionalFormatting>
  <conditionalFormatting sqref="M164">
    <cfRule type="cellIs" dxfId="0" priority="2" operator="notEqual">
      <formula>D151</formula>
    </cfRule>
  </conditionalFormatting>
  <conditionalFormatting sqref="M232">
    <cfRule type="cellIs" dxfId="1" priority="3" operator="equal">
      <formula>"TRUE"</formula>
    </cfRule>
  </conditionalFormatting>
  <conditionalFormatting sqref="M232">
    <cfRule type="cellIs" dxfId="0" priority="4" operator="equal">
      <formula>"FALSE"</formula>
    </cfRule>
  </conditionalFormatting>
  <hyperlinks>
    <hyperlink r:id="rId1" ref="B121"/>
    <hyperlink r:id="rId2" location="slide=id.p6" ref="G142"/>
  </hyperlinks>
  <printOptions/>
  <pageMargins bottom="1.05277777777778" footer="0.0" header="0.0" left="0.7875" right="0.7875" top="1.05277777777778"/>
  <pageSetup orientation="portrait"/>
  <headerFooter>
    <oddHeader>&amp;C&amp;A</oddHeader>
    <oddFooter>&amp;CPage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3.13"/>
  </cols>
  <sheetData>
    <row r="1">
      <c r="A1" s="14" t="s">
        <v>478</v>
      </c>
    </row>
    <row r="2">
      <c r="A2" s="14"/>
      <c r="B2" s="14" t="s">
        <v>479</v>
      </c>
    </row>
    <row r="3">
      <c r="B3" s="14" t="s">
        <v>480</v>
      </c>
    </row>
    <row r="4">
      <c r="B4" s="14" t="s">
        <v>481</v>
      </c>
    </row>
    <row r="5">
      <c r="C5" s="14" t="s">
        <v>482</v>
      </c>
    </row>
    <row r="6">
      <c r="B6" s="14"/>
      <c r="C6" s="124" t="s">
        <v>483</v>
      </c>
    </row>
    <row r="7">
      <c r="B7" s="14"/>
      <c r="C7" s="124" t="s">
        <v>484</v>
      </c>
    </row>
    <row r="8">
      <c r="B8" s="14" t="s">
        <v>485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25"/>
    <col customWidth="1" min="2" max="2" width="11.63"/>
    <col customWidth="1" min="3" max="3" width="12.63"/>
    <col customWidth="1" min="4" max="4" width="11.63"/>
    <col customWidth="1" min="5" max="5" width="10.63"/>
  </cols>
  <sheetData>
    <row r="1">
      <c r="A1" s="125" t="s">
        <v>486</v>
      </c>
      <c r="B1" s="125" t="s">
        <v>487</v>
      </c>
      <c r="C1" s="125" t="s">
        <v>488</v>
      </c>
      <c r="D1" s="125" t="s">
        <v>489</v>
      </c>
      <c r="E1" s="125" t="s">
        <v>490</v>
      </c>
      <c r="F1" s="125" t="s">
        <v>491</v>
      </c>
      <c r="G1" s="125" t="s">
        <v>492</v>
      </c>
      <c r="H1" s="125" t="s">
        <v>493</v>
      </c>
      <c r="I1" s="125"/>
      <c r="J1" s="125" t="s">
        <v>494</v>
      </c>
      <c r="K1" s="125" t="s">
        <v>495</v>
      </c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</row>
    <row r="2">
      <c r="A2" s="14" t="s">
        <v>496</v>
      </c>
      <c r="B2" s="15">
        <v>5.0</v>
      </c>
      <c r="C2" s="15">
        <v>16.0</v>
      </c>
      <c r="D2" s="15">
        <v>70.0</v>
      </c>
      <c r="E2" s="15">
        <v>1.0</v>
      </c>
      <c r="F2" s="43">
        <f t="shared" ref="F2:F6" si="1">product(C2:E2)</f>
        <v>1120</v>
      </c>
      <c r="G2" s="43">
        <f t="shared" ref="G2:G6" si="2">F2*B2</f>
        <v>5600</v>
      </c>
      <c r="H2" s="77">
        <f t="shared" ref="H2:H6" si="3">vlookup(B2,$B$12:$H$14,7,False)*F2</f>
        <v>2442.16</v>
      </c>
      <c r="I2" s="127"/>
      <c r="J2" s="26">
        <f t="shared" ref="J2:J6" si="4">$J$7*F2/$F$7</f>
        <v>30.62039958</v>
      </c>
      <c r="K2" s="26">
        <f t="shared" ref="K2:K6" si="5">J2/E2</f>
        <v>30.62039958</v>
      </c>
    </row>
    <row r="3">
      <c r="A3" s="14" t="s">
        <v>497</v>
      </c>
      <c r="B3" s="15">
        <v>6.0</v>
      </c>
      <c r="C3" s="15">
        <v>8.0</v>
      </c>
      <c r="D3" s="15">
        <v>46.0</v>
      </c>
      <c r="E3" s="15">
        <v>1.0</v>
      </c>
      <c r="F3" s="43">
        <f t="shared" si="1"/>
        <v>368</v>
      </c>
      <c r="G3" s="43">
        <f t="shared" si="2"/>
        <v>2208</v>
      </c>
      <c r="H3" s="77">
        <f t="shared" si="3"/>
        <v>936.376</v>
      </c>
      <c r="I3" s="127"/>
      <c r="J3" s="26">
        <f t="shared" si="4"/>
        <v>10.06098843</v>
      </c>
      <c r="K3" s="26">
        <f t="shared" si="5"/>
        <v>10.06098843</v>
      </c>
    </row>
    <row r="4">
      <c r="A4" s="14" t="s">
        <v>498</v>
      </c>
      <c r="B4" s="15">
        <v>5.0</v>
      </c>
      <c r="C4" s="82">
        <v>102.0</v>
      </c>
      <c r="D4" s="15">
        <v>1.0</v>
      </c>
      <c r="E4" s="15">
        <v>2.0</v>
      </c>
      <c r="F4" s="43">
        <f t="shared" si="1"/>
        <v>204</v>
      </c>
      <c r="G4" s="43">
        <f t="shared" si="2"/>
        <v>1020</v>
      </c>
      <c r="H4" s="77">
        <f t="shared" si="3"/>
        <v>444.822</v>
      </c>
      <c r="I4" s="127"/>
      <c r="J4" s="26">
        <f t="shared" si="4"/>
        <v>5.577287066</v>
      </c>
      <c r="K4" s="26">
        <f t="shared" si="5"/>
        <v>2.788643533</v>
      </c>
    </row>
    <row r="5">
      <c r="A5" s="14" t="s">
        <v>499</v>
      </c>
      <c r="B5" s="15">
        <v>6.0</v>
      </c>
      <c r="C5" s="15">
        <v>258.0</v>
      </c>
      <c r="D5" s="15">
        <v>1.0</v>
      </c>
      <c r="E5" s="15">
        <v>2.0</v>
      </c>
      <c r="F5" s="43">
        <f t="shared" si="1"/>
        <v>516</v>
      </c>
      <c r="G5" s="43">
        <f t="shared" si="2"/>
        <v>3096</v>
      </c>
      <c r="H5" s="77">
        <f t="shared" si="3"/>
        <v>1312.962</v>
      </c>
      <c r="I5" s="127"/>
      <c r="J5" s="26">
        <f t="shared" si="4"/>
        <v>14.10725552</v>
      </c>
      <c r="K5" s="26">
        <f t="shared" si="5"/>
        <v>7.05362776</v>
      </c>
    </row>
    <row r="6">
      <c r="A6" s="14" t="s">
        <v>500</v>
      </c>
      <c r="B6" s="15">
        <v>6.0</v>
      </c>
      <c r="C6" s="15">
        <v>266.0</v>
      </c>
      <c r="D6" s="15">
        <v>1.0</v>
      </c>
      <c r="E6" s="15">
        <v>6.0</v>
      </c>
      <c r="F6" s="43">
        <f t="shared" si="1"/>
        <v>1596</v>
      </c>
      <c r="G6" s="43">
        <f t="shared" si="2"/>
        <v>9576</v>
      </c>
      <c r="H6" s="77">
        <f t="shared" si="3"/>
        <v>4061.022</v>
      </c>
      <c r="I6" s="127"/>
      <c r="J6" s="26">
        <f t="shared" si="4"/>
        <v>43.6340694</v>
      </c>
      <c r="K6" s="26">
        <f t="shared" si="5"/>
        <v>7.2723449</v>
      </c>
    </row>
    <row r="7">
      <c r="E7" s="128" t="s">
        <v>501</v>
      </c>
      <c r="F7" s="129">
        <f t="shared" ref="F7:G7" si="6">SUM(F2:F6)</f>
        <v>3804</v>
      </c>
      <c r="G7" s="129">
        <f t="shared" si="6"/>
        <v>21500</v>
      </c>
      <c r="H7" s="130">
        <f>sum(H2:H6)</f>
        <v>9197.342</v>
      </c>
      <c r="J7" s="15">
        <v>104.0</v>
      </c>
      <c r="K7" s="68" t="s">
        <v>502</v>
      </c>
    </row>
    <row r="8">
      <c r="F8" s="128" t="s">
        <v>503</v>
      </c>
      <c r="G8" s="131">
        <f>G7/F7</f>
        <v>5.651945321</v>
      </c>
    </row>
    <row r="10">
      <c r="A10" s="125" t="s">
        <v>504</v>
      </c>
      <c r="B10" s="125" t="s">
        <v>487</v>
      </c>
      <c r="C10" s="125" t="s">
        <v>505</v>
      </c>
      <c r="D10" s="125" t="s">
        <v>506</v>
      </c>
      <c r="E10" s="125" t="s">
        <v>507</v>
      </c>
      <c r="F10" s="125" t="s">
        <v>508</v>
      </c>
      <c r="G10" s="125" t="s">
        <v>509</v>
      </c>
      <c r="H10" s="125" t="s">
        <v>510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>
      <c r="A11" s="132" t="s">
        <v>46</v>
      </c>
      <c r="B11" s="132" t="s">
        <v>46</v>
      </c>
      <c r="C11" s="132" t="s">
        <v>225</v>
      </c>
      <c r="D11" s="2" t="s">
        <v>46</v>
      </c>
      <c r="E11" s="132" t="s">
        <v>46</v>
      </c>
      <c r="F11" s="132" t="s">
        <v>46</v>
      </c>
      <c r="G11" s="132" t="s">
        <v>46</v>
      </c>
      <c r="H11" s="132" t="s">
        <v>46</v>
      </c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</row>
    <row r="12">
      <c r="A12" s="14" t="s">
        <v>511</v>
      </c>
      <c r="B12" s="15">
        <v>5.0</v>
      </c>
      <c r="C12" s="15">
        <v>1.246</v>
      </c>
      <c r="D12" s="29">
        <v>0.45</v>
      </c>
      <c r="E12" s="29">
        <v>0.3</v>
      </c>
      <c r="F12" s="57">
        <f t="shared" ref="F12:G12" si="7">D12*$C12</f>
        <v>0.5607</v>
      </c>
      <c r="G12" s="57">
        <f t="shared" si="7"/>
        <v>0.3738</v>
      </c>
      <c r="H12" s="57">
        <f t="shared" ref="H12:H14" si="10">C12+F12+G12</f>
        <v>2.1805</v>
      </c>
    </row>
    <row r="13">
      <c r="A13" s="14" t="s">
        <v>511</v>
      </c>
      <c r="B13" s="15">
        <v>6.0</v>
      </c>
      <c r="C13" s="15">
        <v>1.454</v>
      </c>
      <c r="D13" s="134">
        <f t="shared" ref="D13:E13" si="8">D12</f>
        <v>0.45</v>
      </c>
      <c r="E13" s="134">
        <f t="shared" si="8"/>
        <v>0.3</v>
      </c>
      <c r="F13" s="57">
        <f t="shared" ref="F13:G13" si="9">D13*$C13</f>
        <v>0.6543</v>
      </c>
      <c r="G13" s="57">
        <f t="shared" si="9"/>
        <v>0.4362</v>
      </c>
      <c r="H13" s="57">
        <f t="shared" si="10"/>
        <v>2.5445</v>
      </c>
    </row>
    <row r="14">
      <c r="A14" s="14" t="s">
        <v>512</v>
      </c>
      <c r="B14" s="79">
        <f>G8</f>
        <v>5.651945321</v>
      </c>
      <c r="C14" s="57">
        <f>(B12*C12+B13*C13)/(2*B14)</f>
        <v>1.322907349</v>
      </c>
      <c r="D14" s="134">
        <f t="shared" ref="D14:E14" si="11">D13</f>
        <v>0.45</v>
      </c>
      <c r="E14" s="134">
        <f t="shared" si="11"/>
        <v>0.3</v>
      </c>
      <c r="F14" s="57">
        <f t="shared" ref="F14:G14" si="12">D14*$C14</f>
        <v>0.595308307</v>
      </c>
      <c r="G14" s="57">
        <f t="shared" si="12"/>
        <v>0.3968722047</v>
      </c>
      <c r="H14" s="57">
        <f t="shared" si="10"/>
        <v>2.31508786</v>
      </c>
    </row>
    <row r="15">
      <c r="A15" s="14"/>
    </row>
    <row r="16">
      <c r="A16" s="14" t="s">
        <v>513</v>
      </c>
    </row>
    <row r="17">
      <c r="A17" s="14" t="s">
        <v>514</v>
      </c>
    </row>
    <row r="18">
      <c r="A18" s="135" t="s">
        <v>515</v>
      </c>
    </row>
    <row r="25">
      <c r="D25" s="39"/>
    </row>
  </sheetData>
  <hyperlinks>
    <hyperlink r:id="rId1" ref="A18"/>
  </hyperlinks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2025-06-23T13:57:07Z</dcterms:created>
</cp:coreProperties>
</file>