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nl-my.sharepoint.com/personal/yj6_ornl_gov/Documents/EIC/Silicon/"/>
    </mc:Choice>
  </mc:AlternateContent>
  <xr:revisionPtr revIDLastSave="869" documentId="13_ncr:1_{7FD538F1-7E04-40E5-AF2A-0C96EA0B9E3C}" xr6:coauthVersionLast="47" xr6:coauthVersionMax="47" xr10:uidLastSave="{86581717-4D0F-4B29-B908-70C3E3B44605}"/>
  <bookViews>
    <workbookView xWindow="47112" yWindow="540" windowWidth="42840" windowHeight="24288" activeTab="1" xr2:uid="{10A87157-EB4B-46DC-92D3-3F5922CD09FB}"/>
  </bookViews>
  <sheets>
    <sheet name="Overview" sheetId="3" r:id="rId1"/>
    <sheet name="Rates" sheetId="4" r:id="rId2"/>
    <sheet name="Board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15" i="3" l="1"/>
  <c r="AP16" i="3"/>
  <c r="AP17" i="3"/>
  <c r="AP18" i="3"/>
  <c r="AP19" i="3"/>
  <c r="AP23" i="3"/>
  <c r="AP24" i="3"/>
  <c r="AP25" i="3"/>
  <c r="AP26" i="3"/>
  <c r="AP27" i="3"/>
  <c r="AP8" i="3"/>
  <c r="AP9" i="3"/>
  <c r="AP10" i="3"/>
  <c r="AP11" i="3"/>
  <c r="AP7" i="3"/>
  <c r="AB24" i="3"/>
  <c r="AB25" i="3"/>
  <c r="AB26" i="3"/>
  <c r="AB27" i="3"/>
  <c r="AB23" i="3"/>
  <c r="AB19" i="3"/>
  <c r="AB18" i="3"/>
  <c r="AB17" i="3"/>
  <c r="AB16" i="3"/>
  <c r="AB15" i="3"/>
  <c r="AB11" i="3"/>
  <c r="AB10" i="3"/>
  <c r="AB8" i="3"/>
  <c r="AB9" i="3"/>
  <c r="AB7" i="3"/>
  <c r="W24" i="3"/>
  <c r="X24" i="3" s="1"/>
  <c r="W25" i="3"/>
  <c r="X25" i="3" s="1"/>
  <c r="W26" i="3"/>
  <c r="W27" i="3"/>
  <c r="X27" i="3" s="1"/>
  <c r="W23" i="3"/>
  <c r="Z23" i="3" s="1"/>
  <c r="W19" i="3"/>
  <c r="X19" i="3" s="1"/>
  <c r="W18" i="3"/>
  <c r="Z18" i="3" s="1"/>
  <c r="W17" i="3"/>
  <c r="Z17" i="3" s="1"/>
  <c r="W16" i="3"/>
  <c r="X16" i="3" s="1"/>
  <c r="W15" i="3"/>
  <c r="Z15" i="3" s="1"/>
  <c r="W8" i="3"/>
  <c r="Z8" i="3" s="1"/>
  <c r="W9" i="3"/>
  <c r="Z9" i="3" s="1"/>
  <c r="W10" i="3"/>
  <c r="Z10" i="3" s="1"/>
  <c r="W11" i="3"/>
  <c r="X11" i="3" s="1"/>
  <c r="W7" i="3"/>
  <c r="X7" i="3" s="1"/>
  <c r="X26" i="3"/>
  <c r="R11" i="3"/>
  <c r="R10" i="3"/>
  <c r="R25" i="3"/>
  <c r="R26" i="3"/>
  <c r="R27" i="3"/>
  <c r="R24" i="3"/>
  <c r="R23" i="3"/>
  <c r="R17" i="3"/>
  <c r="R18" i="3"/>
  <c r="R19" i="3"/>
  <c r="R16" i="3"/>
  <c r="R15" i="3"/>
  <c r="N12" i="5"/>
  <c r="L12" i="5"/>
  <c r="K12" i="5"/>
  <c r="N10" i="5"/>
  <c r="L8" i="5"/>
  <c r="L5" i="5"/>
  <c r="L4" i="5"/>
  <c r="L10" i="5"/>
  <c r="K10" i="5"/>
  <c r="K7" i="5"/>
  <c r="K3" i="5"/>
  <c r="J8" i="5"/>
  <c r="H8" i="5"/>
  <c r="G8" i="5"/>
  <c r="J7" i="5"/>
  <c r="H7" i="5"/>
  <c r="G7" i="5"/>
  <c r="J4" i="5"/>
  <c r="J5" i="5"/>
  <c r="J3" i="5"/>
  <c r="Z24" i="3" l="1"/>
  <c r="X17" i="3"/>
  <c r="X23" i="3"/>
  <c r="X9" i="3"/>
  <c r="Z19" i="3"/>
  <c r="X8" i="3"/>
  <c r="X18" i="3"/>
  <c r="X10" i="3"/>
  <c r="X15" i="3"/>
  <c r="Z16" i="3"/>
  <c r="Z11" i="3"/>
  <c r="Z7" i="3"/>
  <c r="Z27" i="3"/>
  <c r="Z26" i="3"/>
  <c r="Z25" i="3"/>
  <c r="W30" i="3"/>
  <c r="W31" i="3" s="1"/>
  <c r="K16" i="3"/>
  <c r="T16" i="3" s="1"/>
  <c r="K17" i="3"/>
  <c r="T17" i="3" s="1"/>
  <c r="K18" i="3"/>
  <c r="T18" i="3" s="1"/>
  <c r="K19" i="3"/>
  <c r="T19" i="3" s="1"/>
  <c r="K23" i="3"/>
  <c r="T23" i="3" s="1"/>
  <c r="K24" i="3"/>
  <c r="T24" i="3" s="1"/>
  <c r="K25" i="3"/>
  <c r="T25" i="3" s="1"/>
  <c r="K26" i="3"/>
  <c r="T26" i="3" s="1"/>
  <c r="K27" i="3"/>
  <c r="T27" i="3" s="1"/>
  <c r="K15" i="3"/>
  <c r="T15" i="3" s="1"/>
  <c r="K8" i="3"/>
  <c r="T8" i="3" s="1"/>
  <c r="K9" i="3"/>
  <c r="T9" i="3" s="1"/>
  <c r="K10" i="3"/>
  <c r="T10" i="3" s="1"/>
  <c r="K11" i="3"/>
  <c r="T11" i="3" s="1"/>
  <c r="K7" i="3"/>
  <c r="T7" i="3" s="1"/>
  <c r="R9" i="3"/>
  <c r="R8" i="3"/>
  <c r="R7" i="3"/>
  <c r="E2" i="3"/>
  <c r="L16" i="3" s="1"/>
  <c r="D21" i="4"/>
  <c r="D20" i="4"/>
  <c r="D19" i="4"/>
  <c r="D18" i="4"/>
  <c r="D17" i="4"/>
  <c r="D13" i="4"/>
  <c r="D12" i="4"/>
  <c r="D11" i="4"/>
  <c r="D10" i="4"/>
  <c r="D9" i="4"/>
  <c r="D3" i="4"/>
  <c r="D4" i="4"/>
  <c r="D5" i="4"/>
  <c r="D6" i="4"/>
  <c r="D2" i="4"/>
  <c r="Y10" i="3" l="1"/>
  <c r="AF16" i="3"/>
  <c r="AH16" i="3" s="1"/>
  <c r="AG16" i="3"/>
  <c r="T31" i="3"/>
  <c r="K30" i="3"/>
  <c r="L15" i="3"/>
  <c r="L27" i="3"/>
  <c r="L26" i="3"/>
  <c r="L25" i="3"/>
  <c r="L24" i="3"/>
  <c r="L23" i="3"/>
  <c r="L19" i="3"/>
  <c r="L18" i="3"/>
  <c r="L17" i="3"/>
  <c r="Q17" i="3"/>
  <c r="Q18" i="3"/>
  <c r="Q19" i="3"/>
  <c r="Q23" i="3"/>
  <c r="Q24" i="3"/>
  <c r="Q25" i="3"/>
  <c r="Q26" i="3"/>
  <c r="Q27" i="3"/>
  <c r="Q16" i="3"/>
  <c r="Q15" i="3"/>
  <c r="Q11" i="3"/>
  <c r="Q10" i="3"/>
  <c r="Q8" i="3"/>
  <c r="Q9" i="3"/>
  <c r="Q7" i="3"/>
  <c r="M16" i="3"/>
  <c r="M17" i="3"/>
  <c r="M18" i="3"/>
  <c r="M19" i="3"/>
  <c r="M23" i="3"/>
  <c r="M24" i="3"/>
  <c r="M25" i="3"/>
  <c r="M26" i="3"/>
  <c r="M27" i="3"/>
  <c r="M15" i="3"/>
  <c r="E19" i="3"/>
  <c r="E27" i="3"/>
  <c r="E26" i="3"/>
  <c r="E25" i="3"/>
  <c r="E24" i="3"/>
  <c r="E23" i="3"/>
  <c r="E18" i="3"/>
  <c r="E17" i="3"/>
  <c r="E16" i="3"/>
  <c r="E15" i="3"/>
  <c r="P11" i="3"/>
  <c r="M11" i="3"/>
  <c r="O11" i="3" s="1"/>
  <c r="E11" i="3"/>
  <c r="M10" i="3"/>
  <c r="O10" i="3" s="1"/>
  <c r="E10" i="3"/>
  <c r="O9" i="3"/>
  <c r="M9" i="3"/>
  <c r="E9" i="3"/>
  <c r="O8" i="3"/>
  <c r="M8" i="3"/>
  <c r="E8" i="3"/>
  <c r="O7" i="3"/>
  <c r="M7" i="3"/>
  <c r="E7" i="3"/>
  <c r="L8" i="3"/>
  <c r="AA8" i="3" l="1"/>
  <c r="AJ8" i="3"/>
  <c r="AK8" i="3"/>
  <c r="AN8" i="3"/>
  <c r="AO8" i="3"/>
  <c r="AL8" i="3"/>
  <c r="AM8" i="3"/>
  <c r="Y9" i="3"/>
  <c r="AM9" i="3"/>
  <c r="AN9" i="3"/>
  <c r="AO9" i="3"/>
  <c r="AJ9" i="3"/>
  <c r="AK9" i="3"/>
  <c r="AL9" i="3"/>
  <c r="Y11" i="3"/>
  <c r="AO11" i="3"/>
  <c r="AJ11" i="3"/>
  <c r="AK11" i="3"/>
  <c r="AL11" i="3"/>
  <c r="AM11" i="3"/>
  <c r="AN11" i="3"/>
  <c r="AM7" i="3"/>
  <c r="AK7" i="3"/>
  <c r="AL7" i="3"/>
  <c r="AN7" i="3"/>
  <c r="AO7" i="3"/>
  <c r="AJ7" i="3"/>
  <c r="AA10" i="3"/>
  <c r="AK10" i="3"/>
  <c r="AO10" i="3"/>
  <c r="AJ10" i="3"/>
  <c r="AL10" i="3"/>
  <c r="AM10" i="3"/>
  <c r="AN10" i="3"/>
  <c r="U11" i="3"/>
  <c r="U8" i="3"/>
  <c r="Y7" i="3"/>
  <c r="AA7" i="3"/>
  <c r="AF18" i="3"/>
  <c r="AH18" i="3" s="1"/>
  <c r="AG18" i="3"/>
  <c r="AF17" i="3"/>
  <c r="AH17" i="3" s="1"/>
  <c r="AG17" i="3"/>
  <c r="AC19" i="3"/>
  <c r="AE19" i="3" s="1"/>
  <c r="AF19" i="3"/>
  <c r="AH19" i="3" s="1"/>
  <c r="AG19" i="3"/>
  <c r="AC23" i="3"/>
  <c r="AE23" i="3" s="1"/>
  <c r="AF23" i="3"/>
  <c r="AH23" i="3" s="1"/>
  <c r="AG23" i="3"/>
  <c r="AG25" i="3"/>
  <c r="AF25" i="3"/>
  <c r="AH25" i="3" s="1"/>
  <c r="AG26" i="3"/>
  <c r="AF26" i="3"/>
  <c r="AH26" i="3" s="1"/>
  <c r="AF27" i="3"/>
  <c r="AH27" i="3" s="1"/>
  <c r="AG27" i="3"/>
  <c r="AF15" i="3"/>
  <c r="AH15" i="3" s="1"/>
  <c r="AG15" i="3"/>
  <c r="AA11" i="3"/>
  <c r="U9" i="3"/>
  <c r="AF8" i="3"/>
  <c r="AH8" i="3" s="1"/>
  <c r="AG8" i="3"/>
  <c r="AC8" i="3"/>
  <c r="U7" i="3"/>
  <c r="AF24" i="3"/>
  <c r="AH24" i="3" s="1"/>
  <c r="AG24" i="3"/>
  <c r="AA9" i="3"/>
  <c r="Y8" i="3"/>
  <c r="U10" i="3"/>
  <c r="O15" i="3"/>
  <c r="M32" i="3"/>
  <c r="Q30" i="3"/>
  <c r="O19" i="3"/>
  <c r="L9" i="3"/>
  <c r="E30" i="3"/>
  <c r="R30" i="3"/>
  <c r="O23" i="3"/>
  <c r="O24" i="3"/>
  <c r="M30" i="3"/>
  <c r="O26" i="3"/>
  <c r="O17" i="3"/>
  <c r="O27" i="3"/>
  <c r="O18" i="3"/>
  <c r="O16" i="3"/>
  <c r="L11" i="3"/>
  <c r="O25" i="3"/>
  <c r="L10" i="3"/>
  <c r="L7" i="3"/>
  <c r="AJ26" i="3" l="1"/>
  <c r="AK26" i="3"/>
  <c r="AL26" i="3"/>
  <c r="AM26" i="3"/>
  <c r="AN26" i="3"/>
  <c r="AO26" i="3"/>
  <c r="AM24" i="3"/>
  <c r="AJ24" i="3"/>
  <c r="AN24" i="3"/>
  <c r="AO24" i="3"/>
  <c r="AK24" i="3"/>
  <c r="AL24" i="3"/>
  <c r="AD8" i="3"/>
  <c r="AE8" i="3"/>
  <c r="AJ19" i="3"/>
  <c r="AK19" i="3"/>
  <c r="AN19" i="3"/>
  <c r="AO19" i="3"/>
  <c r="AL19" i="3"/>
  <c r="AM19" i="3"/>
  <c r="AO17" i="3"/>
  <c r="AK17" i="3"/>
  <c r="AL17" i="3"/>
  <c r="AM17" i="3"/>
  <c r="AN17" i="3"/>
  <c r="AJ17" i="3"/>
  <c r="AK16" i="3"/>
  <c r="AL16" i="3"/>
  <c r="AO16" i="3"/>
  <c r="AM16" i="3"/>
  <c r="AJ16" i="3"/>
  <c r="AN16" i="3"/>
  <c r="AK27" i="3"/>
  <c r="AL27" i="3"/>
  <c r="AM27" i="3"/>
  <c r="AN27" i="3"/>
  <c r="AO27" i="3"/>
  <c r="AJ27" i="3"/>
  <c r="AJ23" i="3"/>
  <c r="AN23" i="3"/>
  <c r="AK23" i="3"/>
  <c r="AL23" i="3"/>
  <c r="AM23" i="3"/>
  <c r="AO23" i="3"/>
  <c r="AJ25" i="3"/>
  <c r="AK25" i="3"/>
  <c r="AL25" i="3"/>
  <c r="AM25" i="3"/>
  <c r="AN25" i="3"/>
  <c r="AO25" i="3"/>
  <c r="AO15" i="3"/>
  <c r="AK15" i="3"/>
  <c r="AL15" i="3"/>
  <c r="AJ15" i="3"/>
  <c r="AM15" i="3"/>
  <c r="AN15" i="3"/>
  <c r="AN18" i="3"/>
  <c r="AO18" i="3"/>
  <c r="AJ18" i="3"/>
  <c r="AK18" i="3"/>
  <c r="AL18" i="3"/>
  <c r="AM18" i="3"/>
  <c r="AG28" i="3"/>
  <c r="AH28" i="3"/>
  <c r="AC11" i="3"/>
  <c r="AE11" i="3" s="1"/>
  <c r="AF11" i="3"/>
  <c r="AH11" i="3" s="1"/>
  <c r="AG11" i="3"/>
  <c r="Y25" i="3"/>
  <c r="AA25" i="3"/>
  <c r="U25" i="3"/>
  <c r="AD11" i="3"/>
  <c r="Y16" i="3"/>
  <c r="AC16" i="3"/>
  <c r="AE16" i="3" s="1"/>
  <c r="AA16" i="3"/>
  <c r="U16" i="3"/>
  <c r="AA15" i="3"/>
  <c r="U15" i="3"/>
  <c r="Y15" i="3"/>
  <c r="AA18" i="3"/>
  <c r="U18" i="3"/>
  <c r="Y18" i="3"/>
  <c r="Y27" i="3"/>
  <c r="AA27" i="3"/>
  <c r="U27" i="3"/>
  <c r="AG20" i="3"/>
  <c r="Y17" i="3"/>
  <c r="AA17" i="3"/>
  <c r="U17" i="3"/>
  <c r="AH20" i="3"/>
  <c r="Y26" i="3"/>
  <c r="U26" i="3"/>
  <c r="AA26" i="3"/>
  <c r="AD26" i="3" s="1"/>
  <c r="AC15" i="3"/>
  <c r="AE15" i="3" s="1"/>
  <c r="AC27" i="3"/>
  <c r="AE27" i="3" s="1"/>
  <c r="Y24" i="3"/>
  <c r="AA24" i="3"/>
  <c r="U24" i="3"/>
  <c r="AA23" i="3"/>
  <c r="AD23" i="3" s="1"/>
  <c r="Y23" i="3"/>
  <c r="U23" i="3"/>
  <c r="AC17" i="3"/>
  <c r="AE17" i="3" s="1"/>
  <c r="AC26" i="3"/>
  <c r="AE26" i="3" s="1"/>
  <c r="AF9" i="3"/>
  <c r="AH9" i="3" s="1"/>
  <c r="AG9" i="3"/>
  <c r="AC9" i="3"/>
  <c r="AC18" i="3"/>
  <c r="AE18" i="3" s="1"/>
  <c r="Y19" i="3"/>
  <c r="AA19" i="3"/>
  <c r="AD19" i="3" s="1"/>
  <c r="U19" i="3"/>
  <c r="AC24" i="3"/>
  <c r="AE24" i="3" s="1"/>
  <c r="AF7" i="3"/>
  <c r="AG7" i="3"/>
  <c r="AC7" i="3"/>
  <c r="AC25" i="3"/>
  <c r="AE25" i="3" s="1"/>
  <c r="AF10" i="3"/>
  <c r="AH10" i="3" s="1"/>
  <c r="AG10" i="3"/>
  <c r="AC10" i="3"/>
  <c r="O30" i="3"/>
  <c r="L30" i="3"/>
  <c r="AD9" i="3" l="1"/>
  <c r="AE9" i="3"/>
  <c r="AD10" i="3"/>
  <c r="AE10" i="3"/>
  <c r="AD7" i="3"/>
  <c r="AE7" i="3"/>
  <c r="AD16" i="3"/>
  <c r="AD24" i="3"/>
  <c r="AD18" i="3"/>
  <c r="AD17" i="3"/>
  <c r="AD25" i="3"/>
  <c r="AF31" i="3"/>
  <c r="AH7" i="3"/>
  <c r="AH31" i="3" s="1"/>
  <c r="AD27" i="3"/>
  <c r="AD15" i="3"/>
</calcChain>
</file>

<file path=xl/sharedStrings.xml><?xml version="1.0" encoding="utf-8"?>
<sst xmlns="http://schemas.openxmlformats.org/spreadsheetml/2006/main" count="339" uniqueCount="157">
  <si>
    <t>Layer Index</t>
  </si>
  <si>
    <t>Barrel</t>
  </si>
  <si>
    <t>radius (mm)</t>
  </si>
  <si>
    <t>z (mm)</t>
  </si>
  <si>
    <t>e-endcap</t>
  </si>
  <si>
    <t>Disk index</t>
  </si>
  <si>
    <t>inner r (mm)</t>
  </si>
  <si>
    <t>outer r (mm)</t>
  </si>
  <si>
    <t>h-endcap</t>
  </si>
  <si>
    <t>Pixel size</t>
  </si>
  <si>
    <t># pixels</t>
  </si>
  <si>
    <t>Area (mm^2)</t>
  </si>
  <si>
    <t>Notes</t>
  </si>
  <si>
    <t>Reticle size</t>
  </si>
  <si>
    <t>width (mm)</t>
  </si>
  <si>
    <t>length (mm)</t>
  </si>
  <si>
    <t>TOTAL</t>
  </si>
  <si>
    <t>Sensor</t>
  </si>
  <si>
    <t># of sensors in r-phi</t>
  </si>
  <si>
    <t># of sensors in z</t>
  </si>
  <si>
    <t># sensors</t>
  </si>
  <si>
    <t># Readout Links</t>
  </si>
  <si>
    <t>bent ITS3</t>
  </si>
  <si>
    <t># of segments:</t>
  </si>
  <si>
    <t># pixels per RSU</t>
  </si>
  <si>
    <t># Staves</t>
  </si>
  <si>
    <t># Data VTRx+</t>
  </si>
  <si>
    <t>Gbps</t>
  </si>
  <si>
    <t>hits/s</t>
  </si>
  <si>
    <t>#  SC lpGBTs</t>
  </si>
  <si>
    <t>Average Cluster size</t>
  </si>
  <si>
    <t>Hit Rate (Hz)</t>
  </si>
  <si>
    <t>L0</t>
  </si>
  <si>
    <t>L1</t>
  </si>
  <si>
    <t>L2</t>
  </si>
  <si>
    <t>L3</t>
  </si>
  <si>
    <t>L4</t>
  </si>
  <si>
    <r>
      <t>Area (cm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</si>
  <si>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Hits/s/cm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</si>
  <si>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ED0</t>
  </si>
  <si>
    <t>ED1</t>
  </si>
  <si>
    <t>ED2</t>
  </si>
  <si>
    <t>ED3</t>
  </si>
  <si>
    <t>ED4</t>
  </si>
  <si>
    <t>HD0</t>
  </si>
  <si>
    <t>HD1</t>
  </si>
  <si>
    <t>HD2</t>
  </si>
  <si>
    <t>HD3</t>
  </si>
  <si>
    <t>HD4</t>
  </si>
  <si>
    <t>6 -RSU LAS</t>
  </si>
  <si>
    <t>5-RSU LAS</t>
  </si>
  <si>
    <t>6-RSU LAS</t>
  </si>
  <si>
    <t xml:space="preserve">RSU in width </t>
  </si>
  <si>
    <t>RSU in length</t>
  </si>
  <si>
    <t>Readout Modules</t>
  </si>
  <si>
    <t>(1/pixel/10us)</t>
  </si>
  <si>
    <t>Data Rate (Mbps)</t>
  </si>
  <si>
    <t>Data Rate / Link (Mbps)</t>
  </si>
  <si>
    <t># tiles</t>
  </si>
  <si>
    <t>Epty Rate (Gbps)</t>
  </si>
  <si>
    <t>Epty Rate / Link (Mbps)</t>
  </si>
  <si>
    <t>Empty Rate:</t>
  </si>
  <si>
    <t>From Shujie on 7/22/2025:</t>
  </si>
  <si>
    <t>All counts are in mili second (ms)</t>
  </si>
  <si>
    <t>source file:</t>
  </si>
  <si>
    <t>root://dtn-eic.jlab.org//volatile/eic/EPIC/RECO/25.06.1/epic_craterlake/Bkg_RealisticSignalPer2usFrame/Synrad_18GeV_Vac_10000Ahr_Runtime_10ms_Egas_All_18GeV_Hgas_275GeV/SIDIS/pythia6-eic/1.0.0/18x275/q2_0to1/pythia_ep_noradcor_18x275_q2_0.000000001_1.0_run8.ab.1206.eicrecon.edm4eic.root:events'</t>
  </si>
  <si>
    <t>Layer name</t>
  </si>
  <si>
    <t>Total hits</t>
  </si>
  <si>
    <t>max hit on a single RSU</t>
  </si>
  <si>
    <t>E-Si Disk 5</t>
  </si>
  <si>
    <t>E-Si Disk 4</t>
  </si>
  <si>
    <t>E-Si Disk 3</t>
  </si>
  <si>
    <t>E-Si Disk 2</t>
  </si>
  <si>
    <t>E-Si Disk 1</t>
  </si>
  <si>
    <t>H-Si Disk 1</t>
  </si>
  <si>
    <t>H-Si Disk 2</t>
  </si>
  <si>
    <t>H-Si Disk 3</t>
  </si>
  <si>
    <t>H-Si Disk 4</t>
  </si>
  <si>
    <t>H-Si Disk 5</t>
  </si>
  <si>
    <t>root://dtn-eic.jlab.org//volatile/eic//EPIC/RECO/25.06.1/epic_craterlake/Bkg_1SignalPer2usFrame/Synrad_18GeV_Vac_10000Ahr_Runtime_10ms_Egas_All_18GeV_Hgas_275GeV/DIS/NC/18x275/minQ2=1/pythia8NCDIS_18x275_minQ2=1_beamEffects_xAngle=-0.025_hiDiv_3.0010.eicrecon.edm4eic.root:events'</t>
  </si>
  <si>
    <t>Hit Rate/ms</t>
  </si>
  <si>
    <t>realistic minbias (Q2&lt;1) and beam background 18x275 GeV</t>
  </si>
  <si>
    <t>one DIS (Q2&gt;1) per event + beam background 18x275 GeV</t>
  </si>
  <si>
    <t>SIB</t>
  </si>
  <si>
    <t>Layer 0</t>
  </si>
  <si>
    <t>Layer 1</t>
  </si>
  <si>
    <t>Layer 2</t>
  </si>
  <si>
    <t>Layer 3</t>
  </si>
  <si>
    <t>Layer 4</t>
  </si>
  <si>
    <t>eDisks</t>
  </si>
  <si>
    <t>HDisks</t>
  </si>
  <si>
    <t>SCB</t>
  </si>
  <si>
    <t>Total</t>
  </si>
  <si>
    <t>DPB</t>
  </si>
  <si>
    <t>FIB</t>
  </si>
  <si>
    <t>CB</t>
  </si>
  <si>
    <t>Data Fibers</t>
  </si>
  <si>
    <t>SC Fiber Channels</t>
  </si>
  <si>
    <t>VTRx+</t>
  </si>
  <si>
    <t>Shuji 8/7/2025</t>
  </si>
  <si>
    <t>10x275 GeV setting</t>
  </si>
  <si>
    <t>All counts are per millisecond (ms)</t>
  </si>
  <si>
    <t>1ms of mixed data = 1000 events x (one DIS collision at Q2 &gt;1 GeV2 per 2us + beam background per event) / 2</t>
  </si>
  <si>
    <t xml:space="preserve">source file: </t>
  </si>
  <si>
    <r>
      <rPr>
        <b/>
        <sz val="9"/>
        <color rgb="FF0000FF"/>
        <rFont val="Arial"/>
      </rPr>
      <t xml:space="preserve"> Barak: </t>
    </r>
    <r>
      <rPr>
        <sz val="9"/>
        <color rgb="FF9900FF"/>
        <rFont val="Arial"/>
      </rPr>
      <t>bgmerged_forced_10x275_scaled_SR_n1000 (all bg)</t>
    </r>
  </si>
  <si>
    <r>
      <rPr>
        <b/>
        <sz val="9"/>
        <color rgb="FF0000FF"/>
        <rFont val="Arial"/>
      </rPr>
      <t>Shujie</t>
    </r>
    <r>
      <rPr>
        <sz val="9"/>
        <color rgb="FF9900FF"/>
        <rFont val="Arial"/>
      </rPr>
      <t>: /25.10.4/epic_craterlake/Bkg_1SignalPer2usFrame/DIS/NC/10x100/minQ2=1/</t>
    </r>
  </si>
  <si>
    <t>MAX hit on a single RSU (20x20mm)</t>
  </si>
  <si>
    <t>Tile (9.8x3.5mm)</t>
  </si>
  <si>
    <t>E-Si Disk 0</t>
  </si>
  <si>
    <t>H-Si Disk 0</t>
  </si>
  <si>
    <t>18x275 GeV setting</t>
  </si>
  <si>
    <t>bgmerged_forced_18x275n1000</t>
  </si>
  <si>
    <t>10x275 GeV beam, 10um gold coating, accumulated/averaged 1ms of hits (Shujie Jan 2026)</t>
  </si>
  <si>
    <t>Hit Rate (Mhz)</t>
  </si>
  <si>
    <t>Hit Rate / Fiber (MHz)</t>
  </si>
  <si>
    <t>Noise Rate / Fiber (MHz)</t>
  </si>
  <si>
    <t>Total Hits / Fiber (MHz)</t>
  </si>
  <si>
    <t>Noise Data Rate (Mbps)</t>
  </si>
  <si>
    <t>Total Rate (Mbps)</t>
  </si>
  <si>
    <t>Total Hit  Rate (MHz)</t>
  </si>
  <si>
    <t>Noise Rate:</t>
  </si>
  <si>
    <t>SUM</t>
  </si>
  <si>
    <t>Simulation campaign , 26.04.1</t>
  </si>
  <si>
    <t>Shuije Li, 06.2026</t>
  </si>
  <si>
    <t>10x275 GeV setting with 10um gold beampipe coating</t>
  </si>
  <si>
    <t>All counts are per millisecond (ms) --&gt; kHz</t>
  </si>
  <si>
    <t>Hit rate (kHz) by source</t>
  </si>
  <si>
    <t>Total hits (kHz)</t>
  </si>
  <si>
    <t>DIS</t>
  </si>
  <si>
    <t>SR</t>
  </si>
  <si>
    <t>Bremstrahlung</t>
  </si>
  <si>
    <t>Coulomb</t>
  </si>
  <si>
    <t>Touschek</t>
  </si>
  <si>
    <t>Proton beam gas</t>
  </si>
  <si>
    <t>Source sum</t>
  </si>
  <si>
    <t>Shujie June 2026: 10x275, 10um gold</t>
  </si>
  <si>
    <t>Max Hit Rate / Fiber (MHz)</t>
  </si>
  <si>
    <t>Max Total Hits / Fiber (MHz)</t>
  </si>
  <si>
    <t>DIS / Fiber (MHz)</t>
  </si>
  <si>
    <t>SR / Fiber (MHz)</t>
  </si>
  <si>
    <t>Bremstrahlung / Fiber (MHz)</t>
  </si>
  <si>
    <t>Coulomb / Fiber (MHz)</t>
  </si>
  <si>
    <t>Touschek / Fiber (MHz)</t>
  </si>
  <si>
    <t>P-beam-gas / Fiber (MHz)</t>
  </si>
  <si>
    <t>Sum Other / Fiber (MHz)</t>
  </si>
  <si>
    <t>50 files starting root://epicxrd1.sdcc.bnl.gov:1095//eic/EPIC/RECO/26.04.1/epic_craterlake/Bkg_Exact1S_2us/GoldCt/10um/DIS/NC/10x275/minQ2=1/pythia8NCDIS_10x275_minQ2=1_beamEffects_xAngle=-0.025_hiDiv_1.1001.eicrecon.edm4eic.root:events`</t>
  </si>
  <si>
    <r>
      <t>all rates in</t>
    </r>
    <r>
      <rPr>
        <b/>
        <sz val="10"/>
        <color rgb="FF9900FF"/>
        <rFont val="Arial"/>
        <family val="2"/>
      </rPr>
      <t xml:space="preserve"> kHz</t>
    </r>
  </si>
  <si>
    <t>DIS+background</t>
  </si>
  <si>
    <t>BREM</t>
  </si>
  <si>
    <t>COULOMB</t>
  </si>
  <si>
    <t>TOUSCHEK</t>
  </si>
  <si>
    <t>PROTON BEAM</t>
  </si>
  <si>
    <t>BREM+COUL+TOUS+PROTON total</t>
  </si>
  <si>
    <t>layer name</t>
  </si>
  <si>
    <t>Layer total</t>
  </si>
  <si>
    <t>RSU max</t>
  </si>
  <si>
    <t>Tile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</si>
</sst>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9900FF"/>
      <name val="Arial"/>
      <family val="2"/>
    </font>
    <font>
      <b/>
      <sz val="12"/>
      <color theme="1"/>
      <name val="Menlo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rgb="FF098658"/>
      <name val="Menlo"/>
    </font>
    <font>
      <b/>
      <sz val="11"/>
      <color rgb="FFFF0000"/>
      <name val="Arial"/>
    </font>
    <font>
      <b/>
      <sz val="10"/>
      <color rgb="FF9900FF"/>
      <name val="Calibri"/>
      <scheme val="minor"/>
    </font>
    <font>
      <b/>
      <sz val="12"/>
      <color rgb="FF000000"/>
      <name val="Arial"/>
    </font>
    <font>
      <sz val="10"/>
      <color rgb="FF9900FF"/>
      <name val="Calibri"/>
      <scheme val="minor"/>
    </font>
    <font>
      <sz val="9"/>
      <color rgb="FF9900FF"/>
      <name val="Arial"/>
    </font>
    <font>
      <b/>
      <sz val="9"/>
      <color rgb="FF0000FF"/>
      <name val="Arial"/>
    </font>
    <font>
      <sz val="9"/>
      <color rgb="FF9900FF"/>
      <name val="Menlo"/>
    </font>
    <font>
      <b/>
      <sz val="9"/>
      <color theme="1"/>
      <name val="Arial"/>
    </font>
    <font>
      <b/>
      <sz val="10"/>
      <color theme="1"/>
      <name val="Arial"/>
    </font>
    <font>
      <sz val="9"/>
      <color rgb="FF098658"/>
      <name val="Arial"/>
    </font>
    <font>
      <sz val="9"/>
      <color rgb="FF000000"/>
      <name val="Menlo"/>
    </font>
    <font>
      <sz val="10"/>
      <color theme="1"/>
      <name val="Calibri"/>
      <scheme val="minor"/>
    </font>
    <font>
      <sz val="9"/>
      <color rgb="FF000000"/>
      <name val="Arial"/>
    </font>
    <font>
      <b/>
      <sz val="10"/>
      <color rgb="FF9900FF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0"/>
      <color rgb="FF098658"/>
      <name val="Arial"/>
      <family val="2"/>
    </font>
    <font>
      <sz val="10"/>
      <color rgb="FF098658"/>
      <name val="Menlo"/>
    </font>
    <font>
      <sz val="10"/>
      <color theme="1"/>
      <name val="Menlo"/>
    </font>
    <font>
      <b/>
      <sz val="10"/>
      <color rgb="FF4A86E8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rgb="FFEFEFE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/>
    <xf numFmtId="2" fontId="1" fillId="0" borderId="0" xfId="0" applyNumberFormat="1" applyFont="1"/>
    <xf numFmtId="11" fontId="1" fillId="0" borderId="0" xfId="0" applyNumberFormat="1" applyFont="1"/>
    <xf numFmtId="0" fontId="4" fillId="0" borderId="1" xfId="0" applyFont="1" applyBorder="1"/>
    <xf numFmtId="0" fontId="5" fillId="0" borderId="1" xfId="0" applyFont="1" applyBorder="1"/>
    <xf numFmtId="11" fontId="4" fillId="0" borderId="1" xfId="0" applyNumberFormat="1" applyFont="1" applyBorder="1"/>
    <xf numFmtId="2" fontId="4" fillId="0" borderId="1" xfId="0" applyNumberFormat="1" applyFont="1" applyBorder="1"/>
    <xf numFmtId="2" fontId="0" fillId="0" borderId="0" xfId="0" applyNumberFormat="1"/>
    <xf numFmtId="164" fontId="1" fillId="0" borderId="0" xfId="0" applyNumberFormat="1" applyFont="1"/>
    <xf numFmtId="166" fontId="1" fillId="0" borderId="0" xfId="0" applyNumberFormat="1" applyFont="1"/>
    <xf numFmtId="0" fontId="5" fillId="0" borderId="0" xfId="0" applyFont="1"/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vertical="center"/>
    </xf>
    <xf numFmtId="0" fontId="7" fillId="2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vertical="center"/>
    </xf>
    <xf numFmtId="0" fontId="7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6" fillId="0" borderId="0" xfId="0" applyFont="1" applyAlignment="1">
      <alignment horizontal="center"/>
    </xf>
    <xf numFmtId="0" fontId="17" fillId="3" borderId="6" xfId="0" applyFont="1" applyFill="1" applyBorder="1"/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6" fillId="0" borderId="7" xfId="0" applyFont="1" applyBorder="1"/>
    <xf numFmtId="0" fontId="19" fillId="3" borderId="6" xfId="0" applyFont="1" applyFill="1" applyBorder="1"/>
    <xf numFmtId="0" fontId="20" fillId="3" borderId="0" xfId="0" applyFont="1" applyFill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7" fillId="0" borderId="0" xfId="0" applyFont="1"/>
    <xf numFmtId="0" fontId="16" fillId="0" borderId="8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0" fillId="3" borderId="16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3" fillId="3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18" xfId="0" applyNumberFormat="1" applyBorder="1"/>
    <xf numFmtId="2" fontId="0" fillId="0" borderId="18" xfId="0" applyNumberFormat="1" applyBorder="1"/>
    <xf numFmtId="0" fontId="1" fillId="0" borderId="0" xfId="0" applyFont="1" applyAlignment="1">
      <alignment horizontal="left"/>
    </xf>
    <xf numFmtId="0" fontId="29" fillId="2" borderId="2" xfId="0" applyFont="1" applyFill="1" applyBorder="1" applyAlignment="1">
      <alignment vertical="center"/>
    </xf>
    <xf numFmtId="0" fontId="8" fillId="0" borderId="2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2" borderId="21" xfId="0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wrapText="1"/>
    </xf>
    <xf numFmtId="0" fontId="11" fillId="2" borderId="22" xfId="0" applyFont="1" applyFill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32" fillId="2" borderId="20" xfId="0" applyFont="1" applyFill="1" applyBorder="1" applyAlignment="1">
      <alignment horizontal="center" wrapText="1"/>
    </xf>
    <xf numFmtId="3" fontId="7" fillId="0" borderId="2" xfId="0" applyNumberFormat="1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32" fillId="0" borderId="20" xfId="0" applyFont="1" applyBorder="1" applyAlignment="1">
      <alignment horizontal="center" wrapText="1"/>
    </xf>
    <xf numFmtId="0" fontId="32" fillId="2" borderId="22" xfId="0" applyFont="1" applyFill="1" applyBorder="1" applyAlignment="1">
      <alignment horizontal="center" wrapText="1"/>
    </xf>
    <xf numFmtId="3" fontId="7" fillId="0" borderId="19" xfId="0" applyNumberFormat="1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33" fillId="0" borderId="20" xfId="0" applyFont="1" applyBorder="1" applyAlignment="1">
      <alignment horizontal="center" wrapText="1"/>
    </xf>
    <xf numFmtId="3" fontId="34" fillId="0" borderId="2" xfId="0" applyNumberFormat="1" applyFont="1" applyBorder="1" applyAlignment="1">
      <alignment horizontal="center" wrapText="1"/>
    </xf>
    <xf numFmtId="0" fontId="33" fillId="2" borderId="20" xfId="0" applyFont="1" applyFill="1" applyBorder="1" applyAlignment="1">
      <alignment horizontal="center" wrapText="1"/>
    </xf>
    <xf numFmtId="0" fontId="34" fillId="0" borderId="21" xfId="0" applyFont="1" applyBorder="1" applyAlignment="1">
      <alignment horizontal="center" wrapText="1"/>
    </xf>
    <xf numFmtId="0" fontId="33" fillId="2" borderId="22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11" fontId="0" fillId="0" borderId="0" xfId="0" applyNumberFormat="1"/>
    <xf numFmtId="0" fontId="1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3" fillId="3" borderId="0" xfId="0" applyFont="1" applyFill="1" applyAlignment="1">
      <alignment horizontal="left" wrapText="1"/>
    </xf>
    <xf numFmtId="0" fontId="0" fillId="0" borderId="0" xfId="0"/>
    <xf numFmtId="0" fontId="14" fillId="0" borderId="0" xfId="0" applyFont="1" applyAlignment="1">
      <alignment horizontal="left"/>
    </xf>
    <xf numFmtId="0" fontId="30" fillId="2" borderId="3" xfId="0" applyFont="1" applyFill="1" applyBorder="1" applyAlignment="1">
      <alignment wrapText="1"/>
    </xf>
    <xf numFmtId="0" fontId="30" fillId="2" borderId="5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31" fillId="2" borderId="3" xfId="0" applyFont="1" applyFill="1" applyBorder="1" applyAlignment="1">
      <alignment wrapText="1"/>
    </xf>
    <xf numFmtId="0" fontId="31" fillId="2" borderId="4" xfId="0" applyFont="1" applyFill="1" applyBorder="1" applyAlignment="1">
      <alignment wrapText="1"/>
    </xf>
    <xf numFmtId="0" fontId="31" fillId="2" borderId="5" xfId="0" applyFont="1" applyFill="1" applyBorder="1" applyAlignment="1">
      <alignment wrapText="1"/>
    </xf>
    <xf numFmtId="0" fontId="15" fillId="3" borderId="0" xfId="0" applyFont="1" applyFill="1" applyAlignment="1">
      <alignment horizontal="left" wrapText="1"/>
    </xf>
    <xf numFmtId="0" fontId="13" fillId="3" borderId="0" xfId="0" applyFont="1" applyFill="1" applyAlignment="1">
      <alignment wrapText="1"/>
    </xf>
    <xf numFmtId="0" fontId="26" fillId="0" borderId="0" xfId="0" applyFont="1"/>
    <xf numFmtId="0" fontId="28" fillId="3" borderId="0" xfId="0" applyFont="1" applyFill="1" applyAlignment="1">
      <alignment wrapText="1"/>
    </xf>
    <xf numFmtId="0" fontId="35" fillId="0" borderId="2" xfId="0" applyFont="1" applyBorder="1" applyAlignment="1">
      <alignment vertical="center"/>
    </xf>
    <xf numFmtId="0" fontId="35" fillId="0" borderId="2" xfId="0" applyFont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6" fillId="4" borderId="2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wrapText="1"/>
    </xf>
    <xf numFmtId="0" fontId="36" fillId="5" borderId="2" xfId="0" applyFont="1" applyFill="1" applyBorder="1" applyAlignment="1">
      <alignment horizontal="center" wrapText="1"/>
    </xf>
    <xf numFmtId="0" fontId="3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37" fillId="4" borderId="2" xfId="0" applyFont="1" applyFill="1" applyBorder="1" applyAlignment="1">
      <alignment wrapText="1"/>
    </xf>
    <xf numFmtId="0" fontId="37" fillId="0" borderId="2" xfId="0" applyFont="1" applyBorder="1" applyAlignment="1">
      <alignment wrapText="1"/>
    </xf>
    <xf numFmtId="0" fontId="37" fillId="5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7" fillId="5" borderId="2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C343-0523-4834-AEA8-5AB1C920255A}">
  <sheetPr>
    <pageSetUpPr fitToPage="1"/>
  </sheetPr>
  <dimension ref="A1:AP33"/>
  <sheetViews>
    <sheetView zoomScale="120" zoomScaleNormal="120" workbookViewId="0">
      <selection activeCell="AB7" sqref="AB7"/>
    </sheetView>
  </sheetViews>
  <sheetFormatPr defaultRowHeight="14.4"/>
  <cols>
    <col min="1" max="1" width="10.6640625" bestFit="1" customWidth="1"/>
    <col min="2" max="2" width="11.21875" bestFit="1" customWidth="1"/>
    <col min="3" max="3" width="11.6640625" customWidth="1"/>
    <col min="4" max="4" width="11.88671875" bestFit="1" customWidth="1"/>
    <col min="5" max="5" width="14.33203125" bestFit="1" customWidth="1"/>
    <col min="6" max="6" width="8" bestFit="1" customWidth="1"/>
    <col min="7" max="7" width="12.6640625" customWidth="1"/>
    <col min="8" max="8" width="11" bestFit="1" customWidth="1"/>
    <col min="9" max="9" width="10.6640625" customWidth="1"/>
    <col min="10" max="10" width="1.88671875" customWidth="1"/>
    <col min="11" max="11" width="7.33203125" bestFit="1" customWidth="1"/>
    <col min="12" max="12" width="13.77734375" bestFit="1" customWidth="1"/>
    <col min="14" max="14" width="12.44140625" customWidth="1"/>
    <col min="15" max="15" width="10.109375" customWidth="1"/>
    <col min="16" max="17" width="8.44140625" customWidth="1"/>
    <col min="18" max="18" width="8" customWidth="1"/>
    <col min="19" max="19" width="1.88671875" customWidth="1"/>
    <col min="20" max="20" width="8.77734375" bestFit="1" customWidth="1"/>
    <col min="21" max="21" width="10.6640625" bestFit="1" customWidth="1"/>
    <col min="22" max="22" width="2.109375" customWidth="1"/>
    <col min="23" max="23" width="11" bestFit="1" customWidth="1"/>
    <col min="24" max="24" width="12.109375" customWidth="1"/>
    <col min="25" max="25" width="11" bestFit="1" customWidth="1"/>
    <col min="26" max="26" width="8" bestFit="1" customWidth="1"/>
    <col min="27" max="27" width="10.77734375" bestFit="1" customWidth="1"/>
    <col min="28" max="28" width="13.21875" bestFit="1" customWidth="1"/>
    <col min="29" max="29" width="11.21875" bestFit="1" customWidth="1"/>
    <col min="30" max="30" width="10.77734375" bestFit="1" customWidth="1"/>
    <col min="31" max="31" width="14.5546875" bestFit="1" customWidth="1"/>
    <col min="32" max="32" width="11.33203125" bestFit="1" customWidth="1"/>
    <col min="33" max="33" width="10.44140625" bestFit="1" customWidth="1"/>
    <col min="34" max="34" width="9.5546875" bestFit="1" customWidth="1"/>
    <col min="35" max="35" width="2.5546875" customWidth="1"/>
    <col min="36" max="36" width="10.109375" bestFit="1" customWidth="1"/>
    <col min="37" max="37" width="9.6640625" bestFit="1" customWidth="1"/>
    <col min="38" max="38" width="14.109375" customWidth="1"/>
    <col min="39" max="40" width="11.109375" bestFit="1" customWidth="1"/>
    <col min="41" max="41" width="12.44140625" bestFit="1" customWidth="1"/>
    <col min="42" max="42" width="11.88671875" customWidth="1"/>
  </cols>
  <sheetData>
    <row r="1" spans="1:42">
      <c r="B1" s="3" t="s">
        <v>14</v>
      </c>
      <c r="C1" s="3" t="s">
        <v>15</v>
      </c>
      <c r="E1" s="3" t="s">
        <v>24</v>
      </c>
      <c r="O1" s="2"/>
    </row>
    <row r="2" spans="1:42" ht="28.8">
      <c r="A2" s="3" t="s">
        <v>13</v>
      </c>
      <c r="B2" s="7">
        <v>19.564</v>
      </c>
      <c r="C2">
        <v>21.666</v>
      </c>
      <c r="E2" s="5">
        <f>444*156*6*2</f>
        <v>831168</v>
      </c>
      <c r="G2" s="4" t="s">
        <v>30</v>
      </c>
      <c r="H2" s="78">
        <v>3</v>
      </c>
      <c r="L2" s="74" t="s">
        <v>120</v>
      </c>
      <c r="M2" s="15">
        <v>9.9999999999999995E-7</v>
      </c>
      <c r="N2" s="3" t="s">
        <v>55</v>
      </c>
      <c r="O2" s="2"/>
    </row>
    <row r="3" spans="1:42" ht="13.2" customHeight="1">
      <c r="A3" s="3" t="s">
        <v>9</v>
      </c>
      <c r="B3" s="8">
        <v>2.0799999999999999E-2</v>
      </c>
      <c r="C3" s="8">
        <v>2.2800000000000001E-2</v>
      </c>
      <c r="O3" s="2"/>
    </row>
    <row r="4" spans="1:42">
      <c r="O4" s="2"/>
    </row>
    <row r="5" spans="1:42" ht="28.2" customHeight="1">
      <c r="A5" s="3" t="s">
        <v>1</v>
      </c>
      <c r="F5" s="105" t="s">
        <v>17</v>
      </c>
      <c r="G5" s="105"/>
      <c r="O5" s="2"/>
      <c r="S5" s="6"/>
      <c r="W5" s="105" t="s">
        <v>135</v>
      </c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9"/>
    </row>
    <row r="6" spans="1:42" ht="32.4" customHeight="1">
      <c r="A6" s="3" t="s">
        <v>0</v>
      </c>
      <c r="B6" s="3" t="s">
        <v>2</v>
      </c>
      <c r="C6" s="3" t="s">
        <v>3</v>
      </c>
      <c r="D6" s="3"/>
      <c r="E6" s="3" t="s">
        <v>11</v>
      </c>
      <c r="F6" s="4" t="s">
        <v>52</v>
      </c>
      <c r="G6" s="4" t="s">
        <v>53</v>
      </c>
      <c r="H6" s="4" t="s">
        <v>18</v>
      </c>
      <c r="I6" s="4" t="s">
        <v>19</v>
      </c>
      <c r="J6" s="4"/>
      <c r="K6" s="4" t="s">
        <v>58</v>
      </c>
      <c r="L6" s="3" t="s">
        <v>10</v>
      </c>
      <c r="M6" s="3" t="s">
        <v>20</v>
      </c>
      <c r="N6" s="3" t="s">
        <v>12</v>
      </c>
      <c r="O6" s="6" t="s">
        <v>21</v>
      </c>
      <c r="P6" s="3" t="s">
        <v>25</v>
      </c>
      <c r="Q6" s="4" t="s">
        <v>26</v>
      </c>
      <c r="R6" s="4" t="s">
        <v>29</v>
      </c>
      <c r="S6" s="6"/>
      <c r="T6" s="4" t="s">
        <v>59</v>
      </c>
      <c r="U6" s="4" t="s">
        <v>60</v>
      </c>
      <c r="W6" s="6" t="s">
        <v>80</v>
      </c>
      <c r="X6" s="6" t="s">
        <v>56</v>
      </c>
      <c r="Y6" s="6" t="s">
        <v>57</v>
      </c>
      <c r="Z6" s="6" t="s">
        <v>113</v>
      </c>
      <c r="AA6" s="6" t="s">
        <v>114</v>
      </c>
      <c r="AB6" s="6" t="s">
        <v>136</v>
      </c>
      <c r="AC6" s="6" t="s">
        <v>115</v>
      </c>
      <c r="AD6" s="6" t="s">
        <v>116</v>
      </c>
      <c r="AE6" s="6" t="s">
        <v>137</v>
      </c>
      <c r="AF6" s="6" t="s">
        <v>117</v>
      </c>
      <c r="AG6" s="6" t="s">
        <v>119</v>
      </c>
      <c r="AH6" s="6" t="s">
        <v>118</v>
      </c>
      <c r="AI6" s="6"/>
      <c r="AJ6" s="103" t="s">
        <v>138</v>
      </c>
      <c r="AK6" s="103" t="s">
        <v>139</v>
      </c>
      <c r="AL6" s="103" t="s">
        <v>140</v>
      </c>
      <c r="AM6" s="103" t="s">
        <v>141</v>
      </c>
      <c r="AN6" s="103" t="s">
        <v>142</v>
      </c>
      <c r="AO6" s="103" t="s">
        <v>143</v>
      </c>
      <c r="AP6" s="103" t="s">
        <v>144</v>
      </c>
    </row>
    <row r="7" spans="1:42">
      <c r="A7" t="s">
        <v>32</v>
      </c>
      <c r="B7">
        <v>36</v>
      </c>
      <c r="C7">
        <v>260</v>
      </c>
      <c r="E7" s="1">
        <f>2*3.14159*B7*C7</f>
        <v>58810.5648</v>
      </c>
      <c r="F7" s="1">
        <v>3</v>
      </c>
      <c r="G7" s="1">
        <v>12</v>
      </c>
      <c r="H7" s="1">
        <v>4</v>
      </c>
      <c r="I7" s="1">
        <v>1</v>
      </c>
      <c r="J7" s="1"/>
      <c r="K7" s="1">
        <f>F7*G7*H7*I7*12</f>
        <v>1728</v>
      </c>
      <c r="L7" s="1">
        <f>F7*G7*H7*I7*$E$2</f>
        <v>119688192</v>
      </c>
      <c r="M7">
        <f>H7*I7</f>
        <v>4</v>
      </c>
      <c r="N7" t="s">
        <v>22</v>
      </c>
      <c r="O7" s="2">
        <f>8*F7*H7</f>
        <v>96</v>
      </c>
      <c r="Q7">
        <f>F7*H7*8/4</f>
        <v>24</v>
      </c>
      <c r="R7">
        <f>_xlfn.CEILING.MATH(F7*H7*5/10)</f>
        <v>6</v>
      </c>
      <c r="S7" s="20"/>
      <c r="T7" s="7">
        <f>K7*16*500000/1000/1000/1000</f>
        <v>13.824</v>
      </c>
      <c r="U7" s="7">
        <f>T7/O7*1000*8/3</f>
        <v>384</v>
      </c>
      <c r="W7" s="1">
        <f>Rates!B142</f>
        <v>362256</v>
      </c>
      <c r="X7" s="20">
        <f>W7*$H$2*32*1000/1000/1000</f>
        <v>34776.576000000001</v>
      </c>
      <c r="Y7" s="20">
        <f>X7/O7*8/3</f>
        <v>966.01600000000008</v>
      </c>
      <c r="Z7">
        <f>W7/1000</f>
        <v>362.25599999999997</v>
      </c>
      <c r="AA7" s="7">
        <f>Z7/(O7/8*3)</f>
        <v>10.062666666666665</v>
      </c>
      <c r="AB7" s="7">
        <f>Rates!C142*4/1000</f>
        <v>17.803999999999998</v>
      </c>
      <c r="AC7" s="7">
        <f>$M$2*100000*L7/(O7/8*3)/1000000</f>
        <v>0.33246719999999996</v>
      </c>
      <c r="AD7" s="7">
        <f>SUM(AA7:AC7)</f>
        <v>28.199133866666664</v>
      </c>
      <c r="AE7" s="7">
        <f>AB7+AC7</f>
        <v>18.136467199999998</v>
      </c>
      <c r="AF7" s="20">
        <f>$M$2*100000*L7*64/1000/1000</f>
        <v>766.00442880000003</v>
      </c>
      <c r="AG7" s="7">
        <f>$M$2*100000*L7/1000000+Z7</f>
        <v>374.22481919999996</v>
      </c>
      <c r="AH7" s="20">
        <f>X7+AF7</f>
        <v>35542.5804288</v>
      </c>
      <c r="AI7" s="20"/>
      <c r="AJ7" s="104">
        <f>Rates!D142 / ($O7/8*3) / 1000</f>
        <v>2.9638888888888888E-2</v>
      </c>
      <c r="AK7" s="104">
        <f>Rates!E142 / ($O7/8*3) / 1000</f>
        <v>9.9279444444444458</v>
      </c>
      <c r="AL7" s="104">
        <f>Rates!F142 / ($O7/8*3) / 1000</f>
        <v>8.4694444444444447E-2</v>
      </c>
      <c r="AM7" s="104">
        <f>Rates!G142 / ($O7/8*3) / 1000</f>
        <v>8.277777777777778E-3</v>
      </c>
      <c r="AN7" s="104">
        <f>Rates!H142 / ($O7/8*3) / 1000</f>
        <v>8.5277777777777782E-3</v>
      </c>
      <c r="AO7" s="104">
        <f>Rates!I142 / ($O7/8*3) / 1000</f>
        <v>3.5833333333333333E-3</v>
      </c>
      <c r="AP7" s="104">
        <f>SUM(AL7:AO7)</f>
        <v>0.10508333333333332</v>
      </c>
    </row>
    <row r="8" spans="1:42">
      <c r="A8" t="s">
        <v>33</v>
      </c>
      <c r="B8">
        <v>48</v>
      </c>
      <c r="C8">
        <v>260</v>
      </c>
      <c r="E8" s="1">
        <f t="shared" ref="E8:E11" si="0">2*3.14159*B8*C8</f>
        <v>78414.086399999986</v>
      </c>
      <c r="F8" s="1">
        <v>4</v>
      </c>
      <c r="G8" s="1">
        <v>12</v>
      </c>
      <c r="H8" s="1">
        <v>4</v>
      </c>
      <c r="I8" s="1">
        <v>1</v>
      </c>
      <c r="J8" s="1"/>
      <c r="K8" s="1">
        <f t="shared" ref="K8:K11" si="1">F8*G8*H8*I8*12</f>
        <v>2304</v>
      </c>
      <c r="L8" s="1">
        <f>F8*G8*H8*I8*$E$2</f>
        <v>159584256</v>
      </c>
      <c r="M8">
        <f>H8*I8</f>
        <v>4</v>
      </c>
      <c r="N8" t="s">
        <v>22</v>
      </c>
      <c r="O8" s="2">
        <f>8*F8*H8</f>
        <v>128</v>
      </c>
      <c r="Q8">
        <f t="shared" ref="Q8:Q9" si="2">F8*H8*8/4</f>
        <v>32</v>
      </c>
      <c r="R8">
        <f>_xlfn.CEILING.MATH(F8*H8*5/10)</f>
        <v>8</v>
      </c>
      <c r="S8" s="20"/>
      <c r="T8" s="7">
        <f>K8*16*500000/1000/1000/1000</f>
        <v>18.431999999999999</v>
      </c>
      <c r="U8" s="7">
        <f>T8/O8*1000*8/3</f>
        <v>384</v>
      </c>
      <c r="W8" s="1">
        <f>Rates!B143</f>
        <v>252161</v>
      </c>
      <c r="X8" s="20">
        <f>W8*$H$2*32*1000/1000/1000</f>
        <v>24207.455999999998</v>
      </c>
      <c r="Y8" s="20">
        <f>X8/O8*8/3</f>
        <v>504.32199999999995</v>
      </c>
      <c r="Z8">
        <f t="shared" ref="Z8:Z27" si="3">W8/1000</f>
        <v>252.161</v>
      </c>
      <c r="AA8" s="7">
        <f>Z8/(O8/8*3)</f>
        <v>5.253354166666667</v>
      </c>
      <c r="AB8" s="7">
        <f>Rates!C143*4/1000</f>
        <v>8.8840000000000003</v>
      </c>
      <c r="AC8" s="7">
        <f>$M$2*100000*L8/(O8/8*3)/1000000</f>
        <v>0.33246719999999996</v>
      </c>
      <c r="AD8" s="7">
        <f t="shared" ref="AD8:AD27" si="4">SUM(AA8:AC8)</f>
        <v>14.469821366666668</v>
      </c>
      <c r="AE8" s="7">
        <f t="shared" ref="AE8:AE27" si="5">AB8+AC8</f>
        <v>9.2164672000000003</v>
      </c>
      <c r="AF8" s="20">
        <f>$M$2*100000*L8*64/1000/1000</f>
        <v>1021.3392383999999</v>
      </c>
      <c r="AG8" s="7">
        <f>$M$2*100000*L8/1000000+Z8</f>
        <v>268.1194256</v>
      </c>
      <c r="AH8" s="20">
        <f t="shared" ref="AH8:AH27" si="6">X8+AF8</f>
        <v>25228.795238399998</v>
      </c>
      <c r="AI8" s="20"/>
      <c r="AJ8" s="104">
        <f>Rates!D143 / ($O8/8*3) / 1000</f>
        <v>2.0020833333333331E-2</v>
      </c>
      <c r="AK8" s="104">
        <f>Rates!E143 / ($O8/8*3) / 1000</f>
        <v>5.159041666666667</v>
      </c>
      <c r="AL8" s="104">
        <f>Rates!F143 / ($O8/8*3) / 1000</f>
        <v>5.8687499999999997E-2</v>
      </c>
      <c r="AM8" s="104">
        <f>Rates!G143 / ($O8/8*3) / 1000</f>
        <v>4.8124999999999999E-3</v>
      </c>
      <c r="AN8" s="104">
        <f>Rates!H143 / ($O8/8*3) / 1000</f>
        <v>4.9791666666666673E-3</v>
      </c>
      <c r="AO8" s="104">
        <f>Rates!I143 / ($O8/8*3) / 1000</f>
        <v>5.8125E-3</v>
      </c>
      <c r="AP8" s="104">
        <f t="shared" ref="AP8:AP27" si="7">SUM(AL8:AO8)</f>
        <v>7.4291666666666673E-2</v>
      </c>
    </row>
    <row r="9" spans="1:42">
      <c r="A9" t="s">
        <v>34</v>
      </c>
      <c r="B9">
        <v>120</v>
      </c>
      <c r="C9">
        <v>260</v>
      </c>
      <c r="E9" s="1">
        <f t="shared" si="0"/>
        <v>196035.21599999999</v>
      </c>
      <c r="F9" s="1">
        <v>5</v>
      </c>
      <c r="G9" s="1">
        <v>12</v>
      </c>
      <c r="H9" s="1">
        <v>8</v>
      </c>
      <c r="I9" s="1">
        <v>1</v>
      </c>
      <c r="J9" s="1"/>
      <c r="K9" s="1">
        <f t="shared" si="1"/>
        <v>5760</v>
      </c>
      <c r="L9" s="1">
        <f t="shared" ref="L9:L11" si="8">F9*G9*H9*I9*$E$2</f>
        <v>398960640</v>
      </c>
      <c r="M9">
        <f>H9*I9</f>
        <v>8</v>
      </c>
      <c r="N9" t="s">
        <v>22</v>
      </c>
      <c r="O9" s="2">
        <f>8*F9*H9</f>
        <v>320</v>
      </c>
      <c r="Q9">
        <f t="shared" si="2"/>
        <v>80</v>
      </c>
      <c r="R9">
        <f>_xlfn.CEILING.MATH(F9*H9*5/10)</f>
        <v>20</v>
      </c>
      <c r="S9" s="20"/>
      <c r="T9" s="7">
        <f>K9*16*500000/1000/1000/1000</f>
        <v>46.08</v>
      </c>
      <c r="U9" s="7">
        <f>T9/O9*1000*8/3</f>
        <v>384</v>
      </c>
      <c r="W9" s="1">
        <f>Rates!B144</f>
        <v>154604</v>
      </c>
      <c r="X9" s="20">
        <f>W9*$H$2*32*1000/1000/1000</f>
        <v>14841.984</v>
      </c>
      <c r="Y9" s="20">
        <f>X9/O9*8/3</f>
        <v>123.6832</v>
      </c>
      <c r="Z9">
        <f t="shared" si="3"/>
        <v>154.60400000000001</v>
      </c>
      <c r="AA9" s="7">
        <f>Z9/(O9/8*3)</f>
        <v>1.2883666666666669</v>
      </c>
      <c r="AB9" s="7">
        <f>Rates!C144*4/1000</f>
        <v>2.0840000000000001</v>
      </c>
      <c r="AC9" s="7">
        <f>$M$2*100000*L9/(O9/8*3)/1000000</f>
        <v>0.33246720000000002</v>
      </c>
      <c r="AD9" s="7">
        <f t="shared" si="4"/>
        <v>3.7048338666666671</v>
      </c>
      <c r="AE9" s="7">
        <f t="shared" si="5"/>
        <v>2.4164672</v>
      </c>
      <c r="AF9" s="20">
        <f>$M$2*100000*L9*64/1000/1000</f>
        <v>2553.3480959999997</v>
      </c>
      <c r="AG9" s="7">
        <f>$M$2*100000*L9/1000000+Z9</f>
        <v>194.50006400000001</v>
      </c>
      <c r="AH9" s="20">
        <f t="shared" si="6"/>
        <v>17395.332095999998</v>
      </c>
      <c r="AI9" s="20"/>
      <c r="AJ9" s="104">
        <f>Rates!D144 / ($O9/8*3) / 1000</f>
        <v>4.0083333333333334E-3</v>
      </c>
      <c r="AK9" s="104">
        <f>Rates!E144 / ($O9/8*3) / 1000</f>
        <v>1.2720583333333333</v>
      </c>
      <c r="AL9" s="104">
        <f>Rates!F144 / ($O9/8*3) / 1000</f>
        <v>1.0874999999999999E-2</v>
      </c>
      <c r="AM9" s="104">
        <f>Rates!G144 / ($O9/8*3) / 1000</f>
        <v>7.8333333333333336E-4</v>
      </c>
      <c r="AN9" s="104">
        <f>Rates!H144 / ($O9/8*3) / 1000</f>
        <v>3.2499999999999999E-4</v>
      </c>
      <c r="AO9" s="104">
        <f>Rates!I144 / ($O9/8*3) / 1000</f>
        <v>3.2499999999999999E-4</v>
      </c>
      <c r="AP9" s="104">
        <f t="shared" si="7"/>
        <v>1.2308333333333334E-2</v>
      </c>
    </row>
    <row r="10" spans="1:42">
      <c r="A10" t="s">
        <v>35</v>
      </c>
      <c r="B10">
        <v>270</v>
      </c>
      <c r="C10">
        <v>520</v>
      </c>
      <c r="E10" s="1">
        <f t="shared" si="0"/>
        <v>882158.47199999995</v>
      </c>
      <c r="F10" s="1">
        <v>1</v>
      </c>
      <c r="G10" s="1">
        <v>6</v>
      </c>
      <c r="H10" s="1">
        <v>88</v>
      </c>
      <c r="I10" s="1">
        <v>4</v>
      </c>
      <c r="J10" s="1"/>
      <c r="K10" s="1">
        <f t="shared" si="1"/>
        <v>25344</v>
      </c>
      <c r="L10" s="1">
        <f t="shared" si="8"/>
        <v>1755426816</v>
      </c>
      <c r="M10">
        <f>H10*I10</f>
        <v>352</v>
      </c>
      <c r="N10" t="s">
        <v>49</v>
      </c>
      <c r="O10" s="2">
        <f>M10</f>
        <v>352</v>
      </c>
      <c r="P10">
        <v>44</v>
      </c>
      <c r="Q10">
        <f>H10*I10/4</f>
        <v>88</v>
      </c>
      <c r="R10">
        <f>CEILING(H10*I10/4/12,1)*2</f>
        <v>16</v>
      </c>
      <c r="S10" s="20"/>
      <c r="T10" s="7">
        <f>K10*16*500000/1000/1000/1000</f>
        <v>202.75200000000001</v>
      </c>
      <c r="U10" s="7">
        <f>T10/O10*1000</f>
        <v>576.00000000000011</v>
      </c>
      <c r="W10" s="1">
        <f>Rates!B145</f>
        <v>183494</v>
      </c>
      <c r="X10" s="20">
        <f>W10*$H$2*32*1000/1000/1000</f>
        <v>17615.423999999999</v>
      </c>
      <c r="Y10" s="20">
        <f>X10/O10</f>
        <v>50.043818181818182</v>
      </c>
      <c r="Z10">
        <f t="shared" si="3"/>
        <v>183.494</v>
      </c>
      <c r="AA10" s="7">
        <f>Z10/O10</f>
        <v>0.52128977272727273</v>
      </c>
      <c r="AB10" s="7">
        <f>Rates!C145*G10/1000</f>
        <v>1.62</v>
      </c>
      <c r="AC10" s="7">
        <f>$M$2*100000*L10/O10/1000000</f>
        <v>0.4987008</v>
      </c>
      <c r="AD10" s="7">
        <f t="shared" si="4"/>
        <v>2.6399905727272728</v>
      </c>
      <c r="AE10" s="7">
        <f t="shared" si="5"/>
        <v>2.1187008000000001</v>
      </c>
      <c r="AF10" s="20">
        <f>$M$2*100000*L10*64/1000/1000</f>
        <v>11234.731622399999</v>
      </c>
      <c r="AG10" s="7">
        <f>$M$2*100000*L10/1000000+Z10</f>
        <v>359.03668159999995</v>
      </c>
      <c r="AH10" s="20">
        <f t="shared" si="6"/>
        <v>28850.155622399998</v>
      </c>
      <c r="AI10" s="20"/>
      <c r="AJ10" s="104">
        <f>Rates!D145 / $O10 / 1000</f>
        <v>1.6988636363636364E-3</v>
      </c>
      <c r="AK10" s="104">
        <f>Rates!E145 / $O10 / 1000</f>
        <v>0.51723011363636362</v>
      </c>
      <c r="AL10" s="104">
        <f>Rates!F145 / $O10 / 1000</f>
        <v>1.9289772727272727E-3</v>
      </c>
      <c r="AM10" s="104">
        <f>Rates!G145 / $O10 / 1000</f>
        <v>2.2159090909090908E-4</v>
      </c>
      <c r="AN10" s="104">
        <f>Rates!H145 / $O10 / 1000</f>
        <v>1.0227272727272728E-4</v>
      </c>
      <c r="AO10" s="104">
        <f>Rates!I145 / $O10 / 1000</f>
        <v>1.0795454545454545E-4</v>
      </c>
      <c r="AP10" s="104">
        <f t="shared" si="7"/>
        <v>2.3607954545454548E-3</v>
      </c>
    </row>
    <row r="11" spans="1:42">
      <c r="A11" t="s">
        <v>36</v>
      </c>
      <c r="B11">
        <v>420</v>
      </c>
      <c r="C11">
        <v>840</v>
      </c>
      <c r="E11" s="1">
        <f t="shared" si="0"/>
        <v>2216705.9039999996</v>
      </c>
      <c r="F11" s="1">
        <v>1</v>
      </c>
      <c r="G11" s="1">
        <v>5</v>
      </c>
      <c r="H11" s="1">
        <v>140</v>
      </c>
      <c r="I11" s="1">
        <v>8</v>
      </c>
      <c r="J11" s="1"/>
      <c r="K11" s="1">
        <f t="shared" si="1"/>
        <v>67200</v>
      </c>
      <c r="L11" s="1">
        <f t="shared" si="8"/>
        <v>4654540800</v>
      </c>
      <c r="M11">
        <f>H11*I11</f>
        <v>1120</v>
      </c>
      <c r="N11" t="s">
        <v>50</v>
      </c>
      <c r="O11" s="2">
        <f>M11</f>
        <v>1120</v>
      </c>
      <c r="P11">
        <f>H11/2</f>
        <v>70</v>
      </c>
      <c r="Q11">
        <f>H11*I11/4</f>
        <v>280</v>
      </c>
      <c r="R11">
        <f>CEILING(H11*I11/4/12,1)*2</f>
        <v>48</v>
      </c>
      <c r="S11" s="20"/>
      <c r="T11" s="7">
        <f>K11*16*500000/1000/1000/1000</f>
        <v>537.6</v>
      </c>
      <c r="U11" s="7">
        <f>T11/O11*1000</f>
        <v>480.00000000000006</v>
      </c>
      <c r="W11" s="1">
        <f>Rates!B146</f>
        <v>138915</v>
      </c>
      <c r="X11" s="20">
        <f>W11*$H$2*32*1000/1000/1000</f>
        <v>13335.84</v>
      </c>
      <c r="Y11" s="20">
        <f>X11/O11</f>
        <v>11.907</v>
      </c>
      <c r="Z11">
        <f t="shared" si="3"/>
        <v>138.91499999999999</v>
      </c>
      <c r="AA11" s="7">
        <f>Z11/O11</f>
        <v>0.12403125</v>
      </c>
      <c r="AB11" s="7">
        <f>Rates!C146*G11/1000</f>
        <v>0.5</v>
      </c>
      <c r="AC11" s="7">
        <f>$M$2*100000*L11/O11/1000000</f>
        <v>0.41558399999999995</v>
      </c>
      <c r="AD11" s="7">
        <f t="shared" si="4"/>
        <v>1.03961525</v>
      </c>
      <c r="AE11" s="7">
        <f t="shared" si="5"/>
        <v>0.91558399999999995</v>
      </c>
      <c r="AF11" s="20">
        <f>$M$2*100000*L11*64/1000/1000</f>
        <v>29789.061119999998</v>
      </c>
      <c r="AG11" s="7">
        <f>$M$2*100000*L11/1000000+Z11</f>
        <v>604.36907999999994</v>
      </c>
      <c r="AH11" s="20">
        <f t="shared" si="6"/>
        <v>43124.901119999995</v>
      </c>
      <c r="AI11" s="20"/>
      <c r="AJ11" s="104">
        <f>Rates!D146 / $O11 / 1000</f>
        <v>5.0446428571428571E-4</v>
      </c>
      <c r="AK11" s="104">
        <f>Rates!E146 / $O11 / 1000</f>
        <v>0.12264821428571429</v>
      </c>
      <c r="AL11" s="104">
        <f>Rates!F146 / $O11 / 1000</f>
        <v>7.1250000000000003E-4</v>
      </c>
      <c r="AM11" s="104">
        <f>Rates!G146 / $O11 / 1000</f>
        <v>5.0892857142857146E-5</v>
      </c>
      <c r="AN11" s="104">
        <f>Rates!H146 / $O11 / 1000</f>
        <v>4.375E-5</v>
      </c>
      <c r="AO11" s="104">
        <f>Rates!I146 / $O11 / 1000</f>
        <v>7.2321428571428577E-5</v>
      </c>
      <c r="AP11" s="104">
        <f t="shared" si="7"/>
        <v>8.7946428571428561E-4</v>
      </c>
    </row>
    <row r="12" spans="1:42">
      <c r="B12" s="3"/>
      <c r="C12" s="3"/>
      <c r="D12" s="3"/>
      <c r="E12" s="3"/>
      <c r="F12" s="5"/>
      <c r="G12" s="5"/>
      <c r="H12" s="5"/>
      <c r="I12" s="5"/>
      <c r="J12" s="5"/>
      <c r="K12" s="5"/>
      <c r="O12" s="2"/>
      <c r="S12" s="20"/>
      <c r="T12" s="7"/>
      <c r="U12" s="7"/>
      <c r="X12" s="20"/>
      <c r="Y12" s="20"/>
      <c r="AA12" s="7"/>
      <c r="AB12" s="7"/>
      <c r="AC12" s="7"/>
      <c r="AD12" s="7"/>
      <c r="AE12" s="7"/>
      <c r="AF12" s="20"/>
      <c r="AG12" s="7"/>
      <c r="AH12" s="20"/>
      <c r="AI12" s="20"/>
      <c r="AJ12" s="104"/>
      <c r="AK12" s="104"/>
      <c r="AL12" s="104"/>
      <c r="AM12" s="104"/>
      <c r="AN12" s="104"/>
      <c r="AO12" s="104"/>
      <c r="AP12" s="104"/>
    </row>
    <row r="13" spans="1:42">
      <c r="A13" s="3" t="s">
        <v>4</v>
      </c>
      <c r="E13" s="1"/>
      <c r="F13" s="1"/>
      <c r="G13" s="1"/>
      <c r="H13" s="1"/>
      <c r="I13" s="1"/>
      <c r="J13" s="1"/>
      <c r="K13" s="1"/>
      <c r="O13" s="2"/>
      <c r="S13" s="20"/>
      <c r="T13" s="7"/>
      <c r="U13" s="7"/>
      <c r="X13" s="20"/>
      <c r="Y13" s="20"/>
      <c r="AA13" s="7"/>
      <c r="AB13" s="7"/>
      <c r="AC13" s="7"/>
      <c r="AD13" s="7"/>
      <c r="AE13" s="7"/>
      <c r="AF13" s="20"/>
      <c r="AG13" s="7"/>
      <c r="AH13" s="20"/>
      <c r="AI13" s="20"/>
      <c r="AJ13" s="104"/>
      <c r="AK13" s="104"/>
      <c r="AL13" s="104"/>
      <c r="AM13" s="104"/>
      <c r="AN13" s="104"/>
      <c r="AO13" s="104"/>
      <c r="AP13" s="104"/>
    </row>
    <row r="14" spans="1:42" ht="28.8">
      <c r="A14" s="3" t="s">
        <v>5</v>
      </c>
      <c r="B14" s="3" t="s">
        <v>3</v>
      </c>
      <c r="C14" s="3" t="s">
        <v>6</v>
      </c>
      <c r="D14" s="9" t="s">
        <v>7</v>
      </c>
      <c r="E14" s="1"/>
      <c r="F14" s="11"/>
      <c r="G14" s="11" t="s">
        <v>50</v>
      </c>
      <c r="H14" s="11" t="s">
        <v>51</v>
      </c>
      <c r="I14" s="1"/>
      <c r="J14" s="1"/>
      <c r="K14" s="1"/>
      <c r="O14" s="2"/>
      <c r="P14" s="6" t="s">
        <v>54</v>
      </c>
      <c r="S14" s="20"/>
      <c r="T14" s="7"/>
      <c r="U14" s="7"/>
      <c r="X14" s="20"/>
      <c r="Y14" s="20"/>
      <c r="AA14" s="7"/>
      <c r="AB14" s="7"/>
      <c r="AC14" s="7"/>
      <c r="AD14" s="7"/>
      <c r="AE14" s="7"/>
      <c r="AF14" s="20"/>
      <c r="AG14" s="7"/>
      <c r="AH14" s="20"/>
      <c r="AI14" s="20"/>
      <c r="AJ14" s="104"/>
      <c r="AK14" s="104"/>
      <c r="AL14" s="104"/>
      <c r="AM14" s="104"/>
      <c r="AN14" s="104"/>
      <c r="AO14" s="104"/>
      <c r="AP14" s="104"/>
    </row>
    <row r="15" spans="1:42">
      <c r="A15" t="s">
        <v>39</v>
      </c>
      <c r="B15">
        <v>-250</v>
      </c>
      <c r="C15">
        <v>36.76</v>
      </c>
      <c r="D15">
        <v>240</v>
      </c>
      <c r="E15" s="1">
        <f>(3.14159*D15*D15) - (3.14159*C15*C15)</f>
        <v>176710.36097281601</v>
      </c>
      <c r="F15" s="12"/>
      <c r="G15" s="12">
        <v>96</v>
      </c>
      <c r="H15" s="12">
        <v>0</v>
      </c>
      <c r="I15" s="1"/>
      <c r="J15" s="1"/>
      <c r="K15" s="1">
        <f>G15*5*12</f>
        <v>5760</v>
      </c>
      <c r="L15" s="1">
        <f>(G15*5+H15*6)*$E$2</f>
        <v>398960640</v>
      </c>
      <c r="M15" s="1">
        <f>SUM(F15:H15)</f>
        <v>96</v>
      </c>
      <c r="N15" t="s">
        <v>50</v>
      </c>
      <c r="O15" s="2">
        <f t="shared" ref="O15:O27" si="9">M15</f>
        <v>96</v>
      </c>
      <c r="P15">
        <v>26</v>
      </c>
      <c r="Q15">
        <f>P15</f>
        <v>26</v>
      </c>
      <c r="R15">
        <f>CEILING(P15/2/12, 1)*2*2</f>
        <v>8</v>
      </c>
      <c r="S15" s="20"/>
      <c r="T15" s="7">
        <f>K15*16*500000/1000/1000/1000</f>
        <v>46.08</v>
      </c>
      <c r="U15" s="7">
        <f>T15/O15*1000</f>
        <v>480</v>
      </c>
      <c r="W15" s="1">
        <f>Rates!B136</f>
        <v>130914</v>
      </c>
      <c r="X15" s="20">
        <f>W15*$H$2*32*1000/1000/1000</f>
        <v>12567.744000000001</v>
      </c>
      <c r="Y15" s="20">
        <f>X15/O15</f>
        <v>130.91400000000002</v>
      </c>
      <c r="Z15">
        <f t="shared" si="3"/>
        <v>130.91399999999999</v>
      </c>
      <c r="AA15" s="7">
        <f>Z15/O15</f>
        <v>1.3636874999999999</v>
      </c>
      <c r="AB15" s="7">
        <f>Rates!C136*5/1000</f>
        <v>7.97</v>
      </c>
      <c r="AC15" s="7">
        <f>$M$2*100000*L15/O15/1000000</f>
        <v>0.41558400000000001</v>
      </c>
      <c r="AD15" s="7">
        <f t="shared" si="4"/>
        <v>9.7492715000000008</v>
      </c>
      <c r="AE15" s="7">
        <f t="shared" si="5"/>
        <v>8.3855839999999997</v>
      </c>
      <c r="AF15" s="20">
        <f>$M$2*100000*L15*64/1000/1000</f>
        <v>2553.3480959999997</v>
      </c>
      <c r="AG15" s="7">
        <f>$M$2*100000*L15/1000000+Z15</f>
        <v>170.81006399999998</v>
      </c>
      <c r="AH15" s="20">
        <f t="shared" si="6"/>
        <v>15121.092096</v>
      </c>
      <c r="AI15" s="20"/>
      <c r="AJ15" s="104">
        <f>Rates!D136 / $O15 / 1000</f>
        <v>4.8958333333333328E-3</v>
      </c>
      <c r="AK15" s="104">
        <f>Rates!E136 / $O15 / 1000</f>
        <v>1.3308333333333333</v>
      </c>
      <c r="AL15" s="104">
        <f>Rates!F136 / $O15 / 1000</f>
        <v>2.1916666666666668E-2</v>
      </c>
      <c r="AM15" s="104">
        <f>Rates!G136 / $O15 / 1000</f>
        <v>2.0416666666666665E-3</v>
      </c>
      <c r="AN15" s="104">
        <f>Rates!H136 / $O15 / 1000</f>
        <v>1.3333333333333333E-3</v>
      </c>
      <c r="AO15" s="104">
        <f>Rates!I136 / $O15 / 1000</f>
        <v>2.6562500000000002E-3</v>
      </c>
      <c r="AP15" s="104">
        <f t="shared" si="7"/>
        <v>2.7947916666666666E-2</v>
      </c>
    </row>
    <row r="16" spans="1:42">
      <c r="A16" t="s">
        <v>40</v>
      </c>
      <c r="B16">
        <v>-450</v>
      </c>
      <c r="C16">
        <v>36.76</v>
      </c>
      <c r="D16">
        <v>415</v>
      </c>
      <c r="E16" s="1">
        <f t="shared" ref="E16:E27" si="10">(3.14159*D16*D16) - (3.14159*C16*C16)</f>
        <v>536815.11472281592</v>
      </c>
      <c r="F16" s="12"/>
      <c r="G16" s="12">
        <v>334</v>
      </c>
      <c r="H16" s="12">
        <v>0</v>
      </c>
      <c r="I16" s="1"/>
      <c r="J16" s="1"/>
      <c r="K16" s="1">
        <f t="shared" ref="K16:K27" si="11">G16*5*12</f>
        <v>20040</v>
      </c>
      <c r="L16" s="1">
        <f t="shared" ref="L16:L27" si="12">(G16*5+H16*6)*$E$2</f>
        <v>1388050560</v>
      </c>
      <c r="M16" s="1">
        <f t="shared" ref="M16:M27" si="13">SUM(F16:H16)</f>
        <v>334</v>
      </c>
      <c r="N16" t="s">
        <v>50</v>
      </c>
      <c r="O16" s="2">
        <f t="shared" si="9"/>
        <v>334</v>
      </c>
      <c r="P16">
        <v>96</v>
      </c>
      <c r="Q16">
        <f>P16</f>
        <v>96</v>
      </c>
      <c r="R16">
        <f>P16/12*2</f>
        <v>16</v>
      </c>
      <c r="S16" s="20"/>
      <c r="T16" s="7">
        <f>K16*16*500000/1000/1000/1000</f>
        <v>160.32</v>
      </c>
      <c r="U16" s="7">
        <f>T16/O16*1000</f>
        <v>480</v>
      </c>
      <c r="W16" s="1">
        <f>Rates!B135</f>
        <v>233208</v>
      </c>
      <c r="X16" s="20">
        <f>W16*$H$2*32*1000/1000/1000</f>
        <v>22387.968000000001</v>
      </c>
      <c r="Y16" s="20">
        <f>X16/O16</f>
        <v>67.029844311377246</v>
      </c>
      <c r="Z16">
        <f t="shared" si="3"/>
        <v>233.208</v>
      </c>
      <c r="AA16" s="7">
        <f>Z16/O16</f>
        <v>0.69822754491017969</v>
      </c>
      <c r="AB16" s="7">
        <f>Rates!C135*5/1000</f>
        <v>8.2050000000000001</v>
      </c>
      <c r="AC16" s="7">
        <f>$M$2*100000*L16/O16/1000000</f>
        <v>0.41558400000000001</v>
      </c>
      <c r="AD16" s="7">
        <f t="shared" si="4"/>
        <v>9.3188115449101812</v>
      </c>
      <c r="AE16" s="7">
        <f t="shared" si="5"/>
        <v>8.6205840000000009</v>
      </c>
      <c r="AF16" s="20">
        <f>$M$2*100000*L16*64/1000/1000</f>
        <v>8883.5235840000005</v>
      </c>
      <c r="AG16" s="7">
        <f>$M$2*100000*L16/1000000+Z16</f>
        <v>372.01305600000001</v>
      </c>
      <c r="AH16" s="20">
        <f t="shared" si="6"/>
        <v>31271.491584000003</v>
      </c>
      <c r="AI16" s="20"/>
      <c r="AJ16" s="104">
        <f>Rates!D135 / $O16 / 1000</f>
        <v>2.2784431137724552E-3</v>
      </c>
      <c r="AK16" s="104">
        <f>Rates!E135 / $O16 / 1000</f>
        <v>0.68661676646706582</v>
      </c>
      <c r="AL16" s="104">
        <f>Rates!F135 / $O16 / 1000</f>
        <v>7.275449101796407E-3</v>
      </c>
      <c r="AM16" s="104">
        <f>Rates!G135 / $O16 / 1000</f>
        <v>7.125748502994012E-4</v>
      </c>
      <c r="AN16" s="104">
        <f>Rates!H135 / $O16 / 1000</f>
        <v>4.5508982035928142E-4</v>
      </c>
      <c r="AO16" s="104">
        <f>Rates!I135 / $O16 / 1000</f>
        <v>8.892215568862275E-4</v>
      </c>
      <c r="AP16" s="104">
        <f t="shared" si="7"/>
        <v>9.332335329341317E-3</v>
      </c>
    </row>
    <row r="17" spans="1:42">
      <c r="A17" t="s">
        <v>41</v>
      </c>
      <c r="B17">
        <v>-650</v>
      </c>
      <c r="C17">
        <v>36.76</v>
      </c>
      <c r="D17">
        <v>421.4</v>
      </c>
      <c r="E17" s="1">
        <f t="shared" si="10"/>
        <v>553631.92032921594</v>
      </c>
      <c r="F17" s="12"/>
      <c r="G17" s="12">
        <v>334</v>
      </c>
      <c r="H17" s="12">
        <v>0</v>
      </c>
      <c r="I17" s="1"/>
      <c r="J17" s="1"/>
      <c r="K17" s="1">
        <f t="shared" si="11"/>
        <v>20040</v>
      </c>
      <c r="L17" s="1">
        <f t="shared" si="12"/>
        <v>1388050560</v>
      </c>
      <c r="M17" s="1">
        <f t="shared" si="13"/>
        <v>334</v>
      </c>
      <c r="N17" t="s">
        <v>50</v>
      </c>
      <c r="O17" s="2">
        <f t="shared" si="9"/>
        <v>334</v>
      </c>
      <c r="P17">
        <v>96</v>
      </c>
      <c r="Q17">
        <f t="shared" ref="Q17:Q27" si="14">P17</f>
        <v>96</v>
      </c>
      <c r="R17">
        <f t="shared" ref="R17:R19" si="15">P17/12*2</f>
        <v>16</v>
      </c>
      <c r="S17" s="20"/>
      <c r="T17" s="7">
        <f>K17*16*500000/1000/1000/1000</f>
        <v>160.32</v>
      </c>
      <c r="U17" s="7">
        <f>T17/O17*1000</f>
        <v>480</v>
      </c>
      <c r="W17" s="1">
        <f>Rates!B134</f>
        <v>225029</v>
      </c>
      <c r="X17" s="20">
        <f>W17*$H$2*32*1000/1000/1000</f>
        <v>21602.784</v>
      </c>
      <c r="Y17" s="20">
        <f>X17/O17</f>
        <v>64.678994011976044</v>
      </c>
      <c r="Z17">
        <f t="shared" si="3"/>
        <v>225.029</v>
      </c>
      <c r="AA17" s="7">
        <f>Z17/O17</f>
        <v>0.67373952095808387</v>
      </c>
      <c r="AB17" s="7">
        <f>Rates!C134*5/1000</f>
        <v>6.68</v>
      </c>
      <c r="AC17" s="7">
        <f>$M$2*100000*L17/O17/1000000</f>
        <v>0.41558400000000001</v>
      </c>
      <c r="AD17" s="7">
        <f t="shared" si="4"/>
        <v>7.7693235209580838</v>
      </c>
      <c r="AE17" s="7">
        <f t="shared" si="5"/>
        <v>7.0955839999999997</v>
      </c>
      <c r="AF17" s="20">
        <f>$M$2*100000*L17*64/1000/1000</f>
        <v>8883.5235840000005</v>
      </c>
      <c r="AG17" s="7">
        <f>$M$2*100000*L17/1000000+Z17</f>
        <v>363.83405600000003</v>
      </c>
      <c r="AH17" s="20">
        <f t="shared" si="6"/>
        <v>30486.307584000002</v>
      </c>
      <c r="AI17" s="20"/>
      <c r="AJ17" s="104">
        <f>Rates!D134 / $O17 / 1000</f>
        <v>2.2215568862275449E-3</v>
      </c>
      <c r="AK17" s="104">
        <f>Rates!E134 / $O17 / 1000</f>
        <v>0.66213473053892213</v>
      </c>
      <c r="AL17" s="104">
        <f>Rates!F134 / $O17 / 1000</f>
        <v>7.3532934131736527E-3</v>
      </c>
      <c r="AM17" s="104">
        <f>Rates!G134 / $O17 / 1000</f>
        <v>6.9461077844311381E-4</v>
      </c>
      <c r="AN17" s="104">
        <f>Rates!H134 / $O17 / 1000</f>
        <v>4.2215568862275448E-4</v>
      </c>
      <c r="AO17" s="104">
        <f>Rates!I134 / $O17 / 1000</f>
        <v>9.1017964071856284E-4</v>
      </c>
      <c r="AP17" s="104">
        <f t="shared" si="7"/>
        <v>9.3802395209580825E-3</v>
      </c>
    </row>
    <row r="18" spans="1:42">
      <c r="A18" t="s">
        <v>42</v>
      </c>
      <c r="B18">
        <v>-850</v>
      </c>
      <c r="C18">
        <v>40.061399999999999</v>
      </c>
      <c r="D18">
        <v>421.4</v>
      </c>
      <c r="E18" s="1">
        <f t="shared" si="10"/>
        <v>552835.15602265135</v>
      </c>
      <c r="F18" s="12"/>
      <c r="G18" s="12">
        <v>334</v>
      </c>
      <c r="H18" s="12">
        <v>0</v>
      </c>
      <c r="I18" s="1"/>
      <c r="J18" s="1"/>
      <c r="K18" s="1">
        <f t="shared" si="11"/>
        <v>20040</v>
      </c>
      <c r="L18" s="1">
        <f t="shared" si="12"/>
        <v>1388050560</v>
      </c>
      <c r="M18" s="1">
        <f t="shared" si="13"/>
        <v>334</v>
      </c>
      <c r="N18" t="s">
        <v>50</v>
      </c>
      <c r="O18" s="2">
        <f t="shared" si="9"/>
        <v>334</v>
      </c>
      <c r="P18">
        <v>96</v>
      </c>
      <c r="Q18">
        <f t="shared" si="14"/>
        <v>96</v>
      </c>
      <c r="R18">
        <f t="shared" si="15"/>
        <v>16</v>
      </c>
      <c r="S18" s="20"/>
      <c r="T18" s="7">
        <f>K18*16*500000/1000/1000/1000</f>
        <v>160.32</v>
      </c>
      <c r="U18" s="7">
        <f>T18/O18*1000</f>
        <v>480</v>
      </c>
      <c r="W18" s="1">
        <f>Rates!B133</f>
        <v>146187</v>
      </c>
      <c r="X18" s="20">
        <f>W18*$H$2*32*1000/1000/1000</f>
        <v>14033.951999999999</v>
      </c>
      <c r="Y18" s="20">
        <f>X18/O18</f>
        <v>42.017820359281437</v>
      </c>
      <c r="Z18">
        <f t="shared" si="3"/>
        <v>146.18700000000001</v>
      </c>
      <c r="AA18" s="7">
        <f>Z18/O18</f>
        <v>0.43768562874251499</v>
      </c>
      <c r="AB18" s="7">
        <f>Rates!C133*5/1000</f>
        <v>1.85</v>
      </c>
      <c r="AC18" s="7">
        <f>$M$2*100000*L18/O18/1000000</f>
        <v>0.41558400000000001</v>
      </c>
      <c r="AD18" s="7">
        <f t="shared" si="4"/>
        <v>2.7032696287425151</v>
      </c>
      <c r="AE18" s="7">
        <f t="shared" si="5"/>
        <v>2.265584</v>
      </c>
      <c r="AF18" s="20">
        <f>$M$2*100000*L18*64/1000/1000</f>
        <v>8883.5235840000005</v>
      </c>
      <c r="AG18" s="7">
        <f>$M$2*100000*L18/1000000+Z18</f>
        <v>284.99205600000005</v>
      </c>
      <c r="AH18" s="20">
        <f t="shared" si="6"/>
        <v>22917.475584</v>
      </c>
      <c r="AI18" s="20"/>
      <c r="AJ18" s="104">
        <f>Rates!D133 / $O18 / 1000</f>
        <v>2.0988023952095806E-3</v>
      </c>
      <c r="AK18" s="104">
        <f>Rates!E133 / $O18 / 1000</f>
        <v>0.42629940119760479</v>
      </c>
      <c r="AL18" s="104">
        <f>Rates!F133 / $O18 / 1000</f>
        <v>7.1796407185628743E-3</v>
      </c>
      <c r="AM18" s="104">
        <f>Rates!G133 / $O18 / 1000</f>
        <v>7.0359281437125756E-4</v>
      </c>
      <c r="AN18" s="104">
        <f>Rates!H133 / $O18 / 1000</f>
        <v>4.6107784431137727E-4</v>
      </c>
      <c r="AO18" s="104">
        <f>Rates!I133 / $O18 / 1000</f>
        <v>9.4610778443113774E-4</v>
      </c>
      <c r="AP18" s="104">
        <f t="shared" si="7"/>
        <v>9.2904191616766472E-3</v>
      </c>
    </row>
    <row r="19" spans="1:42">
      <c r="A19" t="s">
        <v>43</v>
      </c>
      <c r="B19">
        <v>-1050</v>
      </c>
      <c r="C19">
        <v>46.352899999999998</v>
      </c>
      <c r="D19">
        <v>421.4</v>
      </c>
      <c r="E19" s="1">
        <f t="shared" si="10"/>
        <v>551127.15029356454</v>
      </c>
      <c r="F19" s="12"/>
      <c r="G19" s="12">
        <v>334</v>
      </c>
      <c r="H19" s="12">
        <v>0</v>
      </c>
      <c r="I19" s="1"/>
      <c r="J19" s="1"/>
      <c r="K19" s="1">
        <f t="shared" si="11"/>
        <v>20040</v>
      </c>
      <c r="L19" s="1">
        <f t="shared" si="12"/>
        <v>1388050560</v>
      </c>
      <c r="M19" s="1">
        <f t="shared" si="13"/>
        <v>334</v>
      </c>
      <c r="N19" t="s">
        <v>50</v>
      </c>
      <c r="O19" s="2">
        <f t="shared" si="9"/>
        <v>334</v>
      </c>
      <c r="P19">
        <v>96</v>
      </c>
      <c r="Q19">
        <f t="shared" si="14"/>
        <v>96</v>
      </c>
      <c r="R19">
        <f t="shared" si="15"/>
        <v>16</v>
      </c>
      <c r="S19" s="20"/>
      <c r="T19" s="7">
        <f>K19*16*500000/1000/1000/1000</f>
        <v>160.32</v>
      </c>
      <c r="U19" s="7">
        <f>T19/O19*1000</f>
        <v>480</v>
      </c>
      <c r="W19" s="1">
        <f>Rates!B132</f>
        <v>32767</v>
      </c>
      <c r="X19" s="20">
        <f>W19*$H$2*32*1000/1000/1000</f>
        <v>3145.6320000000001</v>
      </c>
      <c r="Y19" s="20">
        <f>X19/O19</f>
        <v>9.4180598802395217</v>
      </c>
      <c r="Z19">
        <f t="shared" si="3"/>
        <v>32.767000000000003</v>
      </c>
      <c r="AA19" s="7">
        <f>Z19/O19</f>
        <v>9.8104790419161689E-2</v>
      </c>
      <c r="AB19" s="7">
        <f>Rates!C132*5/1000</f>
        <v>0.375</v>
      </c>
      <c r="AC19" s="7">
        <f>$M$2*100000*L19/O19/1000000</f>
        <v>0.41558400000000001</v>
      </c>
      <c r="AD19" s="7">
        <f t="shared" si="4"/>
        <v>0.88868879041916171</v>
      </c>
      <c r="AE19" s="7">
        <f t="shared" si="5"/>
        <v>0.79058399999999995</v>
      </c>
      <c r="AF19" s="20">
        <f>$M$2*100000*L19*64/1000/1000</f>
        <v>8883.5235840000005</v>
      </c>
      <c r="AG19" s="76">
        <f>$M$2*100000*L19/1000000+Z19</f>
        <v>171.572056</v>
      </c>
      <c r="AH19" s="77">
        <f t="shared" si="6"/>
        <v>12029.155584</v>
      </c>
      <c r="AI19" s="20"/>
      <c r="AJ19" s="104">
        <f>Rates!D132 / $O19 / 1000</f>
        <v>2.0479041916167664E-3</v>
      </c>
      <c r="AK19" s="104">
        <f>Rates!E132 / $O19 / 1000</f>
        <v>8.7559880239520965E-2</v>
      </c>
      <c r="AL19" s="104">
        <f>Rates!F132 / $O19 / 1000</f>
        <v>6.5179640718562876E-3</v>
      </c>
      <c r="AM19" s="104">
        <f>Rates!G132 / $O19 / 1000</f>
        <v>6.5269461077844312E-4</v>
      </c>
      <c r="AN19" s="104">
        <f>Rates!H132 / $O19 / 1000</f>
        <v>3.9820359281437124E-4</v>
      </c>
      <c r="AO19" s="104">
        <f>Rates!I132 / $O19 / 1000</f>
        <v>9.3113772455089819E-4</v>
      </c>
      <c r="AP19" s="104">
        <f t="shared" si="7"/>
        <v>8.5000000000000006E-3</v>
      </c>
    </row>
    <row r="20" spans="1:42">
      <c r="E20" s="1"/>
      <c r="F20" s="12"/>
      <c r="G20" s="12"/>
      <c r="H20" s="12"/>
      <c r="I20" s="1"/>
      <c r="J20" s="1"/>
      <c r="K20" s="1"/>
      <c r="L20" s="1"/>
      <c r="M20" s="1"/>
      <c r="O20" s="2"/>
      <c r="S20" s="20"/>
      <c r="T20" s="7"/>
      <c r="U20" s="7"/>
      <c r="X20" s="20"/>
      <c r="Y20" s="20"/>
      <c r="AC20" s="21"/>
      <c r="AD20" s="21"/>
      <c r="AE20" s="7"/>
      <c r="AF20" s="75" t="s">
        <v>121</v>
      </c>
      <c r="AG20" s="21">
        <f>SUM(AG15:AG19)</f>
        <v>1363.2212880000002</v>
      </c>
      <c r="AH20" s="14">
        <f>SUM(AH15:AH19)</f>
        <v>111825.522432</v>
      </c>
      <c r="AI20" s="14"/>
      <c r="AJ20" s="104"/>
      <c r="AK20" s="104"/>
      <c r="AL20" s="104"/>
      <c r="AM20" s="104"/>
      <c r="AN20" s="104"/>
      <c r="AO20" s="104"/>
      <c r="AP20" s="104"/>
    </row>
    <row r="21" spans="1:42">
      <c r="A21" s="3" t="s">
        <v>8</v>
      </c>
      <c r="E21" s="1"/>
      <c r="F21" s="12"/>
      <c r="G21" s="12"/>
      <c r="H21" s="12"/>
      <c r="I21" s="1"/>
      <c r="J21" s="1"/>
      <c r="K21" s="1"/>
      <c r="L21" s="1"/>
      <c r="M21" s="1"/>
      <c r="O21" s="2"/>
      <c r="S21" s="20"/>
      <c r="T21" s="7"/>
      <c r="U21" s="7"/>
      <c r="X21" s="20"/>
      <c r="Y21" s="20"/>
      <c r="AA21" s="7"/>
      <c r="AB21" s="7"/>
      <c r="AC21" s="7"/>
      <c r="AD21" s="7"/>
      <c r="AE21" s="7"/>
      <c r="AF21" s="20"/>
      <c r="AG21" s="7"/>
      <c r="AH21" s="20"/>
      <c r="AI21" s="20"/>
      <c r="AJ21" s="104"/>
      <c r="AK21" s="104"/>
      <c r="AL21" s="104"/>
      <c r="AM21" s="104"/>
      <c r="AN21" s="104"/>
      <c r="AO21" s="104"/>
      <c r="AP21" s="104"/>
    </row>
    <row r="22" spans="1:42">
      <c r="A22" s="3" t="s">
        <v>5</v>
      </c>
      <c r="B22" s="3"/>
      <c r="C22" s="3"/>
      <c r="D22" s="3"/>
      <c r="E22" s="1"/>
      <c r="F22" s="12"/>
      <c r="G22" s="12"/>
      <c r="H22" s="12"/>
      <c r="I22" s="1"/>
      <c r="J22" s="1"/>
      <c r="K22" s="1"/>
      <c r="L22" s="1"/>
      <c r="M22" s="1"/>
      <c r="O22" s="2"/>
      <c r="S22" s="20"/>
      <c r="T22" s="7"/>
      <c r="U22" s="7"/>
      <c r="X22" s="20"/>
      <c r="Y22" s="20"/>
      <c r="AA22" s="7"/>
      <c r="AB22" s="7"/>
      <c r="AC22" s="7"/>
      <c r="AD22" s="7"/>
      <c r="AE22" s="7"/>
      <c r="AF22" s="20"/>
      <c r="AG22" s="7"/>
      <c r="AH22" s="20"/>
      <c r="AI22" s="20"/>
      <c r="AJ22" s="104"/>
      <c r="AK22" s="104"/>
      <c r="AL22" s="104"/>
      <c r="AM22" s="104"/>
      <c r="AN22" s="104"/>
      <c r="AO22" s="104"/>
      <c r="AP22" s="104"/>
    </row>
    <row r="23" spans="1:42">
      <c r="A23" t="s">
        <v>44</v>
      </c>
      <c r="B23">
        <v>250</v>
      </c>
      <c r="C23">
        <v>36.76</v>
      </c>
      <c r="D23">
        <v>240</v>
      </c>
      <c r="E23" s="1">
        <f t="shared" si="10"/>
        <v>176710.36097281601</v>
      </c>
      <c r="F23" s="12"/>
      <c r="G23" s="12">
        <v>96</v>
      </c>
      <c r="H23" s="12">
        <v>0</v>
      </c>
      <c r="I23" s="1"/>
      <c r="J23" s="1"/>
      <c r="K23" s="1">
        <f t="shared" si="11"/>
        <v>5760</v>
      </c>
      <c r="L23" s="1">
        <f t="shared" si="12"/>
        <v>398960640</v>
      </c>
      <c r="M23" s="1">
        <f t="shared" si="13"/>
        <v>96</v>
      </c>
      <c r="N23" t="s">
        <v>50</v>
      </c>
      <c r="O23" s="2">
        <f t="shared" si="9"/>
        <v>96</v>
      </c>
      <c r="P23">
        <v>26</v>
      </c>
      <c r="Q23">
        <f t="shared" si="14"/>
        <v>26</v>
      </c>
      <c r="R23">
        <f>CEILING(P23/2/12, 1)*2*2</f>
        <v>8</v>
      </c>
      <c r="S23" s="20"/>
      <c r="T23" s="7">
        <f>K23*16*500000/1000/1000/1000</f>
        <v>46.08</v>
      </c>
      <c r="U23" s="7">
        <f>T23/O23*1000</f>
        <v>480</v>
      </c>
      <c r="W23" s="1">
        <f>Rates!B137</f>
        <v>112586</v>
      </c>
      <c r="X23" s="20">
        <f>W23*$H$2*32*1000/1000/1000</f>
        <v>10808.255999999999</v>
      </c>
      <c r="Y23" s="20">
        <f>X23/O23</f>
        <v>112.586</v>
      </c>
      <c r="Z23">
        <f t="shared" si="3"/>
        <v>112.586</v>
      </c>
      <c r="AA23" s="7">
        <f>Z23/O23</f>
        <v>1.1727708333333333</v>
      </c>
      <c r="AB23" s="7">
        <f>Rates!C137*5/1000</f>
        <v>7.1050000000000004</v>
      </c>
      <c r="AC23" s="7">
        <f>$M$2*100000*L23/O23/1000000</f>
        <v>0.41558400000000001</v>
      </c>
      <c r="AD23" s="7">
        <f t="shared" si="4"/>
        <v>8.6933548333333341</v>
      </c>
      <c r="AE23" s="7">
        <f t="shared" si="5"/>
        <v>7.5205840000000004</v>
      </c>
      <c r="AF23" s="20">
        <f>$M$2*100000*L23*64/1000/1000</f>
        <v>2553.3480959999997</v>
      </c>
      <c r="AG23" s="7">
        <f>$M$2*100000*L23/1000000+Z23</f>
        <v>152.48206400000001</v>
      </c>
      <c r="AH23" s="20">
        <f t="shared" si="6"/>
        <v>13361.604095999999</v>
      </c>
      <c r="AI23" s="20"/>
      <c r="AJ23" s="104">
        <f>Rates!D137 / $O23 / 1000</f>
        <v>9.3854166666666669E-3</v>
      </c>
      <c r="AK23" s="104">
        <f>Rates!E137 / $O23 / 1000</f>
        <v>1.13471875</v>
      </c>
      <c r="AL23" s="104">
        <f>Rates!F137 / $O23 / 1000</f>
        <v>2.2677083333333334E-2</v>
      </c>
      <c r="AM23" s="104">
        <f>Rates!G137 / $O23 / 1000</f>
        <v>2.0729166666666665E-3</v>
      </c>
      <c r="AN23" s="104">
        <f>Rates!H137 / $O23 / 1000</f>
        <v>1.3229166666666667E-3</v>
      </c>
      <c r="AO23" s="104">
        <f>Rates!I137 / $O23 / 1000</f>
        <v>2.5937500000000001E-3</v>
      </c>
      <c r="AP23" s="104">
        <f t="shared" si="7"/>
        <v>2.8666666666666667E-2</v>
      </c>
    </row>
    <row r="24" spans="1:42">
      <c r="A24" t="s">
        <v>45</v>
      </c>
      <c r="B24">
        <v>450</v>
      </c>
      <c r="C24">
        <v>36.76</v>
      </c>
      <c r="D24">
        <v>415</v>
      </c>
      <c r="E24" s="1">
        <f t="shared" si="10"/>
        <v>536815.11472281592</v>
      </c>
      <c r="F24" s="12"/>
      <c r="G24" s="12">
        <v>334</v>
      </c>
      <c r="H24" s="12">
        <v>0</v>
      </c>
      <c r="I24" s="1"/>
      <c r="J24" s="1"/>
      <c r="K24" s="1">
        <f t="shared" si="11"/>
        <v>20040</v>
      </c>
      <c r="L24" s="1">
        <f t="shared" si="12"/>
        <v>1388050560</v>
      </c>
      <c r="M24" s="1">
        <f t="shared" si="13"/>
        <v>334</v>
      </c>
      <c r="N24" t="s">
        <v>50</v>
      </c>
      <c r="O24" s="2">
        <f t="shared" si="9"/>
        <v>334</v>
      </c>
      <c r="P24">
        <v>96</v>
      </c>
      <c r="Q24">
        <f t="shared" si="14"/>
        <v>96</v>
      </c>
      <c r="R24">
        <f>P24/12*2</f>
        <v>16</v>
      </c>
      <c r="S24" s="20"/>
      <c r="T24" s="7">
        <f>K24*16*500000/1000/1000/1000</f>
        <v>160.32</v>
      </c>
      <c r="U24" s="7">
        <f>T24/O24*1000</f>
        <v>480</v>
      </c>
      <c r="W24" s="1">
        <f>Rates!B138</f>
        <v>156696</v>
      </c>
      <c r="X24" s="20">
        <f>W24*$H$2*32*1000/1000/1000</f>
        <v>15042.816000000001</v>
      </c>
      <c r="Y24" s="20">
        <f>X24/O24</f>
        <v>45.038371257485032</v>
      </c>
      <c r="Z24">
        <f t="shared" si="3"/>
        <v>156.696</v>
      </c>
      <c r="AA24" s="7">
        <f>Z24/O24</f>
        <v>0.4691497005988024</v>
      </c>
      <c r="AB24" s="7">
        <f>Rates!C138*5/1000</f>
        <v>6.35</v>
      </c>
      <c r="AC24" s="7">
        <f>$M$2*100000*L24/O24/1000000</f>
        <v>0.41558400000000001</v>
      </c>
      <c r="AD24" s="7">
        <f t="shared" si="4"/>
        <v>7.2347337005988024</v>
      </c>
      <c r="AE24" s="7">
        <f t="shared" si="5"/>
        <v>6.7655839999999996</v>
      </c>
      <c r="AF24" s="20">
        <f>$M$2*100000*L24*64/1000/1000</f>
        <v>8883.5235840000005</v>
      </c>
      <c r="AG24" s="7">
        <f>$M$2*100000*L24/1000000+Z24</f>
        <v>295.50105600000001</v>
      </c>
      <c r="AH24" s="20">
        <f t="shared" si="6"/>
        <v>23926.339584000001</v>
      </c>
      <c r="AI24" s="20"/>
      <c r="AJ24" s="104">
        <f>Rates!D138 / $O24 / 1000</f>
        <v>4.1347305389221557E-3</v>
      </c>
      <c r="AK24" s="104">
        <f>Rates!E138 / $O24 / 1000</f>
        <v>0.45565269461077845</v>
      </c>
      <c r="AL24" s="104">
        <f>Rates!F138 / $O24 / 1000</f>
        <v>7.3532934131736527E-3</v>
      </c>
      <c r="AM24" s="104">
        <f>Rates!G138 / $O24 / 1000</f>
        <v>7.1556886227544915E-4</v>
      </c>
      <c r="AN24" s="104">
        <f>Rates!H138 / $O24 / 1000</f>
        <v>3.8622754491017964E-4</v>
      </c>
      <c r="AO24" s="104">
        <f>Rates!I138 / $O24 / 1000</f>
        <v>9.0419161676646704E-4</v>
      </c>
      <c r="AP24" s="104">
        <f t="shared" si="7"/>
        <v>9.3592814371257476E-3</v>
      </c>
    </row>
    <row r="25" spans="1:42">
      <c r="A25" t="s">
        <v>46</v>
      </c>
      <c r="B25">
        <v>700</v>
      </c>
      <c r="C25">
        <v>38.520000000000003</v>
      </c>
      <c r="D25">
        <v>421.4</v>
      </c>
      <c r="E25" s="1">
        <f t="shared" si="10"/>
        <v>553215.68227366393</v>
      </c>
      <c r="F25" s="12"/>
      <c r="G25" s="12">
        <v>334</v>
      </c>
      <c r="H25" s="12">
        <v>0</v>
      </c>
      <c r="I25" s="1"/>
      <c r="J25" s="1"/>
      <c r="K25" s="1">
        <f t="shared" si="11"/>
        <v>20040</v>
      </c>
      <c r="L25" s="1">
        <f t="shared" si="12"/>
        <v>1388050560</v>
      </c>
      <c r="M25" s="1">
        <f t="shared" si="13"/>
        <v>334</v>
      </c>
      <c r="N25" t="s">
        <v>50</v>
      </c>
      <c r="O25" s="2">
        <f t="shared" si="9"/>
        <v>334</v>
      </c>
      <c r="P25">
        <v>96</v>
      </c>
      <c r="Q25">
        <f t="shared" si="14"/>
        <v>96</v>
      </c>
      <c r="R25">
        <f t="shared" ref="R25:R27" si="16">P25/12*2</f>
        <v>16</v>
      </c>
      <c r="S25" s="20"/>
      <c r="T25" s="7">
        <f>K25*16*500000/1000/1000/1000</f>
        <v>160.32</v>
      </c>
      <c r="U25" s="7">
        <f>T25/O25*1000</f>
        <v>480</v>
      </c>
      <c r="W25" s="1">
        <f>Rates!B139</f>
        <v>37582</v>
      </c>
      <c r="X25" s="20">
        <f>W25*$H$2*32*1000/1000/1000</f>
        <v>3607.8719999999998</v>
      </c>
      <c r="Y25" s="20">
        <f>X25/O25</f>
        <v>10.802011976047904</v>
      </c>
      <c r="Z25">
        <f t="shared" si="3"/>
        <v>37.582000000000001</v>
      </c>
      <c r="AA25" s="7">
        <f>Z25/O25</f>
        <v>0.11252095808383233</v>
      </c>
      <c r="AB25" s="7">
        <f>Rates!C139*5/1000</f>
        <v>0.9</v>
      </c>
      <c r="AC25" s="7">
        <f>$M$2*100000*L25/O25/1000000</f>
        <v>0.41558400000000001</v>
      </c>
      <c r="AD25" s="7">
        <f t="shared" si="4"/>
        <v>1.4281049580838323</v>
      </c>
      <c r="AE25" s="7">
        <f t="shared" si="5"/>
        <v>1.3155840000000001</v>
      </c>
      <c r="AF25" s="20">
        <f>$M$2*100000*L25*64/1000/1000</f>
        <v>8883.5235840000005</v>
      </c>
      <c r="AG25" s="7">
        <f>$M$2*100000*L25/1000000+Z25</f>
        <v>176.387056</v>
      </c>
      <c r="AH25" s="20">
        <f t="shared" si="6"/>
        <v>12491.395584</v>
      </c>
      <c r="AI25" s="20"/>
      <c r="AJ25" s="104">
        <f>Rates!D139 / $O25 / 1000</f>
        <v>5.6257485029940126E-3</v>
      </c>
      <c r="AK25" s="104">
        <f>Rates!E139 / $O25 / 1000</f>
        <v>9.7613772455089814E-2</v>
      </c>
      <c r="AL25" s="104">
        <f>Rates!F139 / $O25 / 1000</f>
        <v>7.3383233532934135E-3</v>
      </c>
      <c r="AM25" s="104">
        <f>Rates!G139 / $O25 / 1000</f>
        <v>7.125748502994012E-4</v>
      </c>
      <c r="AN25" s="104">
        <f>Rates!H139 / $O25 / 1000</f>
        <v>3.532934131736527E-4</v>
      </c>
      <c r="AO25" s="104">
        <f>Rates!I139 / $O25 / 1000</f>
        <v>8.772455089820359E-4</v>
      </c>
      <c r="AP25" s="104">
        <f t="shared" si="7"/>
        <v>9.2814371257485036E-3</v>
      </c>
    </row>
    <row r="26" spans="1:42">
      <c r="A26" t="s">
        <v>47</v>
      </c>
      <c r="B26">
        <v>1000</v>
      </c>
      <c r="C26">
        <v>53.43</v>
      </c>
      <c r="D26">
        <v>421.4</v>
      </c>
      <c r="E26" s="1">
        <f t="shared" si="10"/>
        <v>548908.64249420899</v>
      </c>
      <c r="F26" s="12"/>
      <c r="G26" s="12">
        <v>334</v>
      </c>
      <c r="H26" s="12">
        <v>0</v>
      </c>
      <c r="I26" s="1"/>
      <c r="J26" s="1"/>
      <c r="K26" s="1">
        <f t="shared" si="11"/>
        <v>20040</v>
      </c>
      <c r="L26" s="1">
        <f t="shared" si="12"/>
        <v>1388050560</v>
      </c>
      <c r="M26" s="1">
        <f t="shared" si="13"/>
        <v>334</v>
      </c>
      <c r="N26" t="s">
        <v>50</v>
      </c>
      <c r="O26" s="2">
        <f t="shared" si="9"/>
        <v>334</v>
      </c>
      <c r="P26">
        <v>96</v>
      </c>
      <c r="Q26">
        <f t="shared" si="14"/>
        <v>96</v>
      </c>
      <c r="R26">
        <f t="shared" si="16"/>
        <v>16</v>
      </c>
      <c r="S26" s="20"/>
      <c r="T26" s="7">
        <f>K26*16*500000/1000/1000/1000</f>
        <v>160.32</v>
      </c>
      <c r="U26" s="7">
        <f>T26/O26*1000</f>
        <v>480</v>
      </c>
      <c r="W26" s="1">
        <f>Rates!B140</f>
        <v>8362</v>
      </c>
      <c r="X26" s="20">
        <f>W26*$H$2*32*1000/1000/1000</f>
        <v>802.75199999999995</v>
      </c>
      <c r="Y26" s="20">
        <f>X26/O26</f>
        <v>2.403449101796407</v>
      </c>
      <c r="Z26">
        <f t="shared" si="3"/>
        <v>8.3620000000000001</v>
      </c>
      <c r="AA26" s="7">
        <f>Z26/O26</f>
        <v>2.5035928143712576E-2</v>
      </c>
      <c r="AB26" s="7">
        <f>Rates!C140*5/1000</f>
        <v>0.85</v>
      </c>
      <c r="AC26" s="7">
        <f>$M$2*100000*L26/O26/1000000</f>
        <v>0.41558400000000001</v>
      </c>
      <c r="AD26" s="7">
        <f t="shared" si="4"/>
        <v>1.2906199281437125</v>
      </c>
      <c r="AE26" s="7">
        <f t="shared" si="5"/>
        <v>1.265584</v>
      </c>
      <c r="AF26" s="20">
        <f>$M$2*100000*L26*64/1000/1000</f>
        <v>8883.5235840000005</v>
      </c>
      <c r="AG26" s="7">
        <f>$M$2*100000*L26/1000000+Z26</f>
        <v>147.167056</v>
      </c>
      <c r="AH26" s="20">
        <f t="shared" si="6"/>
        <v>9686.2755840000009</v>
      </c>
      <c r="AI26" s="20"/>
      <c r="AJ26" s="104">
        <f>Rates!D140 / $O26 / 1000</f>
        <v>9.0089820359281429E-3</v>
      </c>
      <c r="AK26" s="104">
        <f>Rates!E140 / $O26 / 1000</f>
        <v>7.8862275449101803E-3</v>
      </c>
      <c r="AL26" s="104">
        <f>Rates!F140 / $O26 / 1000</f>
        <v>6.4730538922155691E-3</v>
      </c>
      <c r="AM26" s="104">
        <f>Rates!G140 / $O26 / 1000</f>
        <v>6.3473053892215572E-4</v>
      </c>
      <c r="AN26" s="104">
        <f>Rates!H140 / $O26 / 1000</f>
        <v>2.5449101796407188E-4</v>
      </c>
      <c r="AO26" s="104">
        <f>Rates!I140 / $O26 / 1000</f>
        <v>7.7844311377245508E-4</v>
      </c>
      <c r="AP26" s="104">
        <f t="shared" si="7"/>
        <v>8.1407185628742523E-3</v>
      </c>
    </row>
    <row r="27" spans="1:42">
      <c r="A27" t="s">
        <v>48</v>
      </c>
      <c r="B27">
        <v>1350</v>
      </c>
      <c r="C27">
        <v>70.14</v>
      </c>
      <c r="D27">
        <v>421.4</v>
      </c>
      <c r="E27" s="1">
        <f t="shared" si="10"/>
        <v>542421.71561723598</v>
      </c>
      <c r="F27" s="12"/>
      <c r="G27" s="12">
        <v>334</v>
      </c>
      <c r="H27" s="12">
        <v>0</v>
      </c>
      <c r="I27" s="1"/>
      <c r="J27" s="1"/>
      <c r="K27" s="1">
        <f t="shared" si="11"/>
        <v>20040</v>
      </c>
      <c r="L27" s="1">
        <f t="shared" si="12"/>
        <v>1388050560</v>
      </c>
      <c r="M27" s="1">
        <f t="shared" si="13"/>
        <v>334</v>
      </c>
      <c r="N27" t="s">
        <v>50</v>
      </c>
      <c r="O27" s="2">
        <f t="shared" si="9"/>
        <v>334</v>
      </c>
      <c r="P27">
        <v>96</v>
      </c>
      <c r="Q27">
        <f t="shared" si="14"/>
        <v>96</v>
      </c>
      <c r="R27">
        <f t="shared" si="16"/>
        <v>16</v>
      </c>
      <c r="S27" s="20"/>
      <c r="T27" s="7">
        <f>K27*16*500000/1000/1000/1000</f>
        <v>160.32</v>
      </c>
      <c r="U27" s="7">
        <f>T27/O27*1000</f>
        <v>480</v>
      </c>
      <c r="W27" s="1">
        <f>Rates!B141</f>
        <v>6431</v>
      </c>
      <c r="X27" s="20">
        <f>W27*$H$2*32*1000/1000/1000</f>
        <v>617.37599999999998</v>
      </c>
      <c r="Y27" s="20">
        <f>X27/O27</f>
        <v>1.8484311377245508</v>
      </c>
      <c r="Z27">
        <f t="shared" si="3"/>
        <v>6.431</v>
      </c>
      <c r="AA27" s="7">
        <f>Z27/O27</f>
        <v>1.9254491017964073E-2</v>
      </c>
      <c r="AB27" s="7">
        <f>Rates!C141*5/1000</f>
        <v>0.77500000000000002</v>
      </c>
      <c r="AC27" s="7">
        <f>$M$2*100000*L27/O27/1000000</f>
        <v>0.41558400000000001</v>
      </c>
      <c r="AD27" s="7">
        <f t="shared" si="4"/>
        <v>1.209838491017964</v>
      </c>
      <c r="AE27" s="7">
        <f t="shared" si="5"/>
        <v>1.1905840000000001</v>
      </c>
      <c r="AF27" s="20">
        <f>$M$2*100000*L27*64/1000/1000</f>
        <v>8883.5235840000005</v>
      </c>
      <c r="AG27" s="76">
        <f>$M$2*100000*L27/1000000+Z27</f>
        <v>145.23605600000002</v>
      </c>
      <c r="AH27" s="77">
        <f t="shared" si="6"/>
        <v>9500.8995840000007</v>
      </c>
      <c r="AI27" s="20"/>
      <c r="AJ27" s="104">
        <f>Rates!D141 / $O27 / 1000</f>
        <v>9.5838323353293429E-3</v>
      </c>
      <c r="AK27" s="104">
        <f>Rates!E141 / $O27 / 1000</f>
        <v>2.2095808383233535E-3</v>
      </c>
      <c r="AL27" s="104">
        <f>Rates!F141 / $O27 / 1000</f>
        <v>6.0059880239520958E-3</v>
      </c>
      <c r="AM27" s="104">
        <f>Rates!G141 / $O27 / 1000</f>
        <v>5.9580838323353288E-4</v>
      </c>
      <c r="AN27" s="104">
        <f>Rates!H141 / $O27 / 1000</f>
        <v>1.8562874251497005E-4</v>
      </c>
      <c r="AO27" s="104">
        <f>Rates!I141 / $O27 / 1000</f>
        <v>6.7365269461077846E-4</v>
      </c>
      <c r="AP27" s="104">
        <f t="shared" si="7"/>
        <v>7.4610778443113777E-3</v>
      </c>
    </row>
    <row r="28" spans="1:42">
      <c r="E28" s="1"/>
      <c r="F28" s="1"/>
      <c r="G28" s="1"/>
      <c r="H28" s="1"/>
      <c r="I28" s="1"/>
      <c r="J28" s="1"/>
      <c r="K28" s="1"/>
      <c r="O28" s="2"/>
      <c r="AC28" s="21"/>
      <c r="AD28" s="21"/>
      <c r="AE28" s="21"/>
      <c r="AF28" s="74" t="s">
        <v>121</v>
      </c>
      <c r="AG28" s="21">
        <f>SUM(AG23:AG27)</f>
        <v>916.77328800000009</v>
      </c>
      <c r="AH28" s="14">
        <f>SUM(AH23:AH27)</f>
        <v>68966.514431999996</v>
      </c>
      <c r="AI28" s="14"/>
      <c r="AJ28" s="104"/>
      <c r="AK28" s="104"/>
      <c r="AL28" s="104"/>
      <c r="AM28" s="104"/>
      <c r="AN28" s="104"/>
      <c r="AO28" s="104"/>
    </row>
    <row r="29" spans="1:42">
      <c r="E29" s="1"/>
      <c r="F29" s="1"/>
      <c r="G29" s="1"/>
      <c r="H29" s="1"/>
      <c r="I29" s="1"/>
      <c r="J29" s="1"/>
      <c r="K29" s="1"/>
      <c r="O29" s="2"/>
    </row>
    <row r="30" spans="1:42">
      <c r="A30" s="3" t="s">
        <v>16</v>
      </c>
      <c r="E30" s="5">
        <f>SUM(E7:E27)</f>
        <v>8161315.4616218042</v>
      </c>
      <c r="F30" s="1"/>
      <c r="G30" s="1"/>
      <c r="H30" s="1"/>
      <c r="I30" s="1"/>
      <c r="J30" s="1"/>
      <c r="K30" s="5">
        <f>SUM(K7:K27)</f>
        <v>274176</v>
      </c>
      <c r="L30" s="5">
        <f>SUM(L7:L27)</f>
        <v>18990526464</v>
      </c>
      <c r="M30" s="3">
        <f>SUM(M7:M27)</f>
        <v>4352</v>
      </c>
      <c r="N30" s="3"/>
      <c r="O30" s="4">
        <f>SUM(O7:O27)</f>
        <v>4880</v>
      </c>
      <c r="Q30" s="3">
        <f>SUM(Q7:Q27)</f>
        <v>1324</v>
      </c>
      <c r="R30" s="3">
        <f>SUM(R7:R27)</f>
        <v>242</v>
      </c>
      <c r="T30" s="3" t="s">
        <v>61</v>
      </c>
      <c r="W30" s="15">
        <f>SUM(W7:W27)*1000</f>
        <v>2181192000</v>
      </c>
      <c r="X30" s="3" t="s">
        <v>28</v>
      </c>
    </row>
    <row r="31" spans="1:42">
      <c r="T31" s="22">
        <f>SUM(T7:T27)</f>
        <v>2193.4079999999999</v>
      </c>
      <c r="U31" s="3" t="s">
        <v>27</v>
      </c>
      <c r="W31" s="14">
        <f>W30*$H$2*32/1000/1000/1000</f>
        <v>209.39443199999999</v>
      </c>
      <c r="X31" s="3" t="s">
        <v>27</v>
      </c>
      <c r="AF31" s="14">
        <f>SUM(AF7:AF27)/1000</f>
        <v>121.53936936959997</v>
      </c>
      <c r="AG31" s="3" t="s">
        <v>27</v>
      </c>
      <c r="AH31" s="14">
        <f>(SUM(AH7:AH11)+AH20+AH28)/1000</f>
        <v>330.93380136960002</v>
      </c>
      <c r="AI31" s="3" t="s">
        <v>27</v>
      </c>
    </row>
    <row r="32" spans="1:42">
      <c r="L32" s="3" t="s">
        <v>23</v>
      </c>
      <c r="M32" s="3">
        <f>SUM(M10:M27)+H7*F7+H8*F8+H9*F9</f>
        <v>4404</v>
      </c>
      <c r="N32" s="10"/>
      <c r="O32" s="3"/>
      <c r="R32" s="13"/>
    </row>
    <row r="33" spans="1:14">
      <c r="A33" s="2"/>
      <c r="N33" s="10"/>
    </row>
  </sheetData>
  <mergeCells count="2">
    <mergeCell ref="F5:G5"/>
    <mergeCell ref="W5:AH5"/>
  </mergeCells>
  <phoneticPr fontId="2" type="noConversion"/>
  <pageMargins left="0.7" right="0.7" top="0.75" bottom="0.75" header="0.3" footer="0.3"/>
  <pageSetup paperSize="5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07BB-A454-47F2-8A37-13EB95E42064}">
  <dimension ref="A1:Y166"/>
  <sheetViews>
    <sheetView tabSelected="1" topLeftCell="A114" workbookViewId="0">
      <selection activeCell="C149" sqref="C149"/>
    </sheetView>
  </sheetViews>
  <sheetFormatPr defaultRowHeight="14.4"/>
  <cols>
    <col min="1" max="1" width="14.88671875" customWidth="1"/>
    <col min="2" max="2" width="16.5546875" customWidth="1"/>
    <col min="3" max="3" width="12.109375" customWidth="1"/>
    <col min="4" max="4" width="12.21875" customWidth="1"/>
    <col min="5" max="5" width="11.88671875" customWidth="1"/>
    <col min="6" max="6" width="14.109375" customWidth="1"/>
    <col min="7" max="7" width="10.109375" customWidth="1"/>
    <col min="8" max="8" width="10.5546875" customWidth="1"/>
    <col min="9" max="9" width="11.21875" customWidth="1"/>
  </cols>
  <sheetData>
    <row r="1" spans="1:4" ht="17.399999999999999">
      <c r="A1" s="16"/>
      <c r="B1" s="17" t="s">
        <v>31</v>
      </c>
      <c r="C1" s="17" t="s">
        <v>37</v>
      </c>
      <c r="D1" s="17" t="s">
        <v>38</v>
      </c>
    </row>
    <row r="2" spans="1:4" ht="15.6">
      <c r="A2" s="17" t="s">
        <v>32</v>
      </c>
      <c r="B2" s="18">
        <v>4500000</v>
      </c>
      <c r="C2" s="19">
        <v>610.73</v>
      </c>
      <c r="D2" s="18">
        <f>B2/C2</f>
        <v>7368.231460710952</v>
      </c>
    </row>
    <row r="3" spans="1:4" ht="15.6">
      <c r="A3" s="17" t="s">
        <v>33</v>
      </c>
      <c r="B3" s="18">
        <v>4850000</v>
      </c>
      <c r="C3" s="19">
        <v>814.3</v>
      </c>
      <c r="D3" s="18">
        <f t="shared" ref="D3:D6" si="0">B3/C3</f>
        <v>5956.0358590200176</v>
      </c>
    </row>
    <row r="4" spans="1:4" ht="15.6">
      <c r="A4" s="17" t="s">
        <v>34</v>
      </c>
      <c r="B4" s="18">
        <v>1410000</v>
      </c>
      <c r="C4" s="19">
        <v>2035.75</v>
      </c>
      <c r="D4" s="18">
        <f t="shared" si="0"/>
        <v>692.6194277293381</v>
      </c>
    </row>
    <row r="5" spans="1:4" ht="15.6">
      <c r="A5" s="17" t="s">
        <v>35</v>
      </c>
      <c r="B5" s="18">
        <v>855000</v>
      </c>
      <c r="C5" s="19">
        <v>9160.8799999999992</v>
      </c>
      <c r="D5" s="18">
        <f t="shared" si="0"/>
        <v>93.331644994803995</v>
      </c>
    </row>
    <row r="6" spans="1:4" ht="15.6">
      <c r="A6" s="17" t="s">
        <v>36</v>
      </c>
      <c r="B6" s="18">
        <v>889000</v>
      </c>
      <c r="C6" s="19">
        <v>22167.08</v>
      </c>
      <c r="D6" s="18">
        <f t="shared" si="0"/>
        <v>40.104515344375528</v>
      </c>
    </row>
    <row r="8" spans="1:4" ht="17.399999999999999">
      <c r="A8" s="16"/>
      <c r="B8" s="17" t="s">
        <v>31</v>
      </c>
      <c r="C8" s="17" t="s">
        <v>37</v>
      </c>
      <c r="D8" s="17" t="s">
        <v>38</v>
      </c>
    </row>
    <row r="9" spans="1:4" ht="15.6">
      <c r="A9" s="17" t="s">
        <v>39</v>
      </c>
      <c r="B9" s="18">
        <v>366000</v>
      </c>
      <c r="C9" s="19">
        <v>1767.11</v>
      </c>
      <c r="D9" s="18">
        <f>B9/C9</f>
        <v>207.11783646745252</v>
      </c>
    </row>
    <row r="10" spans="1:4" ht="15.6">
      <c r="A10" s="17" t="s">
        <v>40</v>
      </c>
      <c r="B10" s="18">
        <v>4000000</v>
      </c>
      <c r="C10" s="19">
        <v>5368.16</v>
      </c>
      <c r="D10" s="18">
        <f t="shared" ref="D10:D13" si="1">B10/C10</f>
        <v>745.13427319602999</v>
      </c>
    </row>
    <row r="11" spans="1:4" ht="15.6">
      <c r="A11" s="17" t="s">
        <v>41</v>
      </c>
      <c r="B11" s="18">
        <v>3970000</v>
      </c>
      <c r="C11" s="19">
        <v>5536.32</v>
      </c>
      <c r="D11" s="18">
        <f t="shared" si="1"/>
        <v>717.08282758222072</v>
      </c>
    </row>
    <row r="12" spans="1:4" ht="15.6">
      <c r="A12" s="17" t="s">
        <v>42</v>
      </c>
      <c r="B12" s="18">
        <v>3740000</v>
      </c>
      <c r="C12" s="19">
        <v>5532.26</v>
      </c>
      <c r="D12" s="18">
        <f t="shared" si="1"/>
        <v>676.03474890912571</v>
      </c>
    </row>
    <row r="13" spans="1:4" ht="15.6">
      <c r="A13" s="17" t="s">
        <v>43</v>
      </c>
      <c r="B13" s="18">
        <v>3350000</v>
      </c>
      <c r="C13" s="19">
        <v>5524.62</v>
      </c>
      <c r="D13" s="18">
        <f t="shared" si="1"/>
        <v>606.37654716523491</v>
      </c>
    </row>
    <row r="16" spans="1:4" ht="17.399999999999999">
      <c r="A16" s="16"/>
      <c r="B16" s="17" t="s">
        <v>31</v>
      </c>
      <c r="C16" s="17" t="s">
        <v>37</v>
      </c>
      <c r="D16" s="17" t="s">
        <v>38</v>
      </c>
    </row>
    <row r="17" spans="1:5" ht="15.6">
      <c r="A17" s="17" t="s">
        <v>44</v>
      </c>
      <c r="B17" s="18">
        <v>3920000</v>
      </c>
      <c r="C17" s="19">
        <v>1767.11</v>
      </c>
      <c r="D17" s="18">
        <f>B17/C17</f>
        <v>2218.3112539683439</v>
      </c>
    </row>
    <row r="18" spans="1:5" ht="15.6">
      <c r="A18" s="17" t="s">
        <v>45</v>
      </c>
      <c r="B18" s="18">
        <v>4450000</v>
      </c>
      <c r="C18" s="19">
        <v>5368.16</v>
      </c>
      <c r="D18" s="18">
        <f t="shared" ref="D18:D21" si="2">B18/C18</f>
        <v>828.96187893058334</v>
      </c>
    </row>
    <row r="19" spans="1:5" ht="15.6">
      <c r="A19" s="17" t="s">
        <v>46</v>
      </c>
      <c r="B19" s="18">
        <v>4480000</v>
      </c>
      <c r="C19" s="19">
        <v>5533.75</v>
      </c>
      <c r="D19" s="18">
        <f t="shared" si="2"/>
        <v>809.57759204879153</v>
      </c>
    </row>
    <row r="20" spans="1:5" ht="15.6">
      <c r="A20" s="17" t="s">
        <v>47</v>
      </c>
      <c r="B20" s="18">
        <v>3830000</v>
      </c>
      <c r="C20" s="19">
        <v>5513.51</v>
      </c>
      <c r="D20" s="18">
        <f t="shared" si="2"/>
        <v>694.65730541887103</v>
      </c>
    </row>
    <row r="21" spans="1:5" ht="15.6">
      <c r="A21" s="17" t="s">
        <v>48</v>
      </c>
      <c r="B21" s="18">
        <v>3250000</v>
      </c>
      <c r="C21" s="19">
        <v>5486.76</v>
      </c>
      <c r="D21" s="18">
        <f t="shared" si="2"/>
        <v>592.33500280675662</v>
      </c>
    </row>
    <row r="24" spans="1:5" ht="15.6">
      <c r="A24" s="23" t="s">
        <v>62</v>
      </c>
    </row>
    <row r="25" spans="1:5" ht="15" thickBot="1"/>
    <row r="26" spans="1:5" ht="15" thickBot="1">
      <c r="A26" s="24"/>
      <c r="B26" s="24"/>
      <c r="C26" s="24"/>
    </row>
    <row r="27" spans="1:5" ht="15" thickBot="1">
      <c r="A27" s="25" t="s">
        <v>63</v>
      </c>
      <c r="B27" s="24"/>
      <c r="C27" s="24"/>
    </row>
    <row r="28" spans="1:5" ht="31.2" customHeight="1" thickBot="1">
      <c r="A28" s="106" t="s">
        <v>81</v>
      </c>
      <c r="B28" s="107"/>
      <c r="C28" s="107"/>
      <c r="D28" s="109" t="s">
        <v>99</v>
      </c>
      <c r="E28" s="109"/>
    </row>
    <row r="29" spans="1:5" ht="15" thickBot="1">
      <c r="A29" s="26" t="s">
        <v>64</v>
      </c>
      <c r="B29" s="27" t="s">
        <v>65</v>
      </c>
      <c r="C29" s="28"/>
    </row>
    <row r="30" spans="1:5" ht="29.4" thickBot="1">
      <c r="A30" s="29" t="s">
        <v>66</v>
      </c>
      <c r="B30" s="30" t="s">
        <v>67</v>
      </c>
      <c r="C30" s="33" t="s">
        <v>68</v>
      </c>
      <c r="D30" s="35" t="s">
        <v>67</v>
      </c>
      <c r="E30" s="36" t="s">
        <v>68</v>
      </c>
    </row>
    <row r="31" spans="1:5" ht="15" thickBot="1">
      <c r="A31" s="31" t="s">
        <v>32</v>
      </c>
      <c r="B31" s="31">
        <v>7150</v>
      </c>
      <c r="C31" s="34">
        <v>81</v>
      </c>
      <c r="D31" s="37">
        <v>185569</v>
      </c>
      <c r="E31" s="37">
        <v>2365</v>
      </c>
    </row>
    <row r="32" spans="1:5" ht="15" thickBot="1">
      <c r="A32" s="31" t="s">
        <v>33</v>
      </c>
      <c r="B32" s="31">
        <v>7674</v>
      </c>
      <c r="C32" s="34">
        <v>67</v>
      </c>
      <c r="D32" s="37">
        <v>110276</v>
      </c>
      <c r="E32" s="37">
        <v>958</v>
      </c>
    </row>
    <row r="33" spans="1:5" ht="15" thickBot="1">
      <c r="A33" s="31" t="s">
        <v>34</v>
      </c>
      <c r="B33" s="31">
        <v>2652</v>
      </c>
      <c r="C33" s="34">
        <v>19</v>
      </c>
      <c r="D33" s="37">
        <v>56410</v>
      </c>
      <c r="E33" s="37">
        <v>197</v>
      </c>
    </row>
    <row r="34" spans="1:5" ht="15" thickBot="1">
      <c r="A34" s="31" t="s">
        <v>35</v>
      </c>
      <c r="B34" s="31">
        <v>1791</v>
      </c>
      <c r="C34" s="34">
        <v>13</v>
      </c>
      <c r="D34" s="37">
        <v>21120</v>
      </c>
      <c r="E34" s="37">
        <v>45</v>
      </c>
    </row>
    <row r="35" spans="1:5" ht="15" thickBot="1">
      <c r="A35" s="31" t="s">
        <v>36</v>
      </c>
      <c r="B35" s="31">
        <v>1698</v>
      </c>
      <c r="C35" s="34">
        <v>11</v>
      </c>
      <c r="D35" s="37">
        <v>5056</v>
      </c>
      <c r="E35" s="37">
        <v>9</v>
      </c>
    </row>
    <row r="36" spans="1:5" ht="15" thickBot="1">
      <c r="A36" s="31" t="s">
        <v>69</v>
      </c>
      <c r="B36" s="31">
        <v>3502</v>
      </c>
      <c r="C36" s="34">
        <v>78</v>
      </c>
      <c r="D36" s="37">
        <v>8758</v>
      </c>
      <c r="E36" s="37">
        <v>23</v>
      </c>
    </row>
    <row r="37" spans="1:5" ht="15" thickBot="1">
      <c r="A37" s="31" t="s">
        <v>70</v>
      </c>
      <c r="B37" s="31">
        <v>3851</v>
      </c>
      <c r="C37" s="34">
        <v>135</v>
      </c>
      <c r="D37" s="37">
        <v>56499</v>
      </c>
      <c r="E37" s="37">
        <v>176</v>
      </c>
    </row>
    <row r="38" spans="1:5" ht="15" thickBot="1">
      <c r="A38" s="31" t="s">
        <v>71</v>
      </c>
      <c r="B38" s="31">
        <v>3931</v>
      </c>
      <c r="C38" s="34">
        <v>91</v>
      </c>
      <c r="D38" s="37">
        <v>84881</v>
      </c>
      <c r="E38" s="37">
        <v>620</v>
      </c>
    </row>
    <row r="39" spans="1:5" ht="15" thickBot="1">
      <c r="A39" s="31" t="s">
        <v>72</v>
      </c>
      <c r="B39" s="31">
        <v>3885</v>
      </c>
      <c r="C39" s="34">
        <v>100</v>
      </c>
      <c r="D39" s="37">
        <v>87629</v>
      </c>
      <c r="E39" s="37">
        <v>657</v>
      </c>
    </row>
    <row r="40" spans="1:5" ht="15" thickBot="1">
      <c r="A40" s="31" t="s">
        <v>73</v>
      </c>
      <c r="B40" s="31">
        <v>3231</v>
      </c>
      <c r="C40" s="34">
        <v>105</v>
      </c>
      <c r="D40" s="37">
        <v>49947</v>
      </c>
      <c r="E40" s="37">
        <v>729</v>
      </c>
    </row>
    <row r="41" spans="1:5" ht="15" thickBot="1">
      <c r="A41" s="31" t="s">
        <v>74</v>
      </c>
      <c r="B41" s="31">
        <v>3860</v>
      </c>
      <c r="C41" s="34">
        <v>139</v>
      </c>
      <c r="D41" s="37">
        <v>46378</v>
      </c>
      <c r="E41" s="37">
        <v>553</v>
      </c>
    </row>
    <row r="42" spans="1:5" ht="15" thickBot="1">
      <c r="A42" s="31" t="s">
        <v>75</v>
      </c>
      <c r="B42" s="31">
        <v>4706</v>
      </c>
      <c r="C42" s="34">
        <v>155</v>
      </c>
      <c r="D42" s="37">
        <v>57993</v>
      </c>
      <c r="E42" s="37">
        <v>541</v>
      </c>
    </row>
    <row r="43" spans="1:5" ht="15" thickBot="1">
      <c r="A43" s="31" t="s">
        <v>76</v>
      </c>
      <c r="B43" s="31">
        <v>5226</v>
      </c>
      <c r="C43" s="34">
        <v>195</v>
      </c>
      <c r="D43" s="37">
        <v>17126</v>
      </c>
      <c r="E43" s="37">
        <v>110</v>
      </c>
    </row>
    <row r="44" spans="1:5" ht="15" thickBot="1">
      <c r="A44" s="31" t="s">
        <v>77</v>
      </c>
      <c r="B44" s="31">
        <v>5601</v>
      </c>
      <c r="C44" s="34">
        <v>130</v>
      </c>
      <c r="D44" s="37">
        <v>4585</v>
      </c>
      <c r="E44" s="37">
        <v>132</v>
      </c>
    </row>
    <row r="45" spans="1:5" ht="15" thickBot="1">
      <c r="A45" s="31" t="s">
        <v>78</v>
      </c>
      <c r="B45" s="31">
        <v>5535</v>
      </c>
      <c r="C45" s="34">
        <v>94</v>
      </c>
      <c r="D45" s="37">
        <v>4079</v>
      </c>
      <c r="E45" s="37">
        <v>79</v>
      </c>
    </row>
    <row r="46" spans="1:5" ht="15" thickBot="1">
      <c r="A46" s="28"/>
      <c r="B46" s="24"/>
      <c r="C46" s="24"/>
    </row>
    <row r="47" spans="1:5" ht="31.2" customHeight="1" thickBot="1">
      <c r="A47" s="106" t="s">
        <v>82</v>
      </c>
      <c r="B47" s="107"/>
      <c r="C47" s="108"/>
    </row>
    <row r="48" spans="1:5" ht="15" thickBot="1">
      <c r="A48" s="32" t="s">
        <v>64</v>
      </c>
      <c r="B48" s="27" t="s">
        <v>79</v>
      </c>
      <c r="C48" s="28"/>
    </row>
    <row r="49" spans="1:3" ht="27.6" thickBot="1">
      <c r="A49" s="29" t="s">
        <v>66</v>
      </c>
      <c r="B49" s="30" t="s">
        <v>67</v>
      </c>
      <c r="C49" s="30" t="s">
        <v>68</v>
      </c>
    </row>
    <row r="50" spans="1:3" ht="15" thickBot="1">
      <c r="A50" s="31" t="s">
        <v>32</v>
      </c>
      <c r="B50" s="31">
        <v>4130</v>
      </c>
      <c r="C50" s="31">
        <v>46</v>
      </c>
    </row>
    <row r="51" spans="1:3" ht="15" thickBot="1">
      <c r="A51" s="31" t="s">
        <v>33</v>
      </c>
      <c r="B51" s="31">
        <v>4538</v>
      </c>
      <c r="C51" s="31">
        <v>39</v>
      </c>
    </row>
    <row r="52" spans="1:3" ht="15" thickBot="1">
      <c r="A52" s="31" t="s">
        <v>34</v>
      </c>
      <c r="B52" s="31">
        <v>1553</v>
      </c>
      <c r="C52" s="31">
        <v>9</v>
      </c>
    </row>
    <row r="53" spans="1:3" ht="15" thickBot="1">
      <c r="A53" s="31" t="s">
        <v>35</v>
      </c>
      <c r="B53" s="31">
        <v>1027</v>
      </c>
      <c r="C53" s="31">
        <v>5</v>
      </c>
    </row>
    <row r="54" spans="1:3" ht="15" thickBot="1">
      <c r="A54" s="31" t="s">
        <v>36</v>
      </c>
      <c r="B54" s="31">
        <v>807</v>
      </c>
      <c r="C54" s="31">
        <v>3</v>
      </c>
    </row>
    <row r="55" spans="1:3" ht="15" thickBot="1">
      <c r="A55" s="31" t="s">
        <v>69</v>
      </c>
      <c r="B55" s="31">
        <v>1470</v>
      </c>
      <c r="C55" s="31">
        <v>21</v>
      </c>
    </row>
    <row r="56" spans="1:3" ht="15" thickBot="1">
      <c r="A56" s="31" t="s">
        <v>70</v>
      </c>
      <c r="B56" s="31">
        <v>1585</v>
      </c>
      <c r="C56" s="31">
        <v>37</v>
      </c>
    </row>
    <row r="57" spans="1:3" ht="15" thickBot="1">
      <c r="A57" s="31" t="s">
        <v>71</v>
      </c>
      <c r="B57" s="31">
        <v>1637</v>
      </c>
      <c r="C57" s="31">
        <v>35</v>
      </c>
    </row>
    <row r="58" spans="1:3" ht="15" thickBot="1">
      <c r="A58" s="31" t="s">
        <v>72</v>
      </c>
      <c r="B58" s="31">
        <v>1451</v>
      </c>
      <c r="C58" s="31">
        <v>29</v>
      </c>
    </row>
    <row r="59" spans="1:3" ht="15" thickBot="1">
      <c r="A59" s="31" t="s">
        <v>73</v>
      </c>
      <c r="B59" s="31">
        <v>1053</v>
      </c>
      <c r="C59" s="31">
        <v>27</v>
      </c>
    </row>
    <row r="60" spans="1:3" ht="15" thickBot="1">
      <c r="A60" s="31" t="s">
        <v>74</v>
      </c>
      <c r="B60" s="31">
        <v>1679</v>
      </c>
      <c r="C60" s="31">
        <v>57</v>
      </c>
    </row>
    <row r="61" spans="1:3" ht="15" thickBot="1">
      <c r="A61" s="31" t="s">
        <v>75</v>
      </c>
      <c r="B61" s="31">
        <v>2292</v>
      </c>
      <c r="C61" s="31">
        <v>69</v>
      </c>
    </row>
    <row r="62" spans="1:3" ht="15" thickBot="1">
      <c r="A62" s="31" t="s">
        <v>76</v>
      </c>
      <c r="B62" s="31">
        <v>2812</v>
      </c>
      <c r="C62" s="31">
        <v>115</v>
      </c>
    </row>
    <row r="63" spans="1:3" ht="15" thickBot="1">
      <c r="A63" s="31" t="s">
        <v>77</v>
      </c>
      <c r="B63" s="31">
        <v>3874</v>
      </c>
      <c r="C63" s="31">
        <v>120</v>
      </c>
    </row>
    <row r="64" spans="1:3" ht="15" thickBot="1">
      <c r="A64" s="31" t="s">
        <v>78</v>
      </c>
      <c r="B64" s="31">
        <v>3966</v>
      </c>
      <c r="C64" s="31">
        <v>71</v>
      </c>
    </row>
    <row r="67" spans="1:9">
      <c r="A67" s="110" t="s">
        <v>100</v>
      </c>
      <c r="B67" s="111"/>
      <c r="C67" s="112" t="s">
        <v>101</v>
      </c>
      <c r="D67" s="111"/>
      <c r="E67" s="111"/>
    </row>
    <row r="68" spans="1:9">
      <c r="A68" s="120" t="s">
        <v>102</v>
      </c>
      <c r="B68" s="111"/>
      <c r="C68" s="111"/>
      <c r="D68" s="111"/>
      <c r="E68" s="111"/>
      <c r="F68" s="111"/>
      <c r="G68" s="111"/>
      <c r="H68" s="111"/>
      <c r="I68" s="111"/>
    </row>
    <row r="69" spans="1:9">
      <c r="A69" s="38" t="s">
        <v>103</v>
      </c>
      <c r="B69" s="39" t="s">
        <v>104</v>
      </c>
      <c r="C69" s="40"/>
      <c r="D69" s="41"/>
      <c r="E69" s="39" t="s">
        <v>105</v>
      </c>
      <c r="F69" s="42"/>
      <c r="G69" s="42"/>
      <c r="H69" s="43"/>
      <c r="I69" s="42"/>
    </row>
    <row r="70" spans="1:9" ht="40.200000000000003">
      <c r="A70" s="44" t="s">
        <v>66</v>
      </c>
      <c r="B70" s="45" t="s">
        <v>67</v>
      </c>
      <c r="C70" s="46" t="s">
        <v>106</v>
      </c>
      <c r="D70" s="47" t="s">
        <v>107</v>
      </c>
      <c r="E70" s="45" t="s">
        <v>67</v>
      </c>
      <c r="F70" s="46" t="s">
        <v>106</v>
      </c>
      <c r="G70" s="47" t="s">
        <v>107</v>
      </c>
      <c r="H70" s="45"/>
      <c r="I70" s="48"/>
    </row>
    <row r="71" spans="1:9">
      <c r="A71" s="49" t="s">
        <v>70</v>
      </c>
      <c r="B71" s="50">
        <v>95759</v>
      </c>
      <c r="C71" s="51">
        <v>141.5</v>
      </c>
      <c r="D71" s="52"/>
      <c r="E71" s="51">
        <v>97019</v>
      </c>
      <c r="F71" s="53">
        <v>158</v>
      </c>
      <c r="G71" s="53">
        <v>29</v>
      </c>
      <c r="H71" s="50"/>
      <c r="I71" s="51"/>
    </row>
    <row r="72" spans="1:9">
      <c r="A72" s="49" t="s">
        <v>71</v>
      </c>
      <c r="B72" s="50">
        <v>616153.5</v>
      </c>
      <c r="C72" s="51">
        <v>1721.5</v>
      </c>
      <c r="D72" s="52"/>
      <c r="E72" s="51">
        <v>618422</v>
      </c>
      <c r="F72" s="53">
        <v>1830</v>
      </c>
      <c r="G72" s="53">
        <v>259</v>
      </c>
      <c r="H72" s="50"/>
      <c r="I72" s="51"/>
    </row>
    <row r="73" spans="1:9">
      <c r="A73" s="49" t="s">
        <v>72</v>
      </c>
      <c r="B73" s="50">
        <v>943527.5</v>
      </c>
      <c r="C73" s="51">
        <v>6361.5</v>
      </c>
      <c r="D73" s="52"/>
      <c r="E73" s="50">
        <v>940608</v>
      </c>
      <c r="F73" s="53">
        <v>6518</v>
      </c>
      <c r="G73" s="53">
        <v>790</v>
      </c>
      <c r="H73" s="50"/>
      <c r="I73" s="51"/>
    </row>
    <row r="74" spans="1:9">
      <c r="A74" s="49" t="s">
        <v>73</v>
      </c>
      <c r="B74" s="50">
        <v>975762</v>
      </c>
      <c r="C74" s="51">
        <v>7482</v>
      </c>
      <c r="D74" s="52"/>
      <c r="E74" s="50">
        <v>976195</v>
      </c>
      <c r="F74" s="51">
        <v>7358</v>
      </c>
      <c r="G74" s="53">
        <v>1010</v>
      </c>
      <c r="H74" s="50"/>
      <c r="I74" s="51"/>
    </row>
    <row r="75" spans="1:9">
      <c r="A75" s="49" t="s">
        <v>108</v>
      </c>
      <c r="B75" s="50">
        <v>538274</v>
      </c>
      <c r="C75" s="51">
        <v>7749</v>
      </c>
      <c r="D75" s="52"/>
      <c r="E75" s="50">
        <v>538309</v>
      </c>
      <c r="F75" s="53">
        <v>7651</v>
      </c>
      <c r="G75" s="53">
        <v>1072</v>
      </c>
      <c r="H75" s="50"/>
      <c r="I75" s="51"/>
    </row>
    <row r="76" spans="1:9">
      <c r="A76" s="49" t="s">
        <v>109</v>
      </c>
      <c r="B76" s="50">
        <v>436240</v>
      </c>
      <c r="C76" s="51">
        <v>6378</v>
      </c>
      <c r="D76" s="52"/>
      <c r="E76" s="50">
        <v>438216</v>
      </c>
      <c r="F76" s="53">
        <v>6471</v>
      </c>
      <c r="G76" s="53">
        <v>825</v>
      </c>
      <c r="H76" s="50"/>
      <c r="I76" s="51"/>
    </row>
    <row r="77" spans="1:9">
      <c r="A77" s="49" t="s">
        <v>74</v>
      </c>
      <c r="B77" s="50">
        <v>623590.5</v>
      </c>
      <c r="C77" s="51">
        <v>5709</v>
      </c>
      <c r="D77" s="52"/>
      <c r="E77" s="50">
        <v>624534</v>
      </c>
      <c r="F77" s="53">
        <v>5788</v>
      </c>
      <c r="G77" s="53">
        <v>907</v>
      </c>
      <c r="H77" s="50"/>
      <c r="I77" s="51"/>
    </row>
    <row r="78" spans="1:9">
      <c r="A78" s="49" t="s">
        <v>75</v>
      </c>
      <c r="B78" s="50">
        <v>163522.5</v>
      </c>
      <c r="C78" s="51">
        <v>297</v>
      </c>
      <c r="D78" s="52"/>
      <c r="E78" s="50">
        <v>165565</v>
      </c>
      <c r="F78" s="53">
        <v>306</v>
      </c>
      <c r="G78" s="53">
        <v>78</v>
      </c>
      <c r="H78" s="50"/>
      <c r="I78" s="51"/>
    </row>
    <row r="79" spans="1:9">
      <c r="A79" s="49" t="s">
        <v>76</v>
      </c>
      <c r="B79" s="50">
        <v>12764</v>
      </c>
      <c r="C79" s="51">
        <v>152.5</v>
      </c>
      <c r="D79" s="52"/>
      <c r="E79" s="50">
        <v>14334</v>
      </c>
      <c r="F79" s="53">
        <v>162</v>
      </c>
      <c r="G79" s="53">
        <v>42</v>
      </c>
      <c r="H79" s="50"/>
      <c r="I79" s="51"/>
    </row>
    <row r="80" spans="1:9">
      <c r="A80" s="49" t="s">
        <v>77</v>
      </c>
      <c r="B80" s="50">
        <v>5766.5</v>
      </c>
      <c r="C80" s="51">
        <v>82</v>
      </c>
      <c r="D80" s="52"/>
      <c r="E80" s="50">
        <v>7064</v>
      </c>
      <c r="F80" s="53">
        <v>118</v>
      </c>
      <c r="G80" s="53">
        <v>20</v>
      </c>
      <c r="H80" s="50"/>
      <c r="I80" s="51"/>
    </row>
    <row r="81" spans="1:10">
      <c r="A81" s="54" t="s">
        <v>32</v>
      </c>
      <c r="B81" s="50">
        <v>1790734.5</v>
      </c>
      <c r="C81" s="51">
        <v>21032</v>
      </c>
      <c r="D81" s="55"/>
      <c r="E81" s="50">
        <v>1791732</v>
      </c>
      <c r="F81" s="51">
        <v>21185</v>
      </c>
      <c r="G81" s="53">
        <v>2301</v>
      </c>
      <c r="H81" s="50"/>
      <c r="I81" s="51"/>
    </row>
    <row r="82" spans="1:10">
      <c r="A82" s="54" t="s">
        <v>33</v>
      </c>
      <c r="B82" s="50">
        <v>1090676.5</v>
      </c>
      <c r="C82" s="51">
        <v>8778.5</v>
      </c>
      <c r="D82" s="55"/>
      <c r="E82" s="50">
        <v>1095604</v>
      </c>
      <c r="F82" s="53">
        <v>8731</v>
      </c>
      <c r="G82" s="53">
        <v>959</v>
      </c>
      <c r="H82" s="50"/>
      <c r="I82" s="51"/>
    </row>
    <row r="83" spans="1:10">
      <c r="A83" s="54" t="s">
        <v>34</v>
      </c>
      <c r="B83" s="56">
        <v>596813.5</v>
      </c>
      <c r="C83" s="53">
        <v>1921</v>
      </c>
      <c r="D83" s="57"/>
      <c r="E83" s="56">
        <v>600729</v>
      </c>
      <c r="F83" s="53">
        <v>1967</v>
      </c>
      <c r="G83" s="53">
        <v>227</v>
      </c>
      <c r="H83" s="50"/>
      <c r="I83" s="51"/>
    </row>
    <row r="84" spans="1:10">
      <c r="A84" s="54" t="s">
        <v>35</v>
      </c>
      <c r="B84" s="50">
        <v>1644427.5</v>
      </c>
      <c r="C84" s="51">
        <v>2127.5</v>
      </c>
      <c r="D84" s="55"/>
      <c r="E84" s="50">
        <v>1645551</v>
      </c>
      <c r="F84" s="53">
        <v>2102</v>
      </c>
      <c r="G84" s="53">
        <v>297</v>
      </c>
      <c r="H84" s="56"/>
      <c r="I84" s="53"/>
    </row>
    <row r="85" spans="1:10">
      <c r="A85" s="54" t="s">
        <v>36</v>
      </c>
      <c r="B85" s="58">
        <v>889449</v>
      </c>
      <c r="C85" s="59">
        <v>562.5</v>
      </c>
      <c r="D85" s="60"/>
      <c r="E85" s="61">
        <v>888591</v>
      </c>
      <c r="F85" s="51">
        <v>551</v>
      </c>
      <c r="G85" s="59">
        <v>96</v>
      </c>
      <c r="H85" s="61"/>
      <c r="I85" s="59"/>
    </row>
    <row r="87" spans="1:10">
      <c r="A87" s="121" t="s">
        <v>110</v>
      </c>
      <c r="B87" s="111"/>
      <c r="C87" s="122" t="s">
        <v>101</v>
      </c>
      <c r="D87" s="111"/>
      <c r="E87" s="111"/>
      <c r="F87" s="62"/>
      <c r="G87" s="62"/>
      <c r="H87" s="62"/>
      <c r="I87" s="62"/>
      <c r="J87" s="62"/>
    </row>
    <row r="88" spans="1:10">
      <c r="A88" s="123" t="s">
        <v>102</v>
      </c>
      <c r="B88" s="111"/>
      <c r="C88" s="111"/>
      <c r="D88" s="111"/>
      <c r="E88" s="111"/>
      <c r="F88" s="111"/>
      <c r="G88" s="111"/>
      <c r="H88" s="111"/>
      <c r="I88" s="111"/>
      <c r="J88" s="62"/>
    </row>
    <row r="89" spans="1:10">
      <c r="A89" s="38" t="s">
        <v>103</v>
      </c>
      <c r="B89" s="39" t="s">
        <v>111</v>
      </c>
      <c r="C89" s="40"/>
      <c r="D89" s="41"/>
      <c r="E89" s="43"/>
      <c r="F89" s="42"/>
      <c r="G89" s="42"/>
      <c r="H89" s="43"/>
      <c r="I89" s="42"/>
      <c r="J89" s="63"/>
    </row>
    <row r="90" spans="1:10" ht="40.200000000000003">
      <c r="A90" s="44" t="s">
        <v>66</v>
      </c>
      <c r="B90" s="45" t="s">
        <v>67</v>
      </c>
      <c r="C90" s="46" t="s">
        <v>106</v>
      </c>
      <c r="D90" s="47" t="s">
        <v>107</v>
      </c>
      <c r="E90" s="45"/>
      <c r="F90" s="48"/>
      <c r="G90" s="48"/>
      <c r="H90" s="45"/>
      <c r="I90" s="48"/>
      <c r="J90" s="64"/>
    </row>
    <row r="91" spans="1:10">
      <c r="A91" s="49" t="s">
        <v>70</v>
      </c>
      <c r="B91" s="50">
        <v>9665</v>
      </c>
      <c r="C91" s="51">
        <v>23.5</v>
      </c>
      <c r="D91" s="52"/>
      <c r="E91" s="50"/>
      <c r="F91" s="51"/>
      <c r="G91" s="53"/>
      <c r="H91" s="50"/>
      <c r="I91" s="51"/>
      <c r="J91" s="65"/>
    </row>
    <row r="92" spans="1:10">
      <c r="A92" s="49" t="s">
        <v>71</v>
      </c>
      <c r="B92" s="50">
        <v>56536.5</v>
      </c>
      <c r="C92" s="51">
        <v>156</v>
      </c>
      <c r="D92" s="52"/>
      <c r="E92" s="50"/>
      <c r="F92" s="51"/>
      <c r="G92" s="53"/>
      <c r="H92" s="50"/>
      <c r="I92" s="51"/>
      <c r="J92" s="65"/>
    </row>
    <row r="93" spans="1:10">
      <c r="A93" s="49" t="s">
        <v>72</v>
      </c>
      <c r="B93" s="50">
        <v>85443.5</v>
      </c>
      <c r="C93" s="51">
        <v>629.5</v>
      </c>
      <c r="D93" s="52"/>
      <c r="E93" s="50"/>
      <c r="F93" s="51"/>
      <c r="G93" s="53"/>
      <c r="H93" s="50"/>
      <c r="I93" s="51"/>
      <c r="J93" s="65"/>
    </row>
    <row r="94" spans="1:10">
      <c r="A94" s="49" t="s">
        <v>73</v>
      </c>
      <c r="B94" s="50">
        <v>89068.5</v>
      </c>
      <c r="C94" s="51">
        <v>660.5</v>
      </c>
      <c r="D94" s="52"/>
      <c r="E94" s="50"/>
      <c r="F94" s="51"/>
      <c r="G94" s="53"/>
      <c r="H94" s="50"/>
      <c r="I94" s="51"/>
      <c r="J94" s="65"/>
    </row>
    <row r="95" spans="1:10">
      <c r="A95" s="49" t="s">
        <v>108</v>
      </c>
      <c r="B95" s="50">
        <v>49234</v>
      </c>
      <c r="C95" s="51">
        <v>727.5</v>
      </c>
      <c r="D95" s="52"/>
      <c r="E95" s="50"/>
      <c r="F95" s="51"/>
      <c r="G95" s="53"/>
      <c r="H95" s="50"/>
      <c r="I95" s="51"/>
      <c r="J95" s="65"/>
    </row>
    <row r="96" spans="1:10">
      <c r="A96" s="49" t="s">
        <v>109</v>
      </c>
      <c r="B96" s="50">
        <v>40547</v>
      </c>
      <c r="C96" s="51">
        <v>568.5</v>
      </c>
      <c r="D96" s="52"/>
      <c r="E96" s="50"/>
      <c r="F96" s="51"/>
      <c r="G96" s="53"/>
      <c r="H96" s="50"/>
      <c r="I96" s="51"/>
      <c r="J96" s="65"/>
    </row>
    <row r="97" spans="1:10">
      <c r="A97" s="49" t="s">
        <v>74</v>
      </c>
      <c r="B97" s="50">
        <v>57337.5</v>
      </c>
      <c r="C97" s="51">
        <v>569</v>
      </c>
      <c r="D97" s="52"/>
      <c r="E97" s="50"/>
      <c r="F97" s="51"/>
      <c r="G97" s="53"/>
      <c r="H97" s="50"/>
      <c r="I97" s="51"/>
      <c r="J97" s="65"/>
    </row>
    <row r="98" spans="1:10">
      <c r="A98" s="49" t="s">
        <v>75</v>
      </c>
      <c r="B98" s="50">
        <v>16931</v>
      </c>
      <c r="C98" s="53">
        <v>88.5</v>
      </c>
      <c r="D98" s="52"/>
      <c r="E98" s="50"/>
      <c r="F98" s="51"/>
      <c r="G98" s="53"/>
      <c r="H98" s="50"/>
      <c r="I98" s="51"/>
      <c r="J98" s="65"/>
    </row>
    <row r="99" spans="1:10">
      <c r="A99" s="49" t="s">
        <v>76</v>
      </c>
      <c r="B99" s="50">
        <v>4437</v>
      </c>
      <c r="C99" s="51">
        <v>150.5</v>
      </c>
      <c r="D99" s="52"/>
      <c r="E99" s="50"/>
      <c r="F99" s="51"/>
      <c r="G99" s="53"/>
      <c r="H99" s="50"/>
      <c r="I99" s="51"/>
      <c r="J99" s="65"/>
    </row>
    <row r="100" spans="1:10">
      <c r="A100" s="49" t="s">
        <v>77</v>
      </c>
      <c r="B100" s="50">
        <v>3934</v>
      </c>
      <c r="C100" s="51">
        <v>81.5</v>
      </c>
      <c r="D100" s="52"/>
      <c r="E100" s="50"/>
      <c r="F100" s="51"/>
      <c r="G100" s="53"/>
      <c r="H100" s="50"/>
      <c r="I100" s="51"/>
      <c r="J100" s="65"/>
    </row>
    <row r="101" spans="1:10">
      <c r="A101" s="54" t="s">
        <v>32</v>
      </c>
      <c r="B101" s="50">
        <v>162639</v>
      </c>
      <c r="C101" s="51">
        <v>1852.5</v>
      </c>
      <c r="D101" s="55"/>
      <c r="E101" s="50"/>
      <c r="F101" s="51"/>
      <c r="G101" s="51"/>
      <c r="H101" s="50"/>
      <c r="I101" s="51"/>
      <c r="J101" s="55"/>
    </row>
    <row r="102" spans="1:10">
      <c r="A102" s="54" t="s">
        <v>33</v>
      </c>
      <c r="B102" s="50">
        <v>99960.5</v>
      </c>
      <c r="C102" s="51">
        <v>839</v>
      </c>
      <c r="D102" s="55"/>
      <c r="E102" s="50"/>
      <c r="F102" s="51"/>
      <c r="G102" s="51"/>
      <c r="H102" s="50"/>
      <c r="I102" s="51"/>
      <c r="J102" s="55"/>
    </row>
    <row r="103" spans="1:10">
      <c r="A103" s="54" t="s">
        <v>34</v>
      </c>
      <c r="B103" s="56">
        <v>54761</v>
      </c>
      <c r="C103" s="53">
        <v>177</v>
      </c>
      <c r="D103" s="57"/>
      <c r="E103" s="56"/>
      <c r="F103" s="53"/>
      <c r="G103" s="53"/>
      <c r="H103" s="50"/>
      <c r="I103" s="51"/>
      <c r="J103" s="55"/>
    </row>
    <row r="104" spans="1:10">
      <c r="A104" s="54" t="s">
        <v>35</v>
      </c>
      <c r="B104" s="50">
        <v>149458</v>
      </c>
      <c r="C104" s="51">
        <v>214.5</v>
      </c>
      <c r="D104" s="55"/>
      <c r="E104" s="50"/>
      <c r="F104" s="51"/>
      <c r="G104" s="51"/>
      <c r="H104" s="56"/>
      <c r="I104" s="53"/>
      <c r="J104" s="57"/>
    </row>
    <row r="105" spans="1:10">
      <c r="A105" s="54" t="s">
        <v>36</v>
      </c>
      <c r="B105" s="58">
        <v>80980</v>
      </c>
      <c r="C105" s="59">
        <v>55.5</v>
      </c>
      <c r="D105" s="60"/>
      <c r="E105" s="61"/>
      <c r="F105" s="59"/>
      <c r="G105" s="66"/>
      <c r="H105" s="61"/>
      <c r="I105" s="59"/>
      <c r="J105" s="67"/>
    </row>
    <row r="107" spans="1:10">
      <c r="A107" s="73" t="s">
        <v>112</v>
      </c>
    </row>
    <row r="108" spans="1:10" ht="40.200000000000003">
      <c r="A108" s="69" t="s">
        <v>66</v>
      </c>
      <c r="B108" s="70" t="s">
        <v>67</v>
      </c>
      <c r="C108" s="71" t="s">
        <v>106</v>
      </c>
      <c r="D108" s="72" t="s">
        <v>107</v>
      </c>
    </row>
    <row r="109" spans="1:10">
      <c r="A109" s="49" t="s">
        <v>70</v>
      </c>
      <c r="B109" s="50">
        <v>30796</v>
      </c>
      <c r="C109" s="51">
        <v>46</v>
      </c>
      <c r="D109" s="68">
        <v>12</v>
      </c>
    </row>
    <row r="110" spans="1:10">
      <c r="A110" s="49" t="s">
        <v>71</v>
      </c>
      <c r="B110" s="50">
        <v>144894</v>
      </c>
      <c r="C110" s="51">
        <v>394</v>
      </c>
      <c r="D110" s="68">
        <v>71</v>
      </c>
    </row>
    <row r="111" spans="1:10">
      <c r="A111" s="49" t="s">
        <v>72</v>
      </c>
      <c r="B111" s="50">
        <v>222634</v>
      </c>
      <c r="C111" s="51">
        <v>1326</v>
      </c>
      <c r="D111" s="68">
        <v>212</v>
      </c>
    </row>
    <row r="112" spans="1:10">
      <c r="A112" s="49" t="s">
        <v>73</v>
      </c>
      <c r="B112" s="50">
        <v>231321</v>
      </c>
      <c r="C112" s="51">
        <v>1718.5</v>
      </c>
      <c r="D112" s="68">
        <v>230</v>
      </c>
    </row>
    <row r="113" spans="1:10">
      <c r="A113" s="49" t="s">
        <v>108</v>
      </c>
      <c r="B113" s="50">
        <v>129168</v>
      </c>
      <c r="C113" s="51">
        <v>1611.5</v>
      </c>
      <c r="D113" s="68">
        <v>258</v>
      </c>
    </row>
    <row r="114" spans="1:10">
      <c r="A114" s="49" t="s">
        <v>109</v>
      </c>
      <c r="B114" s="50">
        <v>111486</v>
      </c>
      <c r="C114" s="51">
        <v>1405.5</v>
      </c>
      <c r="D114" s="68">
        <v>201</v>
      </c>
    </row>
    <row r="115" spans="1:10">
      <c r="A115" s="49" t="s">
        <v>74</v>
      </c>
      <c r="B115" s="50">
        <v>155315</v>
      </c>
      <c r="C115" s="51">
        <v>1301</v>
      </c>
      <c r="D115" s="68">
        <v>250</v>
      </c>
    </row>
    <row r="116" spans="1:10">
      <c r="A116" s="49" t="s">
        <v>75</v>
      </c>
      <c r="B116" s="50">
        <v>36345</v>
      </c>
      <c r="C116" s="53">
        <v>144.5</v>
      </c>
      <c r="D116" s="68">
        <v>35</v>
      </c>
    </row>
    <row r="117" spans="1:10">
      <c r="A117" s="49" t="s">
        <v>76</v>
      </c>
      <c r="B117" s="50">
        <v>6602</v>
      </c>
      <c r="C117" s="51">
        <v>137</v>
      </c>
      <c r="D117" s="68">
        <v>28</v>
      </c>
    </row>
    <row r="118" spans="1:10">
      <c r="A118" s="49" t="s">
        <v>77</v>
      </c>
      <c r="B118" s="50">
        <v>5001</v>
      </c>
      <c r="C118" s="51">
        <v>86</v>
      </c>
      <c r="D118" s="68">
        <v>18</v>
      </c>
    </row>
    <row r="119" spans="1:10">
      <c r="A119" s="54" t="s">
        <v>32</v>
      </c>
      <c r="B119" s="50">
        <v>360929</v>
      </c>
      <c r="C119" s="51">
        <v>4330</v>
      </c>
      <c r="D119" s="55">
        <v>594</v>
      </c>
    </row>
    <row r="120" spans="1:10">
      <c r="A120" s="54" t="s">
        <v>33</v>
      </c>
      <c r="B120" s="50">
        <v>251520</v>
      </c>
      <c r="C120" s="51">
        <v>2188.5</v>
      </c>
      <c r="D120" s="55">
        <v>250</v>
      </c>
    </row>
    <row r="121" spans="1:10">
      <c r="A121" s="54" t="s">
        <v>34</v>
      </c>
      <c r="B121" s="56">
        <v>154420</v>
      </c>
      <c r="C121" s="53">
        <v>538</v>
      </c>
      <c r="D121" s="57">
        <v>73</v>
      </c>
    </row>
    <row r="122" spans="1:10">
      <c r="A122" s="54" t="s">
        <v>35</v>
      </c>
      <c r="B122" s="50">
        <v>493530</v>
      </c>
      <c r="C122" s="51">
        <v>711.5</v>
      </c>
      <c r="D122" s="55">
        <v>110</v>
      </c>
    </row>
    <row r="123" spans="1:10">
      <c r="A123" s="54" t="s">
        <v>36</v>
      </c>
      <c r="B123" s="58">
        <v>314902</v>
      </c>
      <c r="C123" s="59">
        <v>217.5</v>
      </c>
      <c r="D123" s="60">
        <v>39</v>
      </c>
    </row>
    <row r="125" spans="1:10" ht="15" thickBot="1"/>
    <row r="126" spans="1:10" ht="27.6" thickBot="1">
      <c r="A126" s="79" t="s">
        <v>122</v>
      </c>
      <c r="B126" s="28"/>
      <c r="C126" s="80" t="s">
        <v>123</v>
      </c>
      <c r="D126" s="24"/>
      <c r="E126" s="24"/>
      <c r="F126" s="24"/>
      <c r="G126" s="24"/>
      <c r="H126" s="24"/>
      <c r="I126" s="24"/>
      <c r="J126" s="24"/>
    </row>
    <row r="127" spans="1:10" ht="27.6" customHeight="1" thickBot="1">
      <c r="A127" s="113" t="s">
        <v>124</v>
      </c>
      <c r="B127" s="114"/>
      <c r="C127" s="115" t="s">
        <v>125</v>
      </c>
      <c r="D127" s="116"/>
      <c r="E127" s="24"/>
      <c r="F127" s="24"/>
      <c r="G127" s="24"/>
      <c r="H127" s="24"/>
      <c r="I127" s="24"/>
      <c r="J127" s="24"/>
    </row>
    <row r="128" spans="1:10" ht="31.2" customHeight="1" thickBot="1">
      <c r="A128" s="117" t="s">
        <v>102</v>
      </c>
      <c r="B128" s="118"/>
      <c r="C128" s="118"/>
      <c r="D128" s="118"/>
      <c r="E128" s="118"/>
      <c r="F128" s="118"/>
      <c r="G128" s="118"/>
      <c r="H128" s="119"/>
      <c r="I128" s="24"/>
      <c r="J128" s="24"/>
    </row>
    <row r="129" spans="1:10" ht="15" thickBot="1">
      <c r="A129" s="81"/>
      <c r="B129" s="82"/>
      <c r="C129" s="82"/>
      <c r="D129" s="81"/>
      <c r="E129" s="81"/>
      <c r="F129" s="81"/>
      <c r="G129" s="81"/>
      <c r="H129" s="81"/>
      <c r="I129" s="81"/>
      <c r="J129" s="24"/>
    </row>
    <row r="130" spans="1:10" ht="15" thickBot="1">
      <c r="A130" s="83"/>
      <c r="B130" s="28"/>
      <c r="C130" s="84"/>
      <c r="D130" s="24"/>
      <c r="E130" s="24"/>
      <c r="F130" s="24"/>
      <c r="G130" s="85" t="s">
        <v>126</v>
      </c>
      <c r="H130" s="24"/>
      <c r="I130" s="86"/>
      <c r="J130" s="24"/>
    </row>
    <row r="131" spans="1:10" ht="40.799999999999997" thickBot="1">
      <c r="A131" s="87" t="s">
        <v>66</v>
      </c>
      <c r="B131" s="88" t="s">
        <v>127</v>
      </c>
      <c r="C131" s="89" t="s">
        <v>106</v>
      </c>
      <c r="D131" s="88" t="s">
        <v>128</v>
      </c>
      <c r="E131" s="88" t="s">
        <v>129</v>
      </c>
      <c r="F131" s="88" t="s">
        <v>130</v>
      </c>
      <c r="G131" s="88" t="s">
        <v>131</v>
      </c>
      <c r="H131" s="88" t="s">
        <v>132</v>
      </c>
      <c r="I131" s="89" t="s">
        <v>133</v>
      </c>
      <c r="J131" s="30" t="s">
        <v>134</v>
      </c>
    </row>
    <row r="132" spans="1:10" ht="15" thickBot="1">
      <c r="A132" s="90" t="s">
        <v>70</v>
      </c>
      <c r="B132" s="91">
        <v>32767</v>
      </c>
      <c r="C132" s="92">
        <v>75</v>
      </c>
      <c r="D132" s="32">
        <v>684</v>
      </c>
      <c r="E132" s="91">
        <v>29245</v>
      </c>
      <c r="F132" s="91">
        <v>2177</v>
      </c>
      <c r="G132" s="32">
        <v>218</v>
      </c>
      <c r="H132" s="32">
        <v>133</v>
      </c>
      <c r="I132" s="92">
        <v>311</v>
      </c>
      <c r="J132" s="91">
        <v>32767</v>
      </c>
    </row>
    <row r="133" spans="1:10" ht="15" thickBot="1">
      <c r="A133" s="90" t="s">
        <v>71</v>
      </c>
      <c r="B133" s="91">
        <v>146187</v>
      </c>
      <c r="C133" s="92">
        <v>370</v>
      </c>
      <c r="D133" s="32">
        <v>701</v>
      </c>
      <c r="E133" s="91">
        <v>142384</v>
      </c>
      <c r="F133" s="91">
        <v>2398</v>
      </c>
      <c r="G133" s="32">
        <v>235</v>
      </c>
      <c r="H133" s="32">
        <v>154</v>
      </c>
      <c r="I133" s="92">
        <v>316</v>
      </c>
      <c r="J133" s="91">
        <v>146187</v>
      </c>
    </row>
    <row r="134" spans="1:10" ht="15" thickBot="1">
      <c r="A134" s="90" t="s">
        <v>72</v>
      </c>
      <c r="B134" s="91">
        <v>225029</v>
      </c>
      <c r="C134" s="92">
        <v>1336</v>
      </c>
      <c r="D134" s="32">
        <v>742</v>
      </c>
      <c r="E134" s="91">
        <v>221153</v>
      </c>
      <c r="F134" s="91">
        <v>2456</v>
      </c>
      <c r="G134" s="32">
        <v>232</v>
      </c>
      <c r="H134" s="32">
        <v>141</v>
      </c>
      <c r="I134" s="92">
        <v>304</v>
      </c>
      <c r="J134" s="91">
        <v>225029</v>
      </c>
    </row>
    <row r="135" spans="1:10" ht="15" thickBot="1">
      <c r="A135" s="90" t="s">
        <v>73</v>
      </c>
      <c r="B135" s="91">
        <v>233208</v>
      </c>
      <c r="C135" s="92">
        <v>1641</v>
      </c>
      <c r="D135" s="32">
        <v>761</v>
      </c>
      <c r="E135" s="91">
        <v>229330</v>
      </c>
      <c r="F135" s="91">
        <v>2430</v>
      </c>
      <c r="G135" s="32">
        <v>238</v>
      </c>
      <c r="H135" s="32">
        <v>152</v>
      </c>
      <c r="I135" s="92">
        <v>297</v>
      </c>
      <c r="J135" s="91">
        <v>233208</v>
      </c>
    </row>
    <row r="136" spans="1:10" ht="15" thickBot="1">
      <c r="A136" s="93" t="s">
        <v>108</v>
      </c>
      <c r="B136" s="91">
        <v>130914</v>
      </c>
      <c r="C136" s="92">
        <v>1594</v>
      </c>
      <c r="D136" s="32">
        <v>470</v>
      </c>
      <c r="E136" s="91">
        <v>127760</v>
      </c>
      <c r="F136" s="91">
        <v>2104</v>
      </c>
      <c r="G136" s="32">
        <v>196</v>
      </c>
      <c r="H136" s="32">
        <v>128</v>
      </c>
      <c r="I136" s="92">
        <v>255</v>
      </c>
      <c r="J136" s="91">
        <v>130914</v>
      </c>
    </row>
    <row r="137" spans="1:10" ht="15" thickBot="1">
      <c r="A137" s="90" t="s">
        <v>109</v>
      </c>
      <c r="B137" s="91">
        <v>112586</v>
      </c>
      <c r="C137" s="92">
        <v>1421</v>
      </c>
      <c r="D137" s="32">
        <v>901</v>
      </c>
      <c r="E137" s="91">
        <v>108933</v>
      </c>
      <c r="F137" s="91">
        <v>2177</v>
      </c>
      <c r="G137" s="32">
        <v>199</v>
      </c>
      <c r="H137" s="32">
        <v>127</v>
      </c>
      <c r="I137" s="92">
        <v>249</v>
      </c>
      <c r="J137" s="91">
        <v>112586</v>
      </c>
    </row>
    <row r="138" spans="1:10" ht="15" thickBot="1">
      <c r="A138" s="90" t="s">
        <v>74</v>
      </c>
      <c r="B138" s="91">
        <v>156696</v>
      </c>
      <c r="C138" s="92">
        <v>1270</v>
      </c>
      <c r="D138" s="91">
        <v>1381</v>
      </c>
      <c r="E138" s="91">
        <v>152188</v>
      </c>
      <c r="F138" s="91">
        <v>2456</v>
      </c>
      <c r="G138" s="32">
        <v>239</v>
      </c>
      <c r="H138" s="32">
        <v>129</v>
      </c>
      <c r="I138" s="92">
        <v>302</v>
      </c>
      <c r="J138" s="91">
        <v>156696</v>
      </c>
    </row>
    <row r="139" spans="1:10" ht="15" thickBot="1">
      <c r="A139" s="90" t="s">
        <v>75</v>
      </c>
      <c r="B139" s="91">
        <v>37582</v>
      </c>
      <c r="C139" s="92">
        <v>180</v>
      </c>
      <c r="D139" s="91">
        <v>1879</v>
      </c>
      <c r="E139" s="91">
        <v>32603</v>
      </c>
      <c r="F139" s="91">
        <v>2451</v>
      </c>
      <c r="G139" s="32">
        <v>238</v>
      </c>
      <c r="H139" s="32">
        <v>118</v>
      </c>
      <c r="I139" s="92">
        <v>293</v>
      </c>
      <c r="J139" s="91">
        <v>37582</v>
      </c>
    </row>
    <row r="140" spans="1:10" ht="15" thickBot="1">
      <c r="A140" s="90" t="s">
        <v>76</v>
      </c>
      <c r="B140" s="91">
        <v>8362</v>
      </c>
      <c r="C140" s="92">
        <v>170</v>
      </c>
      <c r="D140" s="91">
        <v>3009</v>
      </c>
      <c r="E140" s="91">
        <v>2634</v>
      </c>
      <c r="F140" s="91">
        <v>2162</v>
      </c>
      <c r="G140" s="32">
        <v>212</v>
      </c>
      <c r="H140" s="32">
        <v>85</v>
      </c>
      <c r="I140" s="92">
        <v>260</v>
      </c>
      <c r="J140" s="91">
        <v>8362</v>
      </c>
    </row>
    <row r="141" spans="1:10" ht="15" thickBot="1">
      <c r="A141" s="94" t="s">
        <v>77</v>
      </c>
      <c r="B141" s="95">
        <v>6431</v>
      </c>
      <c r="C141" s="96">
        <v>155</v>
      </c>
      <c r="D141" s="95">
        <v>3201</v>
      </c>
      <c r="E141" s="97">
        <v>738</v>
      </c>
      <c r="F141" s="95">
        <v>2006</v>
      </c>
      <c r="G141" s="97">
        <v>199</v>
      </c>
      <c r="H141" s="97">
        <v>62</v>
      </c>
      <c r="I141" s="96">
        <v>225</v>
      </c>
      <c r="J141" s="91">
        <v>6431</v>
      </c>
    </row>
    <row r="142" spans="1:10" ht="15" thickBot="1">
      <c r="A142" s="98" t="s">
        <v>32</v>
      </c>
      <c r="B142" s="99">
        <v>362256</v>
      </c>
      <c r="C142" s="92">
        <v>4451</v>
      </c>
      <c r="D142" s="91">
        <v>1067</v>
      </c>
      <c r="E142" s="91">
        <v>357406</v>
      </c>
      <c r="F142" s="91">
        <v>3049</v>
      </c>
      <c r="G142" s="32">
        <v>298</v>
      </c>
      <c r="H142" s="32">
        <v>307</v>
      </c>
      <c r="I142" s="92">
        <v>129</v>
      </c>
      <c r="J142" s="91">
        <v>362257</v>
      </c>
    </row>
    <row r="143" spans="1:10" ht="15" thickBot="1">
      <c r="A143" s="100" t="s">
        <v>33</v>
      </c>
      <c r="B143" s="99">
        <v>252161</v>
      </c>
      <c r="C143" s="101">
        <v>2221</v>
      </c>
      <c r="D143" s="32">
        <v>961</v>
      </c>
      <c r="E143" s="91">
        <v>247634</v>
      </c>
      <c r="F143" s="91">
        <v>2817</v>
      </c>
      <c r="G143" s="32">
        <v>231</v>
      </c>
      <c r="H143" s="32">
        <v>239</v>
      </c>
      <c r="I143" s="92">
        <v>279</v>
      </c>
      <c r="J143" s="91">
        <v>252162</v>
      </c>
    </row>
    <row r="144" spans="1:10" ht="15" thickBot="1">
      <c r="A144" s="100" t="s">
        <v>34</v>
      </c>
      <c r="B144" s="91">
        <v>154604</v>
      </c>
      <c r="C144" s="92">
        <v>521</v>
      </c>
      <c r="D144" s="32">
        <v>481</v>
      </c>
      <c r="E144" s="91">
        <v>152647</v>
      </c>
      <c r="F144" s="91">
        <v>1305</v>
      </c>
      <c r="G144" s="32">
        <v>94</v>
      </c>
      <c r="H144" s="32">
        <v>39</v>
      </c>
      <c r="I144" s="92">
        <v>39</v>
      </c>
      <c r="J144" s="91">
        <v>154604</v>
      </c>
    </row>
    <row r="145" spans="1:25" ht="15" thickBot="1">
      <c r="A145" s="100" t="s">
        <v>35</v>
      </c>
      <c r="B145" s="99">
        <v>183494</v>
      </c>
      <c r="C145" s="101">
        <v>270</v>
      </c>
      <c r="D145" s="32">
        <v>598</v>
      </c>
      <c r="E145" s="91">
        <v>182065</v>
      </c>
      <c r="F145" s="32">
        <v>679</v>
      </c>
      <c r="G145" s="32">
        <v>78</v>
      </c>
      <c r="H145" s="32">
        <v>36</v>
      </c>
      <c r="I145" s="92">
        <v>38</v>
      </c>
      <c r="J145" s="91">
        <v>183494</v>
      </c>
    </row>
    <row r="146" spans="1:25" ht="15" thickBot="1">
      <c r="A146" s="102" t="s">
        <v>36</v>
      </c>
      <c r="B146" s="95">
        <v>138915</v>
      </c>
      <c r="C146" s="96">
        <v>100</v>
      </c>
      <c r="D146" s="97">
        <v>565</v>
      </c>
      <c r="E146" s="95">
        <v>137366</v>
      </c>
      <c r="F146" s="97">
        <v>798</v>
      </c>
      <c r="G146" s="97">
        <v>57</v>
      </c>
      <c r="H146" s="97">
        <v>49</v>
      </c>
      <c r="I146" s="96">
        <v>81</v>
      </c>
      <c r="J146" s="91">
        <v>138916</v>
      </c>
    </row>
    <row r="147" spans="1:25" ht="15" thickBot="1"/>
    <row r="148" spans="1:25" ht="15" thickBot="1">
      <c r="A148" s="124" t="s">
        <v>145</v>
      </c>
      <c r="B148" s="28"/>
      <c r="C148" s="28"/>
      <c r="D148" s="24"/>
      <c r="E148" s="28"/>
      <c r="F148" s="28"/>
      <c r="G148" s="24"/>
      <c r="H148" s="28"/>
      <c r="I148" s="28"/>
      <c r="J148" s="24"/>
      <c r="K148" s="28"/>
      <c r="L148" s="28"/>
      <c r="M148" s="24"/>
      <c r="N148" s="28"/>
      <c r="O148" s="28"/>
      <c r="P148" s="24"/>
      <c r="Q148" s="28"/>
      <c r="R148" s="28"/>
      <c r="S148" s="24"/>
      <c r="T148" s="28"/>
      <c r="U148" s="28"/>
      <c r="V148" s="24"/>
      <c r="W148" s="24"/>
      <c r="X148" s="24"/>
      <c r="Y148" s="24"/>
    </row>
    <row r="149" spans="1:25" ht="15" thickBot="1">
      <c r="A149" s="125" t="s">
        <v>146</v>
      </c>
      <c r="B149" s="28"/>
      <c r="C149" s="28"/>
      <c r="D149" s="24"/>
      <c r="E149" s="28"/>
      <c r="F149" s="28"/>
      <c r="G149" s="24"/>
      <c r="H149" s="28"/>
      <c r="I149" s="28"/>
      <c r="J149" s="24"/>
      <c r="K149" s="28"/>
      <c r="L149" s="28"/>
      <c r="M149" s="24"/>
      <c r="N149" s="28"/>
      <c r="O149" s="28"/>
      <c r="P149" s="24"/>
      <c r="Q149" s="28"/>
      <c r="R149" s="28"/>
      <c r="S149" s="24"/>
      <c r="T149" s="28"/>
      <c r="U149" s="28"/>
      <c r="V149" s="24"/>
      <c r="W149" s="24"/>
      <c r="X149" s="24"/>
      <c r="Y149" s="24"/>
    </row>
    <row r="150" spans="1:25" ht="25.2" thickBot="1">
      <c r="A150" s="24"/>
      <c r="B150" s="126"/>
      <c r="C150" s="127" t="s">
        <v>147</v>
      </c>
      <c r="D150" s="126"/>
      <c r="E150" s="28"/>
      <c r="F150" s="128" t="s">
        <v>128</v>
      </c>
      <c r="G150" s="24"/>
      <c r="H150" s="129"/>
      <c r="I150" s="130" t="s">
        <v>129</v>
      </c>
      <c r="J150" s="129"/>
      <c r="K150" s="28"/>
      <c r="L150" s="128" t="s">
        <v>148</v>
      </c>
      <c r="M150" s="24"/>
      <c r="N150" s="129"/>
      <c r="O150" s="130" t="s">
        <v>149</v>
      </c>
      <c r="P150" s="129"/>
      <c r="Q150" s="28"/>
      <c r="R150" s="128" t="s">
        <v>150</v>
      </c>
      <c r="S150" s="24"/>
      <c r="T150" s="129"/>
      <c r="U150" s="130" t="s">
        <v>151</v>
      </c>
      <c r="V150" s="129"/>
      <c r="W150" s="24"/>
      <c r="X150" s="131" t="s">
        <v>152</v>
      </c>
      <c r="Y150" s="24"/>
    </row>
    <row r="151" spans="1:25" ht="15" thickBot="1">
      <c r="A151" s="132" t="s">
        <v>153</v>
      </c>
      <c r="B151" s="127" t="s">
        <v>154</v>
      </c>
      <c r="C151" s="127" t="s">
        <v>155</v>
      </c>
      <c r="D151" s="133" t="s">
        <v>156</v>
      </c>
      <c r="E151" s="128" t="s">
        <v>154</v>
      </c>
      <c r="F151" s="128" t="s">
        <v>155</v>
      </c>
      <c r="G151" s="134" t="s">
        <v>156</v>
      </c>
      <c r="H151" s="130" t="s">
        <v>92</v>
      </c>
      <c r="I151" s="130" t="s">
        <v>155</v>
      </c>
      <c r="J151" s="135" t="s">
        <v>156</v>
      </c>
      <c r="K151" s="128" t="s">
        <v>92</v>
      </c>
      <c r="L151" s="128" t="s">
        <v>155</v>
      </c>
      <c r="M151" s="134" t="s">
        <v>156</v>
      </c>
      <c r="N151" s="130" t="s">
        <v>92</v>
      </c>
      <c r="O151" s="130" t="s">
        <v>155</v>
      </c>
      <c r="P151" s="135" t="s">
        <v>156</v>
      </c>
      <c r="Q151" s="128" t="s">
        <v>92</v>
      </c>
      <c r="R151" s="128" t="s">
        <v>155</v>
      </c>
      <c r="S151" s="134" t="s">
        <v>156</v>
      </c>
      <c r="T151" s="130" t="s">
        <v>92</v>
      </c>
      <c r="U151" s="130" t="s">
        <v>155</v>
      </c>
      <c r="V151" s="135" t="s">
        <v>156</v>
      </c>
      <c r="W151" s="128" t="s">
        <v>92</v>
      </c>
      <c r="X151" s="128" t="s">
        <v>155</v>
      </c>
      <c r="Y151" s="134" t="s">
        <v>156</v>
      </c>
    </row>
    <row r="152" spans="1:25" ht="15" thickBot="1">
      <c r="A152" s="132" t="s">
        <v>70</v>
      </c>
      <c r="B152" s="136">
        <v>32767</v>
      </c>
      <c r="C152" s="136">
        <v>75</v>
      </c>
      <c r="D152" s="136">
        <v>12</v>
      </c>
      <c r="E152" s="137">
        <v>684</v>
      </c>
      <c r="F152" s="137">
        <v>6</v>
      </c>
      <c r="G152" s="137">
        <v>1</v>
      </c>
      <c r="H152" s="138">
        <v>29245</v>
      </c>
      <c r="I152" s="138">
        <v>50</v>
      </c>
      <c r="J152" s="138">
        <v>10</v>
      </c>
      <c r="K152" s="137">
        <v>2177</v>
      </c>
      <c r="L152" s="137">
        <v>53</v>
      </c>
      <c r="M152" s="137">
        <v>7</v>
      </c>
      <c r="N152" s="138">
        <v>218</v>
      </c>
      <c r="O152" s="138">
        <v>4</v>
      </c>
      <c r="P152" s="138">
        <v>1</v>
      </c>
      <c r="Q152" s="137">
        <v>133</v>
      </c>
      <c r="R152" s="137">
        <v>11</v>
      </c>
      <c r="S152" s="137">
        <v>2</v>
      </c>
      <c r="T152" s="138">
        <v>311</v>
      </c>
      <c r="U152" s="138">
        <v>20</v>
      </c>
      <c r="V152" s="138">
        <v>5</v>
      </c>
      <c r="W152" s="137">
        <v>2838</v>
      </c>
      <c r="X152" s="137">
        <v>88</v>
      </c>
      <c r="Y152" s="24"/>
    </row>
    <row r="153" spans="1:25" ht="15" thickBot="1">
      <c r="A153" s="132" t="s">
        <v>71</v>
      </c>
      <c r="B153" s="136">
        <v>146187</v>
      </c>
      <c r="C153" s="136">
        <v>370</v>
      </c>
      <c r="D153" s="136">
        <v>66</v>
      </c>
      <c r="E153" s="137">
        <v>701</v>
      </c>
      <c r="F153" s="137">
        <v>7</v>
      </c>
      <c r="G153" s="137">
        <v>2</v>
      </c>
      <c r="H153" s="138">
        <v>142384</v>
      </c>
      <c r="I153" s="138">
        <v>360</v>
      </c>
      <c r="J153" s="138">
        <v>66</v>
      </c>
      <c r="K153" s="137">
        <v>2398</v>
      </c>
      <c r="L153" s="137">
        <v>82</v>
      </c>
      <c r="M153" s="137">
        <v>11</v>
      </c>
      <c r="N153" s="138">
        <v>235</v>
      </c>
      <c r="O153" s="138">
        <v>9</v>
      </c>
      <c r="P153" s="138">
        <v>2</v>
      </c>
      <c r="Q153" s="137">
        <v>154</v>
      </c>
      <c r="R153" s="137">
        <v>12</v>
      </c>
      <c r="S153" s="137">
        <v>2</v>
      </c>
      <c r="T153" s="138">
        <v>316</v>
      </c>
      <c r="U153" s="138">
        <v>20</v>
      </c>
      <c r="V153" s="138">
        <v>3</v>
      </c>
      <c r="W153" s="137">
        <v>3102</v>
      </c>
      <c r="X153" s="137">
        <v>123</v>
      </c>
      <c r="Y153" s="24"/>
    </row>
    <row r="154" spans="1:25" ht="15" thickBot="1">
      <c r="A154" s="132" t="s">
        <v>72</v>
      </c>
      <c r="B154" s="136">
        <v>225029</v>
      </c>
      <c r="C154" s="136">
        <v>1336</v>
      </c>
      <c r="D154" s="136">
        <v>216</v>
      </c>
      <c r="E154" s="137">
        <v>742</v>
      </c>
      <c r="F154" s="137">
        <v>10</v>
      </c>
      <c r="G154" s="137">
        <v>2</v>
      </c>
      <c r="H154" s="138">
        <v>221153</v>
      </c>
      <c r="I154" s="138">
        <v>1302</v>
      </c>
      <c r="J154" s="138">
        <v>210</v>
      </c>
      <c r="K154" s="137">
        <v>2456</v>
      </c>
      <c r="L154" s="137">
        <v>75</v>
      </c>
      <c r="M154" s="137">
        <v>9</v>
      </c>
      <c r="N154" s="138">
        <v>232</v>
      </c>
      <c r="O154" s="138">
        <v>5</v>
      </c>
      <c r="P154" s="138">
        <v>1</v>
      </c>
      <c r="Q154" s="137">
        <v>141</v>
      </c>
      <c r="R154" s="137">
        <v>9</v>
      </c>
      <c r="S154" s="137">
        <v>1</v>
      </c>
      <c r="T154" s="138">
        <v>304</v>
      </c>
      <c r="U154" s="138">
        <v>21</v>
      </c>
      <c r="V154" s="138">
        <v>4</v>
      </c>
      <c r="W154" s="137">
        <v>3133</v>
      </c>
      <c r="X154" s="137">
        <v>110</v>
      </c>
      <c r="Y154" s="24"/>
    </row>
    <row r="155" spans="1:25" ht="15" thickBot="1">
      <c r="A155" s="132" t="s">
        <v>73</v>
      </c>
      <c r="B155" s="136">
        <v>233208</v>
      </c>
      <c r="C155" s="136">
        <v>1641</v>
      </c>
      <c r="D155" s="136">
        <v>242</v>
      </c>
      <c r="E155" s="137">
        <v>761</v>
      </c>
      <c r="F155" s="137">
        <v>15</v>
      </c>
      <c r="G155" s="137">
        <v>3</v>
      </c>
      <c r="H155" s="138">
        <v>229330</v>
      </c>
      <c r="I155" s="138">
        <v>1585</v>
      </c>
      <c r="J155" s="138">
        <v>237</v>
      </c>
      <c r="K155" s="137">
        <v>2430</v>
      </c>
      <c r="L155" s="137">
        <v>70</v>
      </c>
      <c r="M155" s="137">
        <v>7</v>
      </c>
      <c r="N155" s="138">
        <v>238</v>
      </c>
      <c r="O155" s="138">
        <v>5</v>
      </c>
      <c r="P155" s="138">
        <v>1</v>
      </c>
      <c r="Q155" s="137">
        <v>152</v>
      </c>
      <c r="R155" s="137">
        <v>11</v>
      </c>
      <c r="S155" s="137">
        <v>2</v>
      </c>
      <c r="T155" s="138">
        <v>297</v>
      </c>
      <c r="U155" s="138">
        <v>21</v>
      </c>
      <c r="V155" s="138">
        <v>3</v>
      </c>
      <c r="W155" s="137">
        <v>3118</v>
      </c>
      <c r="X155" s="137">
        <v>107</v>
      </c>
      <c r="Y155" s="24"/>
    </row>
    <row r="156" spans="1:25" ht="15" thickBot="1">
      <c r="A156" s="132" t="s">
        <v>108</v>
      </c>
      <c r="B156" s="136">
        <v>130914</v>
      </c>
      <c r="C156" s="136">
        <v>1594</v>
      </c>
      <c r="D156" s="136">
        <v>272</v>
      </c>
      <c r="E156" s="137">
        <v>470</v>
      </c>
      <c r="F156" s="137">
        <v>15</v>
      </c>
      <c r="G156" s="137">
        <v>3</v>
      </c>
      <c r="H156" s="138">
        <v>127760</v>
      </c>
      <c r="I156" s="138">
        <v>1554</v>
      </c>
      <c r="J156" s="138">
        <v>267</v>
      </c>
      <c r="K156" s="137">
        <v>2104</v>
      </c>
      <c r="L156" s="137">
        <v>68</v>
      </c>
      <c r="M156" s="137">
        <v>8</v>
      </c>
      <c r="N156" s="138">
        <v>196</v>
      </c>
      <c r="O156" s="138">
        <v>5</v>
      </c>
      <c r="P156" s="138">
        <v>1</v>
      </c>
      <c r="Q156" s="137">
        <v>128</v>
      </c>
      <c r="R156" s="137">
        <v>11</v>
      </c>
      <c r="S156" s="137">
        <v>2</v>
      </c>
      <c r="T156" s="138">
        <v>255</v>
      </c>
      <c r="U156" s="138">
        <v>20</v>
      </c>
      <c r="V156" s="138">
        <v>2</v>
      </c>
      <c r="W156" s="137">
        <v>2683</v>
      </c>
      <c r="X156" s="137">
        <v>104</v>
      </c>
      <c r="Y156" s="24"/>
    </row>
    <row r="157" spans="1:25" ht="15" thickBot="1">
      <c r="A157" s="132" t="s">
        <v>109</v>
      </c>
      <c r="B157" s="136">
        <v>112586</v>
      </c>
      <c r="C157" s="136">
        <v>1421</v>
      </c>
      <c r="D157" s="136">
        <v>215</v>
      </c>
      <c r="E157" s="137">
        <v>901</v>
      </c>
      <c r="F157" s="137">
        <v>28</v>
      </c>
      <c r="G157" s="137">
        <v>4</v>
      </c>
      <c r="H157" s="138">
        <v>108933</v>
      </c>
      <c r="I157" s="138">
        <v>1368</v>
      </c>
      <c r="J157" s="138">
        <v>209</v>
      </c>
      <c r="K157" s="137">
        <v>2177</v>
      </c>
      <c r="L157" s="137">
        <v>73</v>
      </c>
      <c r="M157" s="137">
        <v>10</v>
      </c>
      <c r="N157" s="138">
        <v>199</v>
      </c>
      <c r="O157" s="138">
        <v>5</v>
      </c>
      <c r="P157" s="138">
        <v>1</v>
      </c>
      <c r="Q157" s="137">
        <v>127</v>
      </c>
      <c r="R157" s="137">
        <v>8</v>
      </c>
      <c r="S157" s="137">
        <v>2</v>
      </c>
      <c r="T157" s="138">
        <v>249</v>
      </c>
      <c r="U157" s="138">
        <v>21</v>
      </c>
      <c r="V157" s="138">
        <v>2</v>
      </c>
      <c r="W157" s="137">
        <v>2753</v>
      </c>
      <c r="X157" s="137">
        <v>107</v>
      </c>
      <c r="Y157" s="24"/>
    </row>
    <row r="158" spans="1:25" ht="15" thickBot="1">
      <c r="A158" s="132" t="s">
        <v>74</v>
      </c>
      <c r="B158" s="136">
        <v>156696</v>
      </c>
      <c r="C158" s="136">
        <v>1270</v>
      </c>
      <c r="D158" s="136">
        <v>208</v>
      </c>
      <c r="E158" s="137">
        <v>1381</v>
      </c>
      <c r="F158" s="137">
        <v>40</v>
      </c>
      <c r="G158" s="137">
        <v>8</v>
      </c>
      <c r="H158" s="138">
        <v>152188</v>
      </c>
      <c r="I158" s="138">
        <v>1207</v>
      </c>
      <c r="J158" s="138">
        <v>203</v>
      </c>
      <c r="K158" s="137">
        <v>2456</v>
      </c>
      <c r="L158" s="137">
        <v>78</v>
      </c>
      <c r="M158" s="137">
        <v>9</v>
      </c>
      <c r="N158" s="138">
        <v>239</v>
      </c>
      <c r="O158" s="138">
        <v>5</v>
      </c>
      <c r="P158" s="138">
        <v>1</v>
      </c>
      <c r="Q158" s="137">
        <v>129</v>
      </c>
      <c r="R158" s="137">
        <v>9</v>
      </c>
      <c r="S158" s="137">
        <v>2</v>
      </c>
      <c r="T158" s="138">
        <v>302</v>
      </c>
      <c r="U158" s="138">
        <v>17</v>
      </c>
      <c r="V158" s="138">
        <v>2</v>
      </c>
      <c r="W158" s="137">
        <v>3127</v>
      </c>
      <c r="X158" s="137">
        <v>109</v>
      </c>
      <c r="Y158" s="24"/>
    </row>
    <row r="159" spans="1:25" ht="15" thickBot="1">
      <c r="A159" s="132" t="s">
        <v>75</v>
      </c>
      <c r="B159" s="136">
        <v>37582</v>
      </c>
      <c r="C159" s="136">
        <v>180</v>
      </c>
      <c r="D159" s="136">
        <v>47</v>
      </c>
      <c r="E159" s="137">
        <v>1879</v>
      </c>
      <c r="F159" s="137">
        <v>93</v>
      </c>
      <c r="G159" s="137">
        <v>21</v>
      </c>
      <c r="H159" s="138">
        <v>32603</v>
      </c>
      <c r="I159" s="138">
        <v>85</v>
      </c>
      <c r="J159" s="138">
        <v>47</v>
      </c>
      <c r="K159" s="137">
        <v>2451</v>
      </c>
      <c r="L159" s="137">
        <v>77</v>
      </c>
      <c r="M159" s="137">
        <v>8</v>
      </c>
      <c r="N159" s="138">
        <v>238</v>
      </c>
      <c r="O159" s="138">
        <v>5</v>
      </c>
      <c r="P159" s="138">
        <v>1</v>
      </c>
      <c r="Q159" s="137">
        <v>118</v>
      </c>
      <c r="R159" s="137">
        <v>8</v>
      </c>
      <c r="S159" s="137">
        <v>2</v>
      </c>
      <c r="T159" s="138">
        <v>293</v>
      </c>
      <c r="U159" s="138">
        <v>17</v>
      </c>
      <c r="V159" s="138">
        <v>2</v>
      </c>
      <c r="W159" s="137">
        <v>3099</v>
      </c>
      <c r="X159" s="137">
        <v>107</v>
      </c>
      <c r="Y159" s="24"/>
    </row>
    <row r="160" spans="1:25" ht="15" thickBot="1">
      <c r="A160" s="132" t="s">
        <v>76</v>
      </c>
      <c r="B160" s="136">
        <v>8362</v>
      </c>
      <c r="C160" s="136">
        <v>170</v>
      </c>
      <c r="D160" s="136">
        <v>28</v>
      </c>
      <c r="E160" s="137">
        <v>3009</v>
      </c>
      <c r="F160" s="137">
        <v>122</v>
      </c>
      <c r="G160" s="137">
        <v>22</v>
      </c>
      <c r="H160" s="138">
        <v>2634</v>
      </c>
      <c r="I160" s="138">
        <v>10</v>
      </c>
      <c r="J160" s="138">
        <v>4</v>
      </c>
      <c r="K160" s="137">
        <v>2162</v>
      </c>
      <c r="L160" s="137">
        <v>45</v>
      </c>
      <c r="M160" s="137">
        <v>6</v>
      </c>
      <c r="N160" s="138">
        <v>212</v>
      </c>
      <c r="O160" s="138">
        <v>4</v>
      </c>
      <c r="P160" s="138">
        <v>1</v>
      </c>
      <c r="Q160" s="137">
        <v>85</v>
      </c>
      <c r="R160" s="137">
        <v>4</v>
      </c>
      <c r="S160" s="137">
        <v>1</v>
      </c>
      <c r="T160" s="138">
        <v>260</v>
      </c>
      <c r="U160" s="138">
        <v>14</v>
      </c>
      <c r="V160" s="138">
        <v>1</v>
      </c>
      <c r="W160" s="137">
        <v>2719</v>
      </c>
      <c r="X160" s="137">
        <v>67</v>
      </c>
      <c r="Y160" s="24"/>
    </row>
    <row r="161" spans="1:25" ht="15" thickBot="1">
      <c r="A161" s="132" t="s">
        <v>77</v>
      </c>
      <c r="B161" s="136">
        <v>6431</v>
      </c>
      <c r="C161" s="136">
        <v>155</v>
      </c>
      <c r="D161" s="136">
        <v>20</v>
      </c>
      <c r="E161" s="137">
        <v>3201</v>
      </c>
      <c r="F161" s="137">
        <v>112</v>
      </c>
      <c r="G161" s="137">
        <v>14</v>
      </c>
      <c r="H161" s="138">
        <v>738</v>
      </c>
      <c r="I161" s="138">
        <v>4</v>
      </c>
      <c r="J161" s="138">
        <v>2</v>
      </c>
      <c r="K161" s="137">
        <v>2006</v>
      </c>
      <c r="L161" s="137">
        <v>44</v>
      </c>
      <c r="M161" s="137">
        <v>6</v>
      </c>
      <c r="N161" s="138">
        <v>199</v>
      </c>
      <c r="O161" s="138">
        <v>4</v>
      </c>
      <c r="P161" s="138">
        <v>1</v>
      </c>
      <c r="Q161" s="137">
        <v>62</v>
      </c>
      <c r="R161" s="137">
        <v>2</v>
      </c>
      <c r="S161" s="137">
        <v>0</v>
      </c>
      <c r="T161" s="138">
        <v>225</v>
      </c>
      <c r="U161" s="138">
        <v>9</v>
      </c>
      <c r="V161" s="138">
        <v>2</v>
      </c>
      <c r="W161" s="137">
        <v>2492</v>
      </c>
      <c r="X161" s="137">
        <v>59</v>
      </c>
      <c r="Y161" s="24"/>
    </row>
    <row r="162" spans="1:25" ht="15" thickBot="1">
      <c r="A162" s="132" t="s">
        <v>32</v>
      </c>
      <c r="B162" s="136">
        <v>362257</v>
      </c>
      <c r="C162" s="136">
        <v>4451</v>
      </c>
      <c r="D162" s="136">
        <v>574</v>
      </c>
      <c r="E162" s="137">
        <v>1067</v>
      </c>
      <c r="F162" s="137">
        <v>14</v>
      </c>
      <c r="G162" s="137">
        <v>3</v>
      </c>
      <c r="H162" s="138">
        <v>357406</v>
      </c>
      <c r="I162" s="138">
        <v>4418</v>
      </c>
      <c r="J162" s="138">
        <v>569</v>
      </c>
      <c r="K162" s="137">
        <v>3049</v>
      </c>
      <c r="L162" s="137">
        <v>41</v>
      </c>
      <c r="M162" s="137">
        <v>6</v>
      </c>
      <c r="N162" s="138">
        <v>298</v>
      </c>
      <c r="O162" s="138">
        <v>6</v>
      </c>
      <c r="P162" s="138">
        <v>3</v>
      </c>
      <c r="Q162" s="137">
        <v>307</v>
      </c>
      <c r="R162" s="137">
        <v>9</v>
      </c>
      <c r="S162" s="137">
        <v>2</v>
      </c>
      <c r="T162" s="138">
        <v>129</v>
      </c>
      <c r="U162" s="138">
        <v>6</v>
      </c>
      <c r="V162" s="138">
        <v>2</v>
      </c>
      <c r="W162" s="137">
        <v>3783</v>
      </c>
      <c r="X162" s="137">
        <v>62</v>
      </c>
      <c r="Y162" s="24"/>
    </row>
    <row r="163" spans="1:25" ht="15" thickBot="1">
      <c r="A163" s="132" t="s">
        <v>33</v>
      </c>
      <c r="B163" s="136">
        <v>252162</v>
      </c>
      <c r="C163" s="136">
        <v>2221</v>
      </c>
      <c r="D163" s="136">
        <v>245</v>
      </c>
      <c r="E163" s="137">
        <v>961</v>
      </c>
      <c r="F163" s="137">
        <v>20</v>
      </c>
      <c r="G163" s="137">
        <v>4</v>
      </c>
      <c r="H163" s="138">
        <v>247634</v>
      </c>
      <c r="I163" s="138">
        <v>2203</v>
      </c>
      <c r="J163" s="138">
        <v>242</v>
      </c>
      <c r="K163" s="137">
        <v>2817</v>
      </c>
      <c r="L163" s="137">
        <v>31</v>
      </c>
      <c r="M163" s="137">
        <v>6</v>
      </c>
      <c r="N163" s="138">
        <v>231</v>
      </c>
      <c r="O163" s="138">
        <v>6</v>
      </c>
      <c r="P163" s="138">
        <v>2</v>
      </c>
      <c r="Q163" s="137">
        <v>239</v>
      </c>
      <c r="R163" s="137">
        <v>6</v>
      </c>
      <c r="S163" s="137">
        <v>2</v>
      </c>
      <c r="T163" s="138">
        <v>279</v>
      </c>
      <c r="U163" s="138">
        <v>9</v>
      </c>
      <c r="V163" s="138">
        <v>2</v>
      </c>
      <c r="W163" s="137">
        <v>3567</v>
      </c>
      <c r="X163" s="137">
        <v>52</v>
      </c>
      <c r="Y163" s="24"/>
    </row>
    <row r="164" spans="1:25" ht="15" thickBot="1">
      <c r="A164" s="132" t="s">
        <v>34</v>
      </c>
      <c r="B164" s="136">
        <v>154604</v>
      </c>
      <c r="C164" s="136">
        <v>521</v>
      </c>
      <c r="D164" s="136">
        <v>73</v>
      </c>
      <c r="E164" s="137">
        <v>481</v>
      </c>
      <c r="F164" s="137">
        <v>3</v>
      </c>
      <c r="G164" s="137">
        <v>1</v>
      </c>
      <c r="H164" s="138">
        <v>152647</v>
      </c>
      <c r="I164" s="138">
        <v>518</v>
      </c>
      <c r="J164" s="138">
        <v>71</v>
      </c>
      <c r="K164" s="137">
        <v>1305</v>
      </c>
      <c r="L164" s="137">
        <v>13</v>
      </c>
      <c r="M164" s="137">
        <v>3</v>
      </c>
      <c r="N164" s="138">
        <v>94</v>
      </c>
      <c r="O164" s="138">
        <v>7</v>
      </c>
      <c r="P164" s="138">
        <v>2</v>
      </c>
      <c r="Q164" s="137">
        <v>39</v>
      </c>
      <c r="R164" s="137">
        <v>5</v>
      </c>
      <c r="S164" s="137">
        <v>2</v>
      </c>
      <c r="T164" s="138">
        <v>39</v>
      </c>
      <c r="U164" s="138">
        <v>2</v>
      </c>
      <c r="V164" s="138">
        <v>1</v>
      </c>
      <c r="W164" s="137">
        <v>1477</v>
      </c>
      <c r="X164" s="137">
        <v>27</v>
      </c>
      <c r="Y164" s="24"/>
    </row>
    <row r="165" spans="1:25" ht="15" thickBot="1">
      <c r="A165" s="132" t="s">
        <v>35</v>
      </c>
      <c r="B165" s="136">
        <v>183494</v>
      </c>
      <c r="C165" s="136">
        <v>270</v>
      </c>
      <c r="D165" s="136">
        <v>47</v>
      </c>
      <c r="E165" s="137">
        <v>598</v>
      </c>
      <c r="F165" s="137">
        <v>3</v>
      </c>
      <c r="G165" s="137">
        <v>1</v>
      </c>
      <c r="H165" s="138">
        <v>182065</v>
      </c>
      <c r="I165" s="138">
        <v>270</v>
      </c>
      <c r="J165" s="138">
        <v>47</v>
      </c>
      <c r="K165" s="137">
        <v>679</v>
      </c>
      <c r="L165" s="137">
        <v>6</v>
      </c>
      <c r="M165" s="137">
        <v>2</v>
      </c>
      <c r="N165" s="138">
        <v>78</v>
      </c>
      <c r="O165" s="138">
        <v>2</v>
      </c>
      <c r="P165" s="138">
        <v>1</v>
      </c>
      <c r="Q165" s="137">
        <v>36</v>
      </c>
      <c r="R165" s="137">
        <v>1</v>
      </c>
      <c r="S165" s="137">
        <v>1</v>
      </c>
      <c r="T165" s="138">
        <v>38</v>
      </c>
      <c r="U165" s="138">
        <v>2</v>
      </c>
      <c r="V165" s="138">
        <v>1</v>
      </c>
      <c r="W165" s="137">
        <v>831</v>
      </c>
      <c r="X165" s="137">
        <v>11</v>
      </c>
      <c r="Y165" s="24"/>
    </row>
    <row r="166" spans="1:25" ht="15" thickBot="1">
      <c r="A166" s="132" t="s">
        <v>36</v>
      </c>
      <c r="B166" s="136">
        <v>138916</v>
      </c>
      <c r="C166" s="136">
        <v>100</v>
      </c>
      <c r="D166" s="136">
        <v>17</v>
      </c>
      <c r="E166" s="137">
        <v>565</v>
      </c>
      <c r="F166" s="137">
        <v>3</v>
      </c>
      <c r="G166" s="137">
        <v>1</v>
      </c>
      <c r="H166" s="138">
        <v>137366</v>
      </c>
      <c r="I166" s="138">
        <v>100</v>
      </c>
      <c r="J166" s="138">
        <v>17</v>
      </c>
      <c r="K166" s="137">
        <v>798</v>
      </c>
      <c r="L166" s="137">
        <v>5</v>
      </c>
      <c r="M166" s="137">
        <v>2</v>
      </c>
      <c r="N166" s="138">
        <v>57</v>
      </c>
      <c r="O166" s="138">
        <v>1</v>
      </c>
      <c r="P166" s="138">
        <v>1</v>
      </c>
      <c r="Q166" s="137">
        <v>49</v>
      </c>
      <c r="R166" s="137">
        <v>2</v>
      </c>
      <c r="S166" s="137">
        <v>1</v>
      </c>
      <c r="T166" s="138">
        <v>81</v>
      </c>
      <c r="U166" s="138">
        <v>5</v>
      </c>
      <c r="V166" s="138">
        <v>1</v>
      </c>
      <c r="W166" s="137">
        <v>986</v>
      </c>
      <c r="X166" s="137">
        <v>13</v>
      </c>
      <c r="Y166" s="24"/>
    </row>
  </sheetData>
  <mergeCells count="12">
    <mergeCell ref="A127:B127"/>
    <mergeCell ref="C127:D127"/>
    <mergeCell ref="A128:H128"/>
    <mergeCell ref="A68:I68"/>
    <mergeCell ref="A87:B87"/>
    <mergeCell ref="C87:E87"/>
    <mergeCell ref="A88:I88"/>
    <mergeCell ref="A28:C28"/>
    <mergeCell ref="A47:C47"/>
    <mergeCell ref="D28:E28"/>
    <mergeCell ref="A67:B67"/>
    <mergeCell ref="C67:E67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672A-76FC-497A-B246-A3AD5011873B}">
  <dimension ref="A1:N12"/>
  <sheetViews>
    <sheetView workbookViewId="0">
      <selection activeCell="H8" sqref="H8"/>
    </sheetView>
  </sheetViews>
  <sheetFormatPr defaultRowHeight="14.4"/>
  <cols>
    <col min="11" max="11" width="10.109375" bestFit="1" customWidth="1"/>
    <col min="12" max="12" width="15.33203125" bestFit="1" customWidth="1"/>
  </cols>
  <sheetData>
    <row r="1" spans="1:14">
      <c r="B1" s="3" t="s">
        <v>84</v>
      </c>
      <c r="C1" s="3" t="s">
        <v>85</v>
      </c>
      <c r="D1" s="3" t="s">
        <v>86</v>
      </c>
      <c r="E1" s="3" t="s">
        <v>87</v>
      </c>
      <c r="F1" s="3" t="s">
        <v>88</v>
      </c>
      <c r="G1" s="3" t="s">
        <v>89</v>
      </c>
      <c r="H1" s="3" t="s">
        <v>90</v>
      </c>
      <c r="I1" s="3"/>
      <c r="J1" s="3" t="s">
        <v>92</v>
      </c>
      <c r="K1" s="3" t="s">
        <v>96</v>
      </c>
      <c r="L1" s="3" t="s">
        <v>97</v>
      </c>
      <c r="N1" s="3" t="s">
        <v>16</v>
      </c>
    </row>
    <row r="3" spans="1:14">
      <c r="A3" s="3" t="s">
        <v>83</v>
      </c>
      <c r="B3">
        <v>12</v>
      </c>
      <c r="C3">
        <v>16</v>
      </c>
      <c r="D3">
        <v>40</v>
      </c>
      <c r="J3" s="3">
        <f>SUM(B3:I3)</f>
        <v>68</v>
      </c>
      <c r="K3">
        <f>J3*8</f>
        <v>544</v>
      </c>
    </row>
    <row r="4" spans="1:14">
      <c r="A4" s="3" t="s">
        <v>91</v>
      </c>
      <c r="B4">
        <v>12</v>
      </c>
      <c r="C4">
        <v>16</v>
      </c>
      <c r="D4">
        <v>40</v>
      </c>
      <c r="J4" s="3">
        <f t="shared" ref="J4:J5" si="0">SUM(B4:I4)</f>
        <v>68</v>
      </c>
      <c r="L4">
        <f>J4</f>
        <v>68</v>
      </c>
    </row>
    <row r="5" spans="1:14">
      <c r="A5" s="3" t="s">
        <v>93</v>
      </c>
      <c r="B5">
        <v>4</v>
      </c>
      <c r="C5">
        <v>4</v>
      </c>
      <c r="D5">
        <v>8</v>
      </c>
      <c r="J5" s="3">
        <f t="shared" si="0"/>
        <v>16</v>
      </c>
      <c r="L5">
        <f>J5</f>
        <v>16</v>
      </c>
    </row>
    <row r="6" spans="1:14">
      <c r="A6" s="3"/>
      <c r="J6" s="3"/>
    </row>
    <row r="7" spans="1:14">
      <c r="A7" s="3" t="s">
        <v>94</v>
      </c>
      <c r="E7">
        <v>92</v>
      </c>
      <c r="F7">
        <v>280</v>
      </c>
      <c r="G7">
        <f>26+4*86</f>
        <v>370</v>
      </c>
      <c r="H7">
        <f>26+4*86</f>
        <v>370</v>
      </c>
      <c r="J7" s="3">
        <f>SUM(B7:H7)</f>
        <v>1112</v>
      </c>
      <c r="K7">
        <f>J7*4</f>
        <v>4448</v>
      </c>
    </row>
    <row r="8" spans="1:14">
      <c r="A8" s="3" t="s">
        <v>95</v>
      </c>
      <c r="E8">
        <v>8</v>
      </c>
      <c r="F8">
        <v>24</v>
      </c>
      <c r="G8">
        <f>4+4*8</f>
        <v>36</v>
      </c>
      <c r="H8">
        <f>4+4*8</f>
        <v>36</v>
      </c>
      <c r="J8" s="3">
        <f>SUM(B8:H8)</f>
        <v>104</v>
      </c>
      <c r="L8">
        <f>J8</f>
        <v>104</v>
      </c>
    </row>
    <row r="10" spans="1:14">
      <c r="K10" s="3">
        <f>SUM(K3:K8)</f>
        <v>4992</v>
      </c>
      <c r="L10" s="3">
        <f>SUM(L3:L8)</f>
        <v>188</v>
      </c>
      <c r="N10" s="3">
        <f>SUM(K10:M10)</f>
        <v>5180</v>
      </c>
    </row>
    <row r="12" spans="1:14">
      <c r="J12" t="s">
        <v>98</v>
      </c>
      <c r="K12">
        <f>K10/4</f>
        <v>1248</v>
      </c>
      <c r="L12">
        <f>L10</f>
        <v>188</v>
      </c>
      <c r="N12" s="3">
        <f>SUM(K12:M12)</f>
        <v>1436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Rates</vt:lpstr>
      <vt:lpstr>Boards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Schambach, Joachim</dc:creator>
  <cp:lastModifiedBy>Schambach, Jo</cp:lastModifiedBy>
  <cp:lastPrinted>2025-08-14T12:59:03Z</cp:lastPrinted>
  <dcterms:created xsi:type="dcterms:W3CDTF">2022-06-10T20:49:35Z</dcterms:created>
  <dcterms:modified xsi:type="dcterms:W3CDTF">2026-06-24T11:49:37Z</dcterms:modified>
</cp:coreProperties>
</file>