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620" yWindow="880" windowWidth="36820" windowHeight="17320" tabRatio="500" activeTab="1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47" i="2" l="1"/>
  <c r="P123" i="2"/>
  <c r="H2" i="2"/>
  <c r="P2" i="2"/>
  <c r="O2" i="2"/>
  <c r="N2" i="2"/>
  <c r="E8" i="2"/>
  <c r="E10" i="2"/>
  <c r="E11" i="2"/>
  <c r="E12" i="2"/>
  <c r="E13" i="2"/>
  <c r="N7" i="2"/>
  <c r="I8" i="2"/>
  <c r="I9" i="2"/>
  <c r="I10" i="2"/>
  <c r="I11" i="2"/>
  <c r="I12" i="2"/>
  <c r="I13" i="2"/>
  <c r="O7" i="2"/>
  <c r="P7" i="2"/>
  <c r="I5" i="2"/>
  <c r="O4" i="2"/>
  <c r="N4" i="2"/>
  <c r="P4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204" i="2"/>
  <c r="I205" i="2"/>
  <c r="E208" i="2"/>
  <c r="I208" i="2"/>
  <c r="I209" i="2"/>
  <c r="E210" i="2"/>
  <c r="I210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E192" i="2"/>
  <c r="I192" i="2"/>
  <c r="E193" i="2"/>
  <c r="I193" i="2"/>
  <c r="E194" i="2"/>
  <c r="I194" i="2"/>
  <c r="E195" i="2"/>
  <c r="I195" i="2"/>
  <c r="E196" i="2"/>
  <c r="I196" i="2"/>
  <c r="E197" i="2"/>
  <c r="I197" i="2"/>
  <c r="I198" i="2"/>
  <c r="I199" i="2"/>
  <c r="I200" i="2"/>
  <c r="E201" i="2"/>
  <c r="I201" i="2"/>
  <c r="I202" i="2"/>
  <c r="I203" i="2"/>
  <c r="E206" i="2"/>
  <c r="I206" i="2"/>
  <c r="E207" i="2"/>
  <c r="I207" i="2"/>
  <c r="O159" i="2"/>
  <c r="N159" i="2"/>
  <c r="P159" i="2"/>
  <c r="I42" i="1"/>
  <c r="I41" i="1"/>
  <c r="I40" i="1"/>
  <c r="I39" i="1"/>
  <c r="I38" i="1"/>
  <c r="E148" i="2"/>
  <c r="I148" i="2"/>
  <c r="E149" i="2"/>
  <c r="I149" i="2"/>
  <c r="E150" i="2"/>
  <c r="I150" i="2"/>
  <c r="E151" i="2"/>
  <c r="I151" i="2"/>
  <c r="E152" i="2"/>
  <c r="I152" i="2"/>
  <c r="I153" i="2"/>
  <c r="E154" i="2"/>
  <c r="I154" i="2"/>
  <c r="E155" i="2"/>
  <c r="I155" i="2"/>
  <c r="E156" i="2"/>
  <c r="I156" i="2"/>
  <c r="E157" i="2"/>
  <c r="I157" i="2"/>
  <c r="O147" i="2"/>
  <c r="N14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E91" i="2"/>
  <c r="I91" i="2"/>
  <c r="I92" i="2"/>
  <c r="E93" i="2"/>
  <c r="I93" i="2"/>
  <c r="E94" i="2"/>
  <c r="I94" i="2"/>
  <c r="E95" i="2"/>
  <c r="I95" i="2"/>
  <c r="E96" i="2"/>
  <c r="I96" i="2"/>
  <c r="E97" i="2"/>
  <c r="I97" i="2"/>
  <c r="E98" i="2"/>
  <c r="I98" i="2"/>
  <c r="E99" i="2"/>
  <c r="I99" i="2"/>
  <c r="E100" i="2"/>
  <c r="I100" i="2"/>
  <c r="E101" i="2"/>
  <c r="I101" i="2"/>
  <c r="I102" i="2"/>
  <c r="I103" i="2"/>
  <c r="E104" i="2"/>
  <c r="I104" i="2"/>
  <c r="I105" i="2"/>
  <c r="E106" i="2"/>
  <c r="I106" i="2"/>
  <c r="I107" i="2"/>
  <c r="I108" i="2"/>
  <c r="I109" i="2"/>
  <c r="E110" i="2"/>
  <c r="I110" i="2"/>
  <c r="I111" i="2"/>
  <c r="I112" i="2"/>
  <c r="E113" i="2"/>
  <c r="I113" i="2"/>
  <c r="E114" i="2"/>
  <c r="I114" i="2"/>
  <c r="E115" i="2"/>
  <c r="I115" i="2"/>
  <c r="E116" i="2"/>
  <c r="I116" i="2"/>
  <c r="E117" i="2"/>
  <c r="I117" i="2"/>
  <c r="E118" i="2"/>
  <c r="I118" i="2"/>
  <c r="E119" i="2"/>
  <c r="I119" i="2"/>
  <c r="E120" i="2"/>
  <c r="I120" i="2"/>
  <c r="E121" i="2"/>
  <c r="I121" i="2"/>
  <c r="O17" i="2"/>
  <c r="N17" i="2"/>
  <c r="P17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E138" i="2"/>
  <c r="I138" i="2"/>
  <c r="E139" i="2"/>
  <c r="I139" i="2"/>
  <c r="E140" i="2"/>
  <c r="I140" i="2"/>
  <c r="E141" i="2"/>
  <c r="I141" i="2"/>
  <c r="E142" i="2"/>
  <c r="I142" i="2"/>
  <c r="E143" i="2"/>
  <c r="I143" i="2"/>
  <c r="E144" i="2"/>
  <c r="I144" i="2"/>
  <c r="E145" i="2"/>
  <c r="I145" i="2"/>
  <c r="O123" i="2"/>
  <c r="N123" i="2"/>
  <c r="K37" i="1"/>
  <c r="L37" i="1"/>
  <c r="M37" i="1"/>
  <c r="O34" i="1"/>
  <c r="N34" i="1"/>
  <c r="O45" i="1"/>
  <c r="N45" i="1"/>
  <c r="O89" i="1"/>
  <c r="N89" i="1"/>
  <c r="O140" i="1"/>
  <c r="N140" i="1"/>
  <c r="O169" i="1"/>
  <c r="N169" i="1"/>
  <c r="O174" i="1"/>
  <c r="N174" i="1"/>
  <c r="O196" i="1"/>
  <c r="N196" i="1"/>
  <c r="O213" i="1"/>
  <c r="N213" i="1"/>
  <c r="O352" i="1"/>
  <c r="N352" i="1"/>
  <c r="O337" i="1"/>
  <c r="N337" i="1"/>
  <c r="O326" i="1"/>
  <c r="N326" i="1"/>
  <c r="E367" i="1"/>
  <c r="I367" i="1"/>
  <c r="I366" i="1"/>
  <c r="E365" i="1"/>
  <c r="I365" i="1"/>
  <c r="E364" i="1"/>
  <c r="I364" i="1"/>
  <c r="E363" i="1"/>
  <c r="I363" i="1"/>
  <c r="E362" i="1"/>
  <c r="I362" i="1"/>
  <c r="E361" i="1"/>
  <c r="I361" i="1"/>
  <c r="K360" i="1"/>
  <c r="L360" i="1"/>
  <c r="M360" i="1"/>
  <c r="J360" i="1"/>
  <c r="E359" i="1"/>
  <c r="I359" i="1"/>
  <c r="E358" i="1"/>
  <c r="I358" i="1"/>
  <c r="E357" i="1"/>
  <c r="I357" i="1"/>
  <c r="E356" i="1"/>
  <c r="I356" i="1"/>
  <c r="E355" i="1"/>
  <c r="I355" i="1"/>
  <c r="E354" i="1"/>
  <c r="I354" i="1"/>
  <c r="K353" i="1"/>
  <c r="L353" i="1"/>
  <c r="M353" i="1"/>
  <c r="J353" i="1"/>
  <c r="I349" i="1"/>
  <c r="E348" i="1"/>
  <c r="I348" i="1"/>
  <c r="I347" i="1"/>
  <c r="I346" i="1"/>
  <c r="K345" i="1"/>
  <c r="L345" i="1"/>
  <c r="M345" i="1"/>
  <c r="J345" i="1"/>
  <c r="I344" i="1"/>
  <c r="I343" i="1"/>
  <c r="I342" i="1"/>
  <c r="E341" i="1"/>
  <c r="I341" i="1"/>
  <c r="E340" i="1"/>
  <c r="I340" i="1"/>
  <c r="E339" i="1"/>
  <c r="I339" i="1"/>
  <c r="K338" i="1"/>
  <c r="L338" i="1"/>
  <c r="M338" i="1"/>
  <c r="J338" i="1"/>
  <c r="I334" i="1"/>
  <c r="I333" i="1"/>
  <c r="I332" i="1"/>
  <c r="I331" i="1"/>
  <c r="I330" i="1"/>
  <c r="I329" i="1"/>
  <c r="I328" i="1"/>
  <c r="K327" i="1"/>
  <c r="L327" i="1"/>
  <c r="M327" i="1"/>
  <c r="J327" i="1"/>
  <c r="O309" i="1"/>
  <c r="N309" i="1"/>
  <c r="O292" i="1"/>
  <c r="N292" i="1"/>
  <c r="O263" i="1"/>
  <c r="N263" i="1"/>
  <c r="E323" i="1"/>
  <c r="I323" i="1"/>
  <c r="I322" i="1"/>
  <c r="E321" i="1"/>
  <c r="I321" i="1"/>
  <c r="I320" i="1"/>
  <c r="K319" i="1"/>
  <c r="L319" i="1"/>
  <c r="M319" i="1"/>
  <c r="J319" i="1"/>
  <c r="E318" i="1"/>
  <c r="I318" i="1"/>
  <c r="E317" i="1"/>
  <c r="I317" i="1"/>
  <c r="K316" i="1"/>
  <c r="L316" i="1"/>
  <c r="M316" i="1"/>
  <c r="J316" i="1"/>
  <c r="E315" i="1"/>
  <c r="I315" i="1"/>
  <c r="E314" i="1"/>
  <c r="I314" i="1"/>
  <c r="E313" i="1"/>
  <c r="I313" i="1"/>
  <c r="E312" i="1"/>
  <c r="I312" i="1"/>
  <c r="E311" i="1"/>
  <c r="I311" i="1"/>
  <c r="K310" i="1"/>
  <c r="L310" i="1"/>
  <c r="M310" i="1"/>
  <c r="J310" i="1"/>
  <c r="J309" i="1"/>
  <c r="I306" i="1"/>
  <c r="I305" i="1"/>
  <c r="K304" i="1"/>
  <c r="L304" i="1"/>
  <c r="M304" i="1"/>
  <c r="J304" i="1"/>
  <c r="I303" i="1"/>
  <c r="K302" i="1"/>
  <c r="L302" i="1"/>
  <c r="M302" i="1"/>
  <c r="J302" i="1"/>
  <c r="I301" i="1"/>
  <c r="I300" i="1"/>
  <c r="K299" i="1"/>
  <c r="L299" i="1"/>
  <c r="M299" i="1"/>
  <c r="J299" i="1"/>
  <c r="E298" i="1"/>
  <c r="I298" i="1"/>
  <c r="E297" i="1"/>
  <c r="I297" i="1"/>
  <c r="E296" i="1"/>
  <c r="I296" i="1"/>
  <c r="E295" i="1"/>
  <c r="I295" i="1"/>
  <c r="E294" i="1"/>
  <c r="I294" i="1"/>
  <c r="K293" i="1"/>
  <c r="L293" i="1"/>
  <c r="M293" i="1"/>
  <c r="J293" i="1"/>
  <c r="J292" i="1"/>
  <c r="I289" i="1"/>
  <c r="I288" i="1"/>
  <c r="K287" i="1"/>
  <c r="L287" i="1"/>
  <c r="M287" i="1"/>
  <c r="J287" i="1"/>
  <c r="I286" i="1"/>
  <c r="I285" i="1"/>
  <c r="E284" i="1"/>
  <c r="I284" i="1"/>
  <c r="I283" i="1"/>
  <c r="I282" i="1"/>
  <c r="E281" i="1"/>
  <c r="I281" i="1"/>
  <c r="E280" i="1"/>
  <c r="I280" i="1"/>
  <c r="E279" i="1"/>
  <c r="I279" i="1"/>
  <c r="E278" i="1"/>
  <c r="I278" i="1"/>
  <c r="I277" i="1"/>
  <c r="K276" i="1"/>
  <c r="L276" i="1"/>
  <c r="M276" i="1"/>
  <c r="J276" i="1"/>
  <c r="I275" i="1"/>
  <c r="K274" i="1"/>
  <c r="L274" i="1"/>
  <c r="M274" i="1"/>
  <c r="J274" i="1"/>
  <c r="I273" i="1"/>
  <c r="I272" i="1"/>
  <c r="I271" i="1"/>
  <c r="K270" i="1"/>
  <c r="L270" i="1"/>
  <c r="M270" i="1"/>
  <c r="J270" i="1"/>
  <c r="E269" i="1"/>
  <c r="I269" i="1"/>
  <c r="E268" i="1"/>
  <c r="I268" i="1"/>
  <c r="E267" i="1"/>
  <c r="I267" i="1"/>
  <c r="E266" i="1"/>
  <c r="I266" i="1"/>
  <c r="E265" i="1"/>
  <c r="I265" i="1"/>
  <c r="K264" i="1"/>
  <c r="L264" i="1"/>
  <c r="M264" i="1"/>
  <c r="J264" i="1"/>
  <c r="J263" i="1"/>
  <c r="O251" i="1"/>
  <c r="N251" i="1"/>
  <c r="O237" i="1"/>
  <c r="N237" i="1"/>
  <c r="I260" i="1"/>
  <c r="K259" i="1"/>
  <c r="L259" i="1"/>
  <c r="M259" i="1"/>
  <c r="J259" i="1"/>
  <c r="I258" i="1"/>
  <c r="K257" i="1"/>
  <c r="L257" i="1"/>
  <c r="M257" i="1"/>
  <c r="J257" i="1"/>
  <c r="I256" i="1"/>
  <c r="I255" i="1"/>
  <c r="K254" i="1"/>
  <c r="L254" i="1"/>
  <c r="M254" i="1"/>
  <c r="J254" i="1"/>
  <c r="I253" i="1"/>
  <c r="K252" i="1"/>
  <c r="L252" i="1"/>
  <c r="M252" i="1"/>
  <c r="J252" i="1"/>
  <c r="O228" i="1"/>
  <c r="N228" i="1"/>
  <c r="I248" i="1"/>
  <c r="I247" i="1"/>
  <c r="K246" i="1"/>
  <c r="L246" i="1"/>
  <c r="M246" i="1"/>
  <c r="J246" i="1"/>
  <c r="I245" i="1"/>
  <c r="K244" i="1"/>
  <c r="L244" i="1"/>
  <c r="M244" i="1"/>
  <c r="J244" i="1"/>
  <c r="I243" i="1"/>
  <c r="K242" i="1"/>
  <c r="L242" i="1"/>
  <c r="M242" i="1"/>
  <c r="J242" i="1"/>
  <c r="I241" i="1"/>
  <c r="K240" i="1"/>
  <c r="L240" i="1"/>
  <c r="M240" i="1"/>
  <c r="J240" i="1"/>
  <c r="I239" i="1"/>
  <c r="K238" i="1"/>
  <c r="L238" i="1"/>
  <c r="M238" i="1"/>
  <c r="J238" i="1"/>
  <c r="I234" i="1"/>
  <c r="I233" i="1"/>
  <c r="K232" i="1"/>
  <c r="L232" i="1"/>
  <c r="M232" i="1"/>
  <c r="J232" i="1"/>
  <c r="I231" i="1"/>
  <c r="I230" i="1"/>
  <c r="K229" i="1"/>
  <c r="L229" i="1"/>
  <c r="M229" i="1"/>
  <c r="J229" i="1"/>
  <c r="O220" i="1"/>
  <c r="N220" i="1"/>
  <c r="I226" i="1"/>
  <c r="K225" i="1"/>
  <c r="L225" i="1"/>
  <c r="M225" i="1"/>
  <c r="J225" i="1"/>
  <c r="I224" i="1"/>
  <c r="K223" i="1"/>
  <c r="L223" i="1"/>
  <c r="M223" i="1"/>
  <c r="J223" i="1"/>
  <c r="E222" i="1"/>
  <c r="I222" i="1"/>
  <c r="K221" i="1"/>
  <c r="L221" i="1"/>
  <c r="M221" i="1"/>
  <c r="J221" i="1"/>
  <c r="I217" i="1"/>
  <c r="K216" i="1"/>
  <c r="L216" i="1"/>
  <c r="M216" i="1"/>
  <c r="J216" i="1"/>
  <c r="I215" i="1"/>
  <c r="K214" i="1"/>
  <c r="L214" i="1"/>
  <c r="M214" i="1"/>
  <c r="J214" i="1"/>
  <c r="I210" i="1"/>
  <c r="I209" i="1"/>
  <c r="K208" i="1"/>
  <c r="L208" i="1"/>
  <c r="M208" i="1"/>
  <c r="J208" i="1"/>
  <c r="I207" i="1"/>
  <c r="K206" i="1"/>
  <c r="L206" i="1"/>
  <c r="M206" i="1"/>
  <c r="J206" i="1"/>
  <c r="I205" i="1"/>
  <c r="K204" i="1"/>
  <c r="L204" i="1"/>
  <c r="M204" i="1"/>
  <c r="J204" i="1"/>
  <c r="I203" i="1"/>
  <c r="K202" i="1"/>
  <c r="L202" i="1"/>
  <c r="M202" i="1"/>
  <c r="J202" i="1"/>
  <c r="I201" i="1"/>
  <c r="K200" i="1"/>
  <c r="L200" i="1"/>
  <c r="M200" i="1"/>
  <c r="J200" i="1"/>
  <c r="I199" i="1"/>
  <c r="I198" i="1"/>
  <c r="K197" i="1"/>
  <c r="L197" i="1"/>
  <c r="M197" i="1"/>
  <c r="J197" i="1"/>
  <c r="I193" i="1"/>
  <c r="I192" i="1"/>
  <c r="K191" i="1"/>
  <c r="L191" i="1"/>
  <c r="M191" i="1"/>
  <c r="J191" i="1"/>
  <c r="I190" i="1"/>
  <c r="K189" i="1"/>
  <c r="L189" i="1"/>
  <c r="M189" i="1"/>
  <c r="J189" i="1"/>
  <c r="I188" i="1"/>
  <c r="I187" i="1"/>
  <c r="K186" i="1"/>
  <c r="L186" i="1"/>
  <c r="M186" i="1"/>
  <c r="J186" i="1"/>
  <c r="I185" i="1"/>
  <c r="K184" i="1"/>
  <c r="L184" i="1"/>
  <c r="M184" i="1"/>
  <c r="J184" i="1"/>
  <c r="I183" i="1"/>
  <c r="K182" i="1"/>
  <c r="L182" i="1"/>
  <c r="M182" i="1"/>
  <c r="J182" i="1"/>
  <c r="I181" i="1"/>
  <c r="K180" i="1"/>
  <c r="L180" i="1"/>
  <c r="M180" i="1"/>
  <c r="J180" i="1"/>
  <c r="I179" i="1"/>
  <c r="K178" i="1"/>
  <c r="L178" i="1"/>
  <c r="M178" i="1"/>
  <c r="J178" i="1"/>
  <c r="I177" i="1"/>
  <c r="I176" i="1"/>
  <c r="K175" i="1"/>
  <c r="L175" i="1"/>
  <c r="M175" i="1"/>
  <c r="J175" i="1"/>
  <c r="K90" i="1"/>
  <c r="K115" i="1"/>
  <c r="K123" i="1"/>
  <c r="K129" i="1"/>
  <c r="K131" i="1"/>
  <c r="K134" i="1"/>
  <c r="K136" i="1"/>
  <c r="K141" i="1"/>
  <c r="K146" i="1"/>
  <c r="K154" i="1"/>
  <c r="K160" i="1"/>
  <c r="K162" i="1"/>
  <c r="K165" i="1"/>
  <c r="K17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L90" i="1"/>
  <c r="M90" i="1"/>
  <c r="I116" i="1"/>
  <c r="I117" i="1"/>
  <c r="I118" i="1"/>
  <c r="I119" i="1"/>
  <c r="I120" i="1"/>
  <c r="I121" i="1"/>
  <c r="I122" i="1"/>
  <c r="L115" i="1"/>
  <c r="M115" i="1"/>
  <c r="I124" i="1"/>
  <c r="I125" i="1"/>
  <c r="I126" i="1"/>
  <c r="I127" i="1"/>
  <c r="I128" i="1"/>
  <c r="L123" i="1"/>
  <c r="M123" i="1"/>
  <c r="I130" i="1"/>
  <c r="L129" i="1"/>
  <c r="M129" i="1"/>
  <c r="I132" i="1"/>
  <c r="I133" i="1"/>
  <c r="L131" i="1"/>
  <c r="M131" i="1"/>
  <c r="I135" i="1"/>
  <c r="L134" i="1"/>
  <c r="M134" i="1"/>
  <c r="I137" i="1"/>
  <c r="L136" i="1"/>
  <c r="M136" i="1"/>
  <c r="I142" i="1"/>
  <c r="I143" i="1"/>
  <c r="I144" i="1"/>
  <c r="I145" i="1"/>
  <c r="L141" i="1"/>
  <c r="M141" i="1"/>
  <c r="I147" i="1"/>
  <c r="I148" i="1"/>
  <c r="I149" i="1"/>
  <c r="I150" i="1"/>
  <c r="I151" i="1"/>
  <c r="I152" i="1"/>
  <c r="I153" i="1"/>
  <c r="L146" i="1"/>
  <c r="M146" i="1"/>
  <c r="I155" i="1"/>
  <c r="I156" i="1"/>
  <c r="I157" i="1"/>
  <c r="I158" i="1"/>
  <c r="I159" i="1"/>
  <c r="L154" i="1"/>
  <c r="M154" i="1"/>
  <c r="I161" i="1"/>
  <c r="L160" i="1"/>
  <c r="M160" i="1"/>
  <c r="I163" i="1"/>
  <c r="I164" i="1"/>
  <c r="L162" i="1"/>
  <c r="M162" i="1"/>
  <c r="I166" i="1"/>
  <c r="L165" i="1"/>
  <c r="M165" i="1"/>
  <c r="I171" i="1"/>
  <c r="L170" i="1"/>
  <c r="M170" i="1"/>
  <c r="J90" i="1"/>
  <c r="J115" i="1"/>
  <c r="J123" i="1"/>
  <c r="J129" i="1"/>
  <c r="J131" i="1"/>
  <c r="J134" i="1"/>
  <c r="J136" i="1"/>
  <c r="J141" i="1"/>
  <c r="J146" i="1"/>
  <c r="J154" i="1"/>
  <c r="J160" i="1"/>
  <c r="J162" i="1"/>
  <c r="J165" i="1"/>
  <c r="J170" i="1"/>
  <c r="I86" i="1"/>
  <c r="K85" i="1"/>
  <c r="L85" i="1"/>
  <c r="M85" i="1"/>
  <c r="I84" i="1"/>
  <c r="I83" i="1"/>
  <c r="I82" i="1"/>
  <c r="I81" i="1"/>
  <c r="I80" i="1"/>
  <c r="I79" i="1"/>
  <c r="I78" i="1"/>
  <c r="I77" i="1"/>
  <c r="I76" i="1"/>
  <c r="I75" i="1"/>
  <c r="K74" i="1"/>
  <c r="L74" i="1"/>
  <c r="M74" i="1"/>
  <c r="J74" i="1"/>
  <c r="I73" i="1"/>
  <c r="I72" i="1"/>
  <c r="I71" i="1"/>
  <c r="I70" i="1"/>
  <c r="I69" i="1"/>
  <c r="I68" i="1"/>
  <c r="I67" i="1"/>
  <c r="I66" i="1"/>
  <c r="I65" i="1"/>
  <c r="I64" i="1"/>
  <c r="K63" i="1"/>
  <c r="L63" i="1"/>
  <c r="M63" i="1"/>
  <c r="J63" i="1"/>
  <c r="I62" i="1"/>
  <c r="I61" i="1"/>
  <c r="I60" i="1"/>
  <c r="K59" i="1"/>
  <c r="L59" i="1"/>
  <c r="M59" i="1"/>
  <c r="J59" i="1"/>
  <c r="I58" i="1"/>
  <c r="I57" i="1"/>
  <c r="I56" i="1"/>
  <c r="I55" i="1"/>
  <c r="K54" i="1"/>
  <c r="L54" i="1"/>
  <c r="M54" i="1"/>
  <c r="J54" i="1"/>
  <c r="I53" i="1"/>
  <c r="I52" i="1"/>
  <c r="I51" i="1"/>
  <c r="K50" i="1"/>
  <c r="L50" i="1"/>
  <c r="M50" i="1"/>
  <c r="J50" i="1"/>
  <c r="I49" i="1"/>
  <c r="I48" i="1"/>
  <c r="I47" i="1"/>
  <c r="K46" i="1"/>
  <c r="L46" i="1"/>
  <c r="M46" i="1"/>
  <c r="J46" i="1"/>
  <c r="K3" i="1"/>
  <c r="I4" i="1"/>
  <c r="I5" i="1"/>
  <c r="I6" i="1"/>
  <c r="I7" i="1"/>
  <c r="I8" i="1"/>
  <c r="I9" i="1"/>
  <c r="I10" i="1"/>
  <c r="I11" i="1"/>
  <c r="I12" i="1"/>
  <c r="I13" i="1"/>
  <c r="I14" i="1"/>
  <c r="L3" i="1"/>
  <c r="M3" i="1"/>
  <c r="K15" i="1"/>
  <c r="I16" i="1"/>
  <c r="I17" i="1"/>
  <c r="I18" i="1"/>
  <c r="I19" i="1"/>
  <c r="I20" i="1"/>
  <c r="I21" i="1"/>
  <c r="I22" i="1"/>
  <c r="I23" i="1"/>
  <c r="L15" i="1"/>
  <c r="M15" i="1"/>
  <c r="K24" i="1"/>
  <c r="I25" i="1"/>
  <c r="I26" i="1"/>
  <c r="I27" i="1"/>
  <c r="I28" i="1"/>
  <c r="I29" i="1"/>
  <c r="I30" i="1"/>
  <c r="I31" i="1"/>
  <c r="L24" i="1"/>
  <c r="M24" i="1"/>
  <c r="K35" i="1"/>
  <c r="I36" i="1"/>
  <c r="L35" i="1"/>
  <c r="M35" i="1"/>
  <c r="J37" i="1"/>
  <c r="J35" i="1"/>
  <c r="N2" i="1"/>
  <c r="O2" i="1"/>
  <c r="J3" i="1"/>
  <c r="J15" i="1"/>
  <c r="J24" i="1"/>
</calcChain>
</file>

<file path=xl/sharedStrings.xml><?xml version="1.0" encoding="utf-8"?>
<sst xmlns="http://schemas.openxmlformats.org/spreadsheetml/2006/main" count="2042" uniqueCount="488">
  <si>
    <t>web quote</t>
  </si>
  <si>
    <t>Pending</t>
  </si>
  <si>
    <t>Mcmaster</t>
  </si>
  <si>
    <t>Presure Relief Valves 1" (2) SS</t>
  </si>
  <si>
    <t>Web Quote</t>
  </si>
  <si>
    <t xml:space="preserve">Various </t>
  </si>
  <si>
    <t>House water Monitor (pressure)</t>
  </si>
  <si>
    <t>estimate</t>
  </si>
  <si>
    <t>various</t>
  </si>
  <si>
    <t>Electronic hardware</t>
  </si>
  <si>
    <t>Omega</t>
  </si>
  <si>
    <t>RTD  transmitter+local read (7)</t>
  </si>
  <si>
    <t>RTDs  (8)</t>
  </si>
  <si>
    <t>Transmitting Flowmeters (SS 1") (8)</t>
  </si>
  <si>
    <t>quote</t>
  </si>
  <si>
    <t>Dwyer</t>
  </si>
  <si>
    <t>Pressure Transmitters (8 min)</t>
  </si>
  <si>
    <r>
      <t xml:space="preserve">     </t>
    </r>
    <r>
      <rPr>
        <sz val="12"/>
        <color theme="1"/>
        <rFont val="Calibri"/>
        <family val="2"/>
        <scheme val="minor"/>
      </rPr>
      <t xml:space="preserve"> Set up TPC Cooling System Interlocks and Safety System</t>
    </r>
  </si>
  <si>
    <t>1.2.7.3.9</t>
  </si>
  <si>
    <t>McMaster</t>
  </si>
  <si>
    <t>House Water Manifolding (brass)</t>
  </si>
  <si>
    <t>web Quote</t>
  </si>
  <si>
    <t>MSC</t>
  </si>
  <si>
    <t>Poly lines to detector (Various)</t>
  </si>
  <si>
    <t>Swagelok</t>
  </si>
  <si>
    <t>Large Compression fittings SS</t>
  </si>
  <si>
    <t>1 1/4" Braided lines  (316 SS)</t>
  </si>
  <si>
    <t>experience</t>
  </si>
  <si>
    <t>SS Pipe fittings</t>
  </si>
  <si>
    <t xml:space="preserve">5/16" SS Coil (0.250 ID Min) </t>
  </si>
  <si>
    <t>old Quote x inflation</t>
  </si>
  <si>
    <t xml:space="preserve">1" SS Thin walled Lines </t>
  </si>
  <si>
    <t>1 1/4" thin walled  SS Lines</t>
  </si>
  <si>
    <t xml:space="preserve">      Install TPC Cooling System plumbing</t>
  </si>
  <si>
    <t>1.2.7.3.8</t>
  </si>
  <si>
    <t>Manifold valving (24)</t>
  </si>
  <si>
    <t>Pressure gauges (8)</t>
  </si>
  <si>
    <t>Bypass Valving at detector</t>
  </si>
  <si>
    <t>Quote + experience</t>
  </si>
  <si>
    <t>Compression fittings SS (various)</t>
  </si>
  <si>
    <t>Flowmeter 24(SS) water</t>
  </si>
  <si>
    <t>Hardware (panel, brackets, mnts)</t>
  </si>
  <si>
    <t>SS Manifolds (4)  12 port</t>
  </si>
  <si>
    <t>Valving for Chiller Switchover</t>
  </si>
  <si>
    <t>Particle filters (3)</t>
  </si>
  <si>
    <t>Deionizing filters (2)</t>
  </si>
  <si>
    <t>Quote</t>
  </si>
  <si>
    <t>Thermo Scientific Merlin</t>
  </si>
  <si>
    <t>Chillers  watt 10C(3)</t>
  </si>
  <si>
    <t>Procure TPC Cooling Sys tem equipment(pumps,heat exchanger, PH control, manifolds, tanks…)</t>
  </si>
  <si>
    <t>1.2.7.3.4</t>
  </si>
  <si>
    <t xml:space="preserve">   TPC Cooling System</t>
  </si>
  <si>
    <t>1.2.7.3</t>
  </si>
  <si>
    <t>Grand Total w/ Contingency</t>
  </si>
  <si>
    <t>Grand Total</t>
  </si>
  <si>
    <t>Total w/ Contingency</t>
  </si>
  <si>
    <t>Contingency</t>
  </si>
  <si>
    <t>Total</t>
  </si>
  <si>
    <t>Wt Contingency</t>
  </si>
  <si>
    <t>Item Contingency</t>
  </si>
  <si>
    <t>Basis of Estimate</t>
  </si>
  <si>
    <t>Status</t>
  </si>
  <si>
    <t>Vendor</t>
  </si>
  <si>
    <t>Item</t>
  </si>
  <si>
    <t>Description</t>
  </si>
  <si>
    <t>WBS</t>
  </si>
  <si>
    <t>1.2.7.1</t>
  </si>
  <si>
    <t xml:space="preserve">   TPC Laser System</t>
  </si>
  <si>
    <t>1.2.7.1.2</t>
  </si>
  <si>
    <t xml:space="preserve">      Procure TPC laser(s)</t>
  </si>
  <si>
    <t>Laser</t>
  </si>
  <si>
    <t>Newport</t>
  </si>
  <si>
    <t>Manufacturer Quote</t>
  </si>
  <si>
    <t>1.2.7.1.3</t>
  </si>
  <si>
    <t xml:space="preserve">      Procure TPC optics with mirrors</t>
  </si>
  <si>
    <t>Experience</t>
  </si>
  <si>
    <t>1.2.7.2</t>
  </si>
  <si>
    <t xml:space="preserve">   TPC Gas System</t>
  </si>
  <si>
    <t>1.2.7.2.2</t>
  </si>
  <si>
    <t xml:space="preserve">      Procure TPC Gas System mass flow meters</t>
  </si>
  <si>
    <t>Flowcontrollers</t>
  </si>
  <si>
    <t>Power supply</t>
  </si>
  <si>
    <t>Web</t>
  </si>
  <si>
    <t>Cables</t>
  </si>
  <si>
    <t>web</t>
  </si>
  <si>
    <t>1.2.7.2.3</t>
  </si>
  <si>
    <t xml:space="preserve">      Procure TPC Gas System Analyzers (2 for redundancy)</t>
  </si>
  <si>
    <t>Cf4 Analyzer</t>
  </si>
  <si>
    <t>past quote</t>
  </si>
  <si>
    <t>Iso Analyzer</t>
  </si>
  <si>
    <t>1.2.7.2.4</t>
  </si>
  <si>
    <t xml:space="preserve">      Procure TPC Gas System scrubbers</t>
  </si>
  <si>
    <t>Vessel</t>
  </si>
  <si>
    <t>Catalyst</t>
  </si>
  <si>
    <t>Molecular sieves</t>
  </si>
  <si>
    <t>Heater and temp controller</t>
  </si>
  <si>
    <t>OMEGA</t>
  </si>
  <si>
    <t>1.2.7.2.5</t>
  </si>
  <si>
    <t xml:space="preserve">      Procure TPC Gas System oxygen and water sensors</t>
  </si>
  <si>
    <t xml:space="preserve">H2O analyzers </t>
  </si>
  <si>
    <t>O2 Analyzers</t>
  </si>
  <si>
    <t>1.2.7.2.7</t>
  </si>
  <si>
    <t xml:space="preserve">      Set up TPC Gas System computer control</t>
  </si>
  <si>
    <t>Electronics Design</t>
  </si>
  <si>
    <t>CSINO</t>
  </si>
  <si>
    <t>Past Cost</t>
  </si>
  <si>
    <t>Design Control Software</t>
  </si>
  <si>
    <t xml:space="preserve">Procure Gas system Electronic Crate </t>
  </si>
  <si>
    <t>Allied</t>
  </si>
  <si>
    <t>Procure Electronics Modules</t>
  </si>
  <si>
    <t>CSino</t>
  </si>
  <si>
    <t>past cost</t>
  </si>
  <si>
    <t>Procure Hardware for electronics (Cabels,termanals,Etc)</t>
  </si>
  <si>
    <t>Various</t>
  </si>
  <si>
    <t>Estimate</t>
  </si>
  <si>
    <t>Procure Gas System Control PC</t>
  </si>
  <si>
    <t>Dell</t>
  </si>
  <si>
    <t>Procure Power supplies</t>
  </si>
  <si>
    <t>Procure Mounting hardware</t>
  </si>
  <si>
    <t>Procure Al Panels</t>
  </si>
  <si>
    <t>McMAster</t>
  </si>
  <si>
    <t>Procure Electronics Rack</t>
  </si>
  <si>
    <t>1.2.7.2.8</t>
  </si>
  <si>
    <t xml:space="preserve">      Assemble and Plumb TPC Gas System</t>
  </si>
  <si>
    <t xml:space="preserve">Procure Stainless compression fittings </t>
  </si>
  <si>
    <t>old order</t>
  </si>
  <si>
    <t>Procure Stainless Tubing</t>
  </si>
  <si>
    <t>Swaglok/Mcmaster</t>
  </si>
  <si>
    <t>Procure Monitoring instrumentation</t>
  </si>
  <si>
    <t>past order</t>
  </si>
  <si>
    <t>Procure Electronic Pressure Controller</t>
  </si>
  <si>
    <t>Tescom</t>
  </si>
  <si>
    <t>Procure Compressors (2)</t>
  </si>
  <si>
    <t>Aid Dimensions</t>
  </si>
  <si>
    <t>Procure Stainless Solenoids</t>
  </si>
  <si>
    <t>Parker</t>
  </si>
  <si>
    <t>Procure Stainless Valves</t>
  </si>
  <si>
    <t>Procure AL Panels</t>
  </si>
  <si>
    <t>1.2.7.2.9</t>
  </si>
  <si>
    <t xml:space="preserve">      Install and Test TPC Gas System Interlocks</t>
  </si>
  <si>
    <t>This is part of Computer control</t>
  </si>
  <si>
    <t xml:space="preserve">      Procure TPC v2 Field Cage Modification Parts</t>
  </si>
  <si>
    <t>1.2.1.3.2</t>
  </si>
  <si>
    <t xml:space="preserve">   TPC Final Field Cage</t>
  </si>
  <si>
    <t>1.2.1.3</t>
  </si>
  <si>
    <t>Pend</t>
  </si>
  <si>
    <t xml:space="preserve">      Procure TPC v2 Central Membrane Parts</t>
  </si>
  <si>
    <t>1.2.1.2.15</t>
  </si>
  <si>
    <t>Outside Vendor</t>
  </si>
  <si>
    <t>Machining</t>
  </si>
  <si>
    <t>Vendor Quote</t>
  </si>
  <si>
    <t>Yarde Metals</t>
  </si>
  <si>
    <t>Aluminum</t>
  </si>
  <si>
    <t xml:space="preserve">      Procure TPC v2 End Cap</t>
  </si>
  <si>
    <t>1.2.1.2.13</t>
  </si>
  <si>
    <t>BNL Shops Estimate</t>
  </si>
  <si>
    <t>End Rings</t>
  </si>
  <si>
    <t xml:space="preserve">      Procure TPC Field Cage Prototype v2 End Rings</t>
  </si>
  <si>
    <t>1.2.1.2.11</t>
  </si>
  <si>
    <t>DigiKey</t>
  </si>
  <si>
    <t>HVPW Resistors</t>
  </si>
  <si>
    <t>ePlastics</t>
  </si>
  <si>
    <t>FR4 Sheets 4' x 4'</t>
  </si>
  <si>
    <t>Dunmore</t>
  </si>
  <si>
    <t>3 mil kapton 44" x 108 LF</t>
  </si>
  <si>
    <t>All-flex</t>
  </si>
  <si>
    <t>Striped circuit cards</t>
  </si>
  <si>
    <t xml:space="preserve">      Procure TPC v2 Inner Field Cage Parts</t>
  </si>
  <si>
    <t>1.2.1.2.8</t>
  </si>
  <si>
    <t>Dielectric Sciences</t>
  </si>
  <si>
    <t>High Voltage Cable</t>
  </si>
  <si>
    <t>HVPW resistors</t>
  </si>
  <si>
    <t xml:space="preserve">ePlastics </t>
  </si>
  <si>
    <t>FR4 outer sheets 4' x 4'</t>
  </si>
  <si>
    <t>Existing PO</t>
  </si>
  <si>
    <t>3 mil kapton 22" x 108 LF</t>
  </si>
  <si>
    <t>Plascorp</t>
  </si>
  <si>
    <t>Honeycomb</t>
  </si>
  <si>
    <t xml:space="preserve">      Procure TPC v2 Outer Field Cage Parts</t>
  </si>
  <si>
    <t>1.2.1.2.5</t>
  </si>
  <si>
    <t>Wire/connectors</t>
  </si>
  <si>
    <t>Estimate from v1</t>
  </si>
  <si>
    <t>McMaster-Carr</t>
  </si>
  <si>
    <t>Adhesive, lab supplies</t>
  </si>
  <si>
    <t>T-slotted framing 8020</t>
  </si>
  <si>
    <t>General Plastics</t>
  </si>
  <si>
    <t>FR4520 tooling Foam</t>
  </si>
  <si>
    <t xml:space="preserve">      Procure TPC v2 Mandrel Parts</t>
  </si>
  <si>
    <t>1.2.1.2.2</t>
  </si>
  <si>
    <t>TPC v2 Field Cage</t>
  </si>
  <si>
    <t>1.2.1.2</t>
  </si>
  <si>
    <t xml:space="preserve">      Procure TPC Handling Cart</t>
  </si>
  <si>
    <t>1.2.1.1.18</t>
  </si>
  <si>
    <t xml:space="preserve">      Procure TPC v1 Central Membrane Parts</t>
  </si>
  <si>
    <t>1.2.1.1.16</t>
  </si>
  <si>
    <t xml:space="preserve">      Procure TPC v1 End Cap</t>
  </si>
  <si>
    <t>1.2.1.1.14</t>
  </si>
  <si>
    <t xml:space="preserve">      Procure TPC Field Cage Prototype v1 End Rings</t>
  </si>
  <si>
    <t>1.2.1.1.12</t>
  </si>
  <si>
    <t>DELIVERED</t>
  </si>
  <si>
    <t xml:space="preserve">      Procure TPC v1 Inner Field Cage Parts</t>
  </si>
  <si>
    <t>1.2.1.1.9</t>
  </si>
  <si>
    <t>Web Search</t>
  </si>
  <si>
    <t xml:space="preserve">      Procure TPC v1 Outer Field Cage Parts</t>
  </si>
  <si>
    <t>1.2.1.1.6</t>
  </si>
  <si>
    <t>F.W. Hall Company</t>
  </si>
  <si>
    <t>Web Tension Applicator Toolset</t>
  </si>
  <si>
    <t>Copley Controls</t>
  </si>
  <si>
    <t>Motor Controller Access. Kits</t>
  </si>
  <si>
    <t>Acopian</t>
  </si>
  <si>
    <t>PS for shaft motor (48 V 24 A)</t>
  </si>
  <si>
    <t>Automation Direct</t>
  </si>
  <si>
    <t>PS for translation motor (24 V 24 A)</t>
  </si>
  <si>
    <t>MicroMo</t>
  </si>
  <si>
    <t>SM motor</t>
  </si>
  <si>
    <t>SM encoder</t>
  </si>
  <si>
    <t>Motor Controllers</t>
  </si>
  <si>
    <t>Microscope Store</t>
  </si>
  <si>
    <t>USB microscope</t>
  </si>
  <si>
    <t>2" flanged Collars for motor/encoder</t>
  </si>
  <si>
    <t>Lin Tech</t>
  </si>
  <si>
    <t>Lead Screw</t>
  </si>
  <si>
    <t>Renishaw</t>
  </si>
  <si>
    <t>Position Encoders</t>
  </si>
  <si>
    <t>Grainger</t>
  </si>
  <si>
    <t>Laminate Trimmer</t>
  </si>
  <si>
    <t>Harmonic Drive</t>
  </si>
  <si>
    <t>SHA32A161SG-B12BLV-10S17b-AN</t>
  </si>
  <si>
    <t>RSF-14B-30-F100-24B</t>
  </si>
  <si>
    <t>Technico</t>
  </si>
  <si>
    <t>2" diameter 9' long shaft</t>
  </si>
  <si>
    <t>Mouser</t>
  </si>
  <si>
    <t>Optical readout for DVM (IBF)</t>
  </si>
  <si>
    <t>Tooling for Mandrel Table</t>
  </si>
  <si>
    <t>Clean Hood Motor Repair</t>
  </si>
  <si>
    <t/>
  </si>
  <si>
    <t>8020 parts</t>
  </si>
  <si>
    <t>Sierra Express Circuits</t>
  </si>
  <si>
    <t>HVPF Boards</t>
  </si>
  <si>
    <t xml:space="preserve">      Procure TPC v1 Mandrel Parts</t>
  </si>
  <si>
    <t>1.2.1.1.3</t>
  </si>
  <si>
    <t xml:space="preserve">   TPC v1 Field Cage Prototype</t>
  </si>
  <si>
    <t>1.2.1.1</t>
  </si>
  <si>
    <t>1.2.1.4</t>
  </si>
  <si>
    <t xml:space="preserve">   TPC v1 Modules</t>
  </si>
  <si>
    <t>1.2.1.4.1.2</t>
  </si>
  <si>
    <t xml:space="preserve">         Procure TPC v1 Module Gas Enclosure Parts</t>
  </si>
  <si>
    <t>Gas</t>
  </si>
  <si>
    <t>Recent Purchase</t>
  </si>
  <si>
    <t>1.2.1.4.2.2</t>
  </si>
  <si>
    <t xml:space="preserve">         Procure TPC v1 Module Strongback</t>
  </si>
  <si>
    <t>SBU Shop Quote</t>
  </si>
  <si>
    <t>1.2.1.4.2.4</t>
  </si>
  <si>
    <t xml:space="preserve">         Procure TPC v1 Module Frames</t>
  </si>
  <si>
    <t>Sbu Shop Quote</t>
  </si>
  <si>
    <t>1.2.1.4.2.6</t>
  </si>
  <si>
    <t xml:space="preserve">         Procure TPC v1 Grid Parts</t>
  </si>
  <si>
    <t>1.2.1.4.3.2</t>
  </si>
  <si>
    <t>Procure TPC cv1a Module Padplane</t>
  </si>
  <si>
    <t>PadPlane</t>
  </si>
  <si>
    <t>Somacis</t>
  </si>
  <si>
    <t>1.2.1.4.3.4</t>
  </si>
  <si>
    <t>Procure TPC v1a Module GEMs</t>
  </si>
  <si>
    <t>GEM Mask</t>
  </si>
  <si>
    <t>CERN</t>
  </si>
  <si>
    <t>GEMs</t>
  </si>
  <si>
    <t>1.2.1.4.4.2</t>
  </si>
  <si>
    <t>Procure TPC v1b Module Padplane</t>
  </si>
  <si>
    <t>1.2.1.4.4.4</t>
  </si>
  <si>
    <t>Procure TPC v1b Module GEMs</t>
  </si>
  <si>
    <t>1.2.1.5</t>
  </si>
  <si>
    <t xml:space="preserve">   TPC v2 Modules</t>
  </si>
  <si>
    <t>1.2.1.5.1.2</t>
  </si>
  <si>
    <t xml:space="preserve">         Procure TPC v2 Module Gas Enclosure Parts</t>
  </si>
  <si>
    <t>1.2.1.5.2.2</t>
  </si>
  <si>
    <t xml:space="preserve">         Procure TPC v2 Module Strongback</t>
  </si>
  <si>
    <t>1.2.1.5.2.4</t>
  </si>
  <si>
    <t xml:space="preserve">         Procure TPC v2 Module Frames</t>
  </si>
  <si>
    <t>1.2.1.5.2.6</t>
  </si>
  <si>
    <t xml:space="preserve">         Procure TPC v2 Grid Parts</t>
  </si>
  <si>
    <t>1.2.1.5.3.2</t>
  </si>
  <si>
    <t>Procure TPC v2a Module Padplane</t>
  </si>
  <si>
    <t>1.2.1.5.3.4</t>
  </si>
  <si>
    <t>Procure TPC v2a Module GEMs</t>
  </si>
  <si>
    <t>1.2.1.6</t>
  </si>
  <si>
    <t xml:space="preserve">   TPC Production GEM Acquisition</t>
  </si>
  <si>
    <t>1.2.1.6.1</t>
  </si>
  <si>
    <t xml:space="preserve">      Train Technician to work in CERN Shop on TPC GEMs</t>
  </si>
  <si>
    <t>ALICE Contract</t>
  </si>
  <si>
    <t>1.2.1.6.2</t>
  </si>
  <si>
    <t xml:space="preserve">      Produce TPC GEM foils (includes Technician fees)</t>
  </si>
  <si>
    <t>1.2.1.7</t>
  </si>
  <si>
    <t xml:space="preserve">   TPC High Voltage System</t>
  </si>
  <si>
    <t>1.2.1.7.2</t>
  </si>
  <si>
    <t xml:space="preserve">      Procure TPC GEM HV Power Supplies</t>
  </si>
  <si>
    <t>6 cards + Mainframe</t>
  </si>
  <si>
    <t>CAEN</t>
  </si>
  <si>
    <t>1.2.1.7.3</t>
  </si>
  <si>
    <t xml:space="preserve">      Procure TPC Membrane HV Cable</t>
  </si>
  <si>
    <t>1.2.1.7.5</t>
  </si>
  <si>
    <t xml:space="preserve">      Procure TPC Membrane Power Supply</t>
  </si>
  <si>
    <t>1.2.2.1</t>
  </si>
  <si>
    <t xml:space="preserve">   TPC R1 Module Factory Preparation</t>
  </si>
  <si>
    <t>1.2.2.1.1</t>
  </si>
  <si>
    <t xml:space="preserve">      Prepare TPC R1 Factory Clean Facility</t>
  </si>
  <si>
    <t>Laminar Flow Hood (8 foot)</t>
  </si>
  <si>
    <t>Kats Enterprises</t>
  </si>
  <si>
    <t>Garments, gloves, etc</t>
  </si>
  <si>
    <t>1.2.2.1.2</t>
  </si>
  <si>
    <t xml:space="preserve">      Prepare TPC R1 Factory Tooling</t>
  </si>
  <si>
    <t>Current Purchase</t>
  </si>
  <si>
    <t>Gluing jigs, small tools</t>
  </si>
  <si>
    <t>1.2.2.2</t>
  </si>
  <si>
    <t xml:space="preserve">   TPC R1 Pre-Production Module</t>
  </si>
  <si>
    <t>1.2.2.2.2</t>
  </si>
  <si>
    <t xml:space="preserve">      Procure TPC R1 Pre-Production Module Stongbacks</t>
  </si>
  <si>
    <t>1.2.2.2.3</t>
  </si>
  <si>
    <t xml:space="preserve">      Procure TPC R1 Pre-Production Module Frames</t>
  </si>
  <si>
    <t>1.2.2.2.4</t>
  </si>
  <si>
    <t xml:space="preserve">      Procure TPC R1 Pre-Production Module Grids</t>
  </si>
  <si>
    <t>1.2.2.2.5</t>
  </si>
  <si>
    <t xml:space="preserve">      Procure TPC R1 Pre-Production Module Pad Planes</t>
  </si>
  <si>
    <t>1.2.2.2.6</t>
  </si>
  <si>
    <t xml:space="preserve">      Procure TPC R1 Pre-Production Module GEMs</t>
  </si>
  <si>
    <t>Production Mask</t>
  </si>
  <si>
    <t>GEMS</t>
  </si>
  <si>
    <t>1.2.2.3</t>
  </si>
  <si>
    <t xml:space="preserve">   TPC R1 Module Production</t>
  </si>
  <si>
    <t>1.2.2.3.1</t>
  </si>
  <si>
    <t xml:space="preserve">      Procure TPC R1 Module frames</t>
  </si>
  <si>
    <t>1.2.2.3.2</t>
  </si>
  <si>
    <t xml:space="preserve">      Procure TPC R1 Module strongbacks</t>
  </si>
  <si>
    <t>Hardware (O-rings, screws, nylon rod)</t>
  </si>
  <si>
    <t>Metal &amp; machining</t>
  </si>
  <si>
    <t>SBU</t>
  </si>
  <si>
    <t>SBU Estimate</t>
  </si>
  <si>
    <t>1.2.2.3.3</t>
  </si>
  <si>
    <t xml:space="preserve">      Procure TPC R1 Module Pad Planes</t>
  </si>
  <si>
    <t>1.2.2.3.4</t>
  </si>
  <si>
    <t xml:space="preserve">      Procure TPC R1 Module Grids</t>
  </si>
  <si>
    <t>3X</t>
  </si>
  <si>
    <t>1.2.5.1</t>
  </si>
  <si>
    <t>TPC FEE Prototype v1</t>
  </si>
  <si>
    <t>1.2.5.1.3</t>
  </si>
  <si>
    <t xml:space="preserve">      Procure TPC FEE prototype v1 components</t>
  </si>
  <si>
    <t>SAMPA chip</t>
  </si>
  <si>
    <t>96 chips (~$45/chip from STAR's info) for 12 boards</t>
  </si>
  <si>
    <t>FPGA (Artix-7)</t>
  </si>
  <si>
    <t>Xilinx, Digikey</t>
  </si>
  <si>
    <t>Web quote (12 boards)</t>
  </si>
  <si>
    <t>Optical transmitter/receiver</t>
  </si>
  <si>
    <t>Avago</t>
  </si>
  <si>
    <t>experience (12 boards)</t>
  </si>
  <si>
    <t>Resistor/capacitor/regulator</t>
  </si>
  <si>
    <t>Digikey</t>
  </si>
  <si>
    <t>Card Connectors</t>
  </si>
  <si>
    <t>Samtec</t>
  </si>
  <si>
    <t>1.2.5.1.4</t>
  </si>
  <si>
    <t xml:space="preserve">      Fabricate TPC FEE prototype v1 boards</t>
  </si>
  <si>
    <t>Initial fee</t>
  </si>
  <si>
    <t>Routing Boards</t>
  </si>
  <si>
    <t>Board fabrication</t>
  </si>
  <si>
    <t>1.2.5.1.5</t>
  </si>
  <si>
    <t xml:space="preserve">      Procure TPC FEE prototype v1 LV power supplies</t>
  </si>
  <si>
    <t>MegaPac Chassis (5V)</t>
  </si>
  <si>
    <t>Vicor West Coast</t>
  </si>
  <si>
    <t>Manifacture quote (Jan, 2016), 1 module</t>
  </si>
  <si>
    <t>1.2.5.1.6</t>
  </si>
  <si>
    <t xml:space="preserve">      Develop TPC FEE Test Stand</t>
  </si>
  <si>
    <t>Chain test board fabrication</t>
  </si>
  <si>
    <t>BNL</t>
  </si>
  <si>
    <t>Two chips (with spare of 2)</t>
  </si>
  <si>
    <t>Web quote</t>
  </si>
  <si>
    <t>Pulse distributor board initial fee</t>
  </si>
  <si>
    <t>Pulse distributor</t>
  </si>
  <si>
    <t>experience (25 input selectors)</t>
  </si>
  <si>
    <t>Test Pulser (B&amp;K precision 4079B)</t>
  </si>
  <si>
    <t>B&amp;K precision</t>
  </si>
  <si>
    <t>Web quote (one dual-pulsers)</t>
  </si>
  <si>
    <t>Control PC and parallel I/O card</t>
  </si>
  <si>
    <t>DELL</t>
  </si>
  <si>
    <t>1.2.5.1.7</t>
  </si>
  <si>
    <t xml:space="preserve">      Assemble and test TPC FEE prototype v1</t>
  </si>
  <si>
    <t>Parts mounting initial fee</t>
  </si>
  <si>
    <t>parts mouting on board</t>
  </si>
  <si>
    <t>1.2.5.2</t>
  </si>
  <si>
    <t xml:space="preserve">   TPC FEE Pre-Production</t>
  </si>
  <si>
    <t>1.2.5.2.2</t>
  </si>
  <si>
    <t xml:space="preserve">      Procure TPC FEE preproducion prototype components</t>
  </si>
  <si>
    <t>1.2.5.2.3</t>
  </si>
  <si>
    <t xml:space="preserve">      Fabricate TPC FEE preproduction prototype boards</t>
  </si>
  <si>
    <t>1.2.5.2.4</t>
  </si>
  <si>
    <t xml:space="preserve">      Modify TPC FEE Test Stand</t>
  </si>
  <si>
    <t>Modification of Peripheral</t>
  </si>
  <si>
    <t>1.2.5.2.5</t>
  </si>
  <si>
    <t xml:space="preserve">      Assemble and test TPC FEE preproduction prototype</t>
  </si>
  <si>
    <t>1.2.5.3</t>
  </si>
  <si>
    <t xml:space="preserve">   TPC FEE Production</t>
  </si>
  <si>
    <t>1.2.5.3.1</t>
  </si>
  <si>
    <t xml:space="preserve">      Procure TPC FEE components</t>
  </si>
  <si>
    <t>Xilinx</t>
  </si>
  <si>
    <t>1.2.5.3.2</t>
  </si>
  <si>
    <t xml:space="preserve">      Procure TPC FEE LV power supplies</t>
  </si>
  <si>
    <t xml:space="preserve">10AWG 6T00UP Cable </t>
  </si>
  <si>
    <t>Belden</t>
  </si>
  <si>
    <t>MegaPac chassis (5V)</t>
  </si>
  <si>
    <t>manufacture quote (5022 * 20 + 2 spare)</t>
  </si>
  <si>
    <t>1.2.5.3.3</t>
  </si>
  <si>
    <t xml:space="preserve">      Fabricate and assemble all TPC Fee boards</t>
  </si>
  <si>
    <t>parts mounting initial fee</t>
  </si>
  <si>
    <t>Parts mounting</t>
  </si>
  <si>
    <t>1.2.6.1</t>
  </si>
  <si>
    <t>TPC DAM Evaluation --FELIX 1.5</t>
  </si>
  <si>
    <t>1.2.6.1.2</t>
  </si>
  <si>
    <t>Develop TPC DAM prototype v1 Test Stand</t>
  </si>
  <si>
    <t>Nexys Video Artix-7 FPGA: Trainer Board</t>
  </si>
  <si>
    <t>Digilent, Inc.</t>
  </si>
  <si>
    <t>FELIX v1.5 Prototype PCIe card</t>
  </si>
  <si>
    <t>ATLAS DAQ Group</t>
  </si>
  <si>
    <t>Borrowed device</t>
  </si>
  <si>
    <t>DAQ server</t>
  </si>
  <si>
    <t>PHENIX DAQ Group</t>
  </si>
  <si>
    <t>2x 48-fiber MTP to 12-fiber breakout cables</t>
  </si>
  <si>
    <t>Computer Crafts Inc.</t>
  </si>
  <si>
    <t>In requsition</t>
  </si>
  <si>
    <t>12-fiber MTP/MPO - LC Cassettes</t>
  </si>
  <si>
    <t>6x LC duplex fiber</t>
  </si>
  <si>
    <t>Peripheral accessories and cables</t>
  </si>
  <si>
    <t>Many</t>
  </si>
  <si>
    <t>1.2.6.2</t>
  </si>
  <si>
    <t>TPC DAM Evaluation -- FELIX 2.0</t>
  </si>
  <si>
    <t>1.2.6.2.1</t>
  </si>
  <si>
    <t>Procure FELIX 2.0 board for TPC DAM</t>
  </si>
  <si>
    <t>FELIX v2.0 Pre-Production PCIe cards, 2nt</t>
  </si>
  <si>
    <t>BNL ATLAS DAQ Group</t>
  </si>
  <si>
    <t>Unofficial quote</t>
  </si>
  <si>
    <t>2U rack servers, 12-core Xeon, 16xPCIe, 2nt</t>
  </si>
  <si>
    <t>Microway</t>
  </si>
  <si>
    <t>48-fiber MTP to 12-fiber breakout cables, 2nt</t>
  </si>
  <si>
    <t>12-fiber MTP/MPO - LC Cassettes, 2cnt</t>
  </si>
  <si>
    <t>LC duplex fiber, 6cnt</t>
  </si>
  <si>
    <t>1.2.6.2.2</t>
  </si>
  <si>
    <t>FPGA Algorithm development</t>
  </si>
  <si>
    <t>TPC timing distribution board prototype - PCB</t>
  </si>
  <si>
    <t>TPC timing mezzanine prototype - PCB</t>
  </si>
  <si>
    <t>SFP+ Optical TX/RX, 4cnt + 100% spare</t>
  </si>
  <si>
    <t>Avnet</t>
  </si>
  <si>
    <t>Catalog: AFBR-709DMZ</t>
  </si>
  <si>
    <t>SMT Chip Resistor Capacitor</t>
  </si>
  <si>
    <t>FELIX Production PCIe cards, 24cnt + 20% spare</t>
  </si>
  <si>
    <t>48-fiber MTP (M)-MTP (F) cable 5m, 2x48cnt + 20% spare</t>
  </si>
  <si>
    <t>Quote: CCI/T40418PF48-005</t>
  </si>
  <si>
    <t>48-fiber MTP (F)-MTP (F) cable 58m, 48cnt + 20% spare</t>
  </si>
  <si>
    <t>Quote: CCI/T40408PF48-058</t>
  </si>
  <si>
    <t>1U 19" 12 port MPO feedthru panel with 12X MPO couplers, 2x4+25% spare</t>
  </si>
  <si>
    <t>Quote: CCI/56348-MT</t>
  </si>
  <si>
    <t>48F MTP(M) - LC Hydra assembly, 48cnt + 20% spare</t>
  </si>
  <si>
    <t>Quote: CCI/1000450-18I-48F</t>
  </si>
  <si>
    <t>MTP Coupler, 48cnt + 20% spare</t>
  </si>
  <si>
    <t>Quote: CCI/100106</t>
  </si>
  <si>
    <t>2U rack servers, 24cnt + 20% spare</t>
  </si>
  <si>
    <t>Experience, Require R&amp;D for spec</t>
  </si>
  <si>
    <t>TPC timing distribution board - PCB, 1cnt + 1 spare</t>
  </si>
  <si>
    <t>TPC timing mezzanine - PCB, 24cnt + 20% spare</t>
  </si>
  <si>
    <t>SFP+ Optical TX/RX, 48cnt + 20% spare</t>
  </si>
  <si>
    <t>LC duplex fiber, 48cnt + 20% spare</t>
  </si>
  <si>
    <t>Quote: CCI/F26268P302-001</t>
  </si>
  <si>
    <t>1.2.6.3</t>
  </si>
  <si>
    <t>TPC DAM Production</t>
  </si>
  <si>
    <t>1.2.6.3.1</t>
  </si>
  <si>
    <t>Procure TPC DAM Felix 2.0 boards</t>
  </si>
  <si>
    <t>1.2.6.3.3</t>
  </si>
  <si>
    <t>Procure of TPC EDBC Computers and Peripherals</t>
  </si>
  <si>
    <t>Quote 20%</t>
  </si>
  <si>
    <t>Pending delivery 10%</t>
  </si>
  <si>
    <t>4800 + 3000 chips (~$45/chip) quote</t>
  </si>
  <si>
    <t>50 * 600 + 25% spare quote</t>
  </si>
  <si>
    <t>Weq quote (98 * 600 +25% spare) quote</t>
  </si>
  <si>
    <t>100 * 600 + 25% spare quote</t>
  </si>
  <si>
    <t>$1.5/ft, 4000ft. Quote</t>
  </si>
  <si>
    <t>Old Quote 25%</t>
  </si>
  <si>
    <t>Engineering experience 25%</t>
  </si>
  <si>
    <t>Engineering Experience  40%</t>
  </si>
  <si>
    <t>Quote 15%</t>
  </si>
  <si>
    <t>Pending Delivery</t>
  </si>
  <si>
    <t>Older quote 25%</t>
  </si>
  <si>
    <t>Engineering Estimate 25%</t>
  </si>
  <si>
    <t>Engineering Estimate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</si>
</sst>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  <numFmt numFmtId="167" formatCode="_(* #,##0_);_(* \(#,##0\);_(* &quot;-&quot;??_);_(@_)"/>
    <numFmt numFmtId="169" formatCode="0.0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4">
    <xf numFmtId="0" fontId="0" fillId="0" borderId="0" xfId="0"/>
    <xf numFmtId="164" fontId="4" fillId="4" borderId="1" xfId="3" applyNumberFormat="1" applyBorder="1"/>
    <xf numFmtId="164" fontId="4" fillId="4" borderId="2" xfId="3" applyNumberFormat="1" applyBorder="1"/>
    <xf numFmtId="2" fontId="4" fillId="4" borderId="2" xfId="3" applyNumberFormat="1" applyBorder="1"/>
    <xf numFmtId="164" fontId="4" fillId="4" borderId="3" xfId="3" applyNumberFormat="1" applyBorder="1"/>
    <xf numFmtId="0" fontId="4" fillId="4" borderId="2" xfId="3" applyBorder="1"/>
    <xf numFmtId="0" fontId="4" fillId="4" borderId="3" xfId="3" applyBorder="1"/>
    <xf numFmtId="0" fontId="4" fillId="4" borderId="4" xfId="3" applyBorder="1"/>
    <xf numFmtId="164" fontId="4" fillId="4" borderId="5" xfId="3" applyNumberFormat="1" applyBorder="1"/>
    <xf numFmtId="2" fontId="4" fillId="4" borderId="3" xfId="3" applyNumberFormat="1" applyBorder="1"/>
    <xf numFmtId="0" fontId="4" fillId="4" borderId="6" xfId="3" applyBorder="1"/>
    <xf numFmtId="164" fontId="3" fillId="3" borderId="5" xfId="2" applyNumberFormat="1" applyBorder="1"/>
    <xf numFmtId="164" fontId="3" fillId="3" borderId="3" xfId="2" applyNumberFormat="1" applyBorder="1"/>
    <xf numFmtId="2" fontId="3" fillId="3" borderId="3" xfId="2" applyNumberFormat="1" applyBorder="1"/>
    <xf numFmtId="0" fontId="3" fillId="3" borderId="3" xfId="2" applyBorder="1"/>
    <xf numFmtId="0" fontId="3" fillId="3" borderId="6" xfId="2" applyBorder="1"/>
    <xf numFmtId="164" fontId="0" fillId="5" borderId="5" xfId="0" applyNumberFormat="1" applyFill="1" applyBorder="1"/>
    <xf numFmtId="164" fontId="0" fillId="5" borderId="3" xfId="0" applyNumberFormat="1" applyFill="1" applyBorder="1"/>
    <xf numFmtId="2" fontId="0" fillId="5" borderId="3" xfId="0" applyNumberFormat="1" applyFill="1" applyBorder="1"/>
    <xf numFmtId="0" fontId="0" fillId="5" borderId="3" xfId="0" applyFill="1" applyBorder="1"/>
    <xf numFmtId="0" fontId="0" fillId="5" borderId="3" xfId="0" applyFont="1" applyFill="1" applyBorder="1"/>
    <xf numFmtId="0" fontId="0" fillId="5" borderId="6" xfId="0" applyFill="1" applyBorder="1"/>
    <xf numFmtId="0" fontId="4" fillId="4" borderId="3" xfId="3" applyBorder="1" applyAlignment="1">
      <alignment wrapText="1"/>
    </xf>
    <xf numFmtId="0" fontId="0" fillId="5" borderId="3" xfId="0" applyFill="1" applyBorder="1" applyAlignment="1">
      <alignment wrapText="1"/>
    </xf>
    <xf numFmtId="164" fontId="5" fillId="5" borderId="5" xfId="0" applyNumberFormat="1" applyFont="1" applyFill="1" applyBorder="1"/>
    <xf numFmtId="164" fontId="5" fillId="5" borderId="3" xfId="0" applyNumberFormat="1" applyFont="1" applyFill="1" applyBorder="1"/>
    <xf numFmtId="2" fontId="5" fillId="5" borderId="3" xfId="0" applyNumberFormat="1" applyFont="1" applyFill="1" applyBorder="1"/>
    <xf numFmtId="164" fontId="6" fillId="6" borderId="7" xfId="0" applyNumberFormat="1" applyFont="1" applyFill="1" applyBorder="1"/>
    <xf numFmtId="164" fontId="6" fillId="6" borderId="8" xfId="0" applyNumberFormat="1" applyFont="1" applyFill="1" applyBorder="1"/>
    <xf numFmtId="2" fontId="6" fillId="6" borderId="8" xfId="0" applyNumberFormat="1" applyFont="1" applyFill="1" applyBorder="1"/>
    <xf numFmtId="0" fontId="6" fillId="6" borderId="8" xfId="0" applyFont="1" applyFill="1" applyBorder="1"/>
    <xf numFmtId="0" fontId="6" fillId="6" borderId="9" xfId="0" applyFont="1" applyFill="1" applyBorder="1"/>
    <xf numFmtId="164" fontId="6" fillId="6" borderId="10" xfId="0" applyNumberFormat="1" applyFont="1" applyFill="1" applyBorder="1"/>
    <xf numFmtId="0" fontId="0" fillId="5" borderId="4" xfId="0" applyFill="1" applyBorder="1"/>
    <xf numFmtId="0" fontId="0" fillId="5" borderId="2" xfId="0" applyFill="1" applyBorder="1"/>
    <xf numFmtId="164" fontId="0" fillId="5" borderId="2" xfId="0" applyNumberFormat="1" applyFill="1" applyBorder="1"/>
    <xf numFmtId="2" fontId="0" fillId="5" borderId="2" xfId="0" applyNumberFormat="1" applyFill="1" applyBorder="1"/>
    <xf numFmtId="2" fontId="5" fillId="5" borderId="2" xfId="0" applyNumberFormat="1" applyFont="1" applyFill="1" applyBorder="1"/>
    <xf numFmtId="164" fontId="5" fillId="5" borderId="2" xfId="0" applyNumberFormat="1" applyFont="1" applyFill="1" applyBorder="1"/>
    <xf numFmtId="164" fontId="5" fillId="5" borderId="11" xfId="0" applyNumberFormat="1" applyFont="1" applyFill="1" applyBorder="1"/>
    <xf numFmtId="164" fontId="5" fillId="5" borderId="1" xfId="0" applyNumberFormat="1" applyFont="1" applyFill="1" applyBorder="1"/>
    <xf numFmtId="0" fontId="0" fillId="5" borderId="9" xfId="0" applyFill="1" applyBorder="1"/>
    <xf numFmtId="0" fontId="0" fillId="5" borderId="8" xfId="0" applyFill="1" applyBorder="1"/>
    <xf numFmtId="164" fontId="0" fillId="5" borderId="8" xfId="0" applyNumberFormat="1" applyFill="1" applyBorder="1"/>
    <xf numFmtId="164" fontId="0" fillId="5" borderId="7" xfId="0" applyNumberFormat="1" applyFill="1" applyBorder="1"/>
    <xf numFmtId="0" fontId="7" fillId="4" borderId="2" xfId="4" applyFill="1" applyBorder="1"/>
    <xf numFmtId="165" fontId="4" fillId="4" borderId="2" xfId="3" applyNumberFormat="1" applyBorder="1"/>
    <xf numFmtId="0" fontId="3" fillId="3" borderId="4" xfId="2" applyBorder="1"/>
    <xf numFmtId="0" fontId="3" fillId="3" borderId="2" xfId="2" applyBorder="1"/>
    <xf numFmtId="164" fontId="3" fillId="3" borderId="2" xfId="2" applyNumberFormat="1" applyBorder="1"/>
    <xf numFmtId="164" fontId="3" fillId="3" borderId="1" xfId="2" applyNumberFormat="1" applyBorder="1"/>
    <xf numFmtId="0" fontId="0" fillId="5" borderId="2" xfId="0" applyFont="1" applyFill="1" applyBorder="1"/>
    <xf numFmtId="0" fontId="0" fillId="5" borderId="8" xfId="0" applyFont="1" applyFill="1" applyBorder="1"/>
    <xf numFmtId="2" fontId="0" fillId="5" borderId="8" xfId="0" applyNumberFormat="1" applyFill="1" applyBorder="1"/>
    <xf numFmtId="0" fontId="4" fillId="4" borderId="12" xfId="3" applyBorder="1"/>
    <xf numFmtId="0" fontId="4" fillId="4" borderId="13" xfId="3" applyBorder="1"/>
    <xf numFmtId="0" fontId="4" fillId="4" borderId="8" xfId="3" applyBorder="1"/>
    <xf numFmtId="164" fontId="4" fillId="4" borderId="8" xfId="3" applyNumberFormat="1" applyBorder="1"/>
    <xf numFmtId="2" fontId="4" fillId="4" borderId="8" xfId="3" applyNumberFormat="1" applyBorder="1"/>
    <xf numFmtId="0" fontId="0" fillId="5" borderId="14" xfId="0" applyFont="1" applyFill="1" applyBorder="1"/>
    <xf numFmtId="0" fontId="4" fillId="4" borderId="15" xfId="3" applyBorder="1"/>
    <xf numFmtId="0" fontId="4" fillId="4" borderId="16" xfId="3" applyBorder="1"/>
    <xf numFmtId="0" fontId="4" fillId="4" borderId="17" xfId="3" applyBorder="1"/>
    <xf numFmtId="0" fontId="0" fillId="5" borderId="13" xfId="0" applyFont="1" applyFill="1" applyBorder="1"/>
    <xf numFmtId="0" fontId="3" fillId="3" borderId="18" xfId="2" applyBorder="1"/>
    <xf numFmtId="0" fontId="3" fillId="3" borderId="16" xfId="2" applyBorder="1"/>
    <xf numFmtId="0" fontId="3" fillId="3" borderId="17" xfId="2" applyBorder="1"/>
    <xf numFmtId="164" fontId="3" fillId="3" borderId="8" xfId="2" applyNumberFormat="1" applyBorder="1"/>
    <xf numFmtId="0" fontId="4" fillId="4" borderId="18" xfId="3" applyBorder="1"/>
    <xf numFmtId="0" fontId="3" fillId="3" borderId="13" xfId="2" applyBorder="1"/>
    <xf numFmtId="0" fontId="0" fillId="5" borderId="19" xfId="0" applyFont="1" applyFill="1" applyBorder="1"/>
    <xf numFmtId="2" fontId="4" fillId="4" borderId="13" xfId="3" applyNumberFormat="1" applyBorder="1"/>
    <xf numFmtId="164" fontId="4" fillId="4" borderId="13" xfId="3" applyNumberFormat="1" applyBorder="1"/>
    <xf numFmtId="0" fontId="3" fillId="3" borderId="12" xfId="2" applyBorder="1"/>
    <xf numFmtId="2" fontId="3" fillId="3" borderId="13" xfId="2" applyNumberFormat="1" applyBorder="1"/>
    <xf numFmtId="164" fontId="3" fillId="3" borderId="13" xfId="2" applyNumberFormat="1" applyBorder="1"/>
    <xf numFmtId="164" fontId="4" fillId="4" borderId="16" xfId="3" applyNumberFormat="1" applyBorder="1"/>
    <xf numFmtId="0" fontId="4" fillId="4" borderId="20" xfId="3" applyBorder="1"/>
    <xf numFmtId="2" fontId="4" fillId="4" borderId="19" xfId="3" applyNumberFormat="1" applyBorder="1"/>
    <xf numFmtId="164" fontId="4" fillId="4" borderId="19" xfId="3" applyNumberFormat="1" applyBorder="1"/>
    <xf numFmtId="0" fontId="2" fillId="2" borderId="4" xfId="1" applyBorder="1"/>
    <xf numFmtId="0" fontId="2" fillId="2" borderId="2" xfId="1" applyBorder="1"/>
    <xf numFmtId="164" fontId="2" fillId="2" borderId="2" xfId="1" applyNumberFormat="1" applyBorder="1"/>
    <xf numFmtId="2" fontId="2" fillId="2" borderId="2" xfId="1" applyNumberFormat="1" applyBorder="1"/>
    <xf numFmtId="164" fontId="2" fillId="2" borderId="8" xfId="1" applyNumberFormat="1" applyBorder="1"/>
    <xf numFmtId="164" fontId="2" fillId="2" borderId="3" xfId="1" applyNumberFormat="1" applyBorder="1"/>
    <xf numFmtId="0" fontId="2" fillId="2" borderId="3" xfId="1" applyBorder="1"/>
    <xf numFmtId="165" fontId="3" fillId="3" borderId="2" xfId="2" applyNumberFormat="1" applyBorder="1"/>
    <xf numFmtId="165" fontId="0" fillId="5" borderId="8" xfId="0" applyNumberFormat="1" applyFill="1" applyBorder="1"/>
    <xf numFmtId="165" fontId="0" fillId="5" borderId="2" xfId="0" applyNumberFormat="1" applyFill="1" applyBorder="1"/>
    <xf numFmtId="0" fontId="0" fillId="5" borderId="16" xfId="0" applyFill="1" applyBorder="1"/>
    <xf numFmtId="0" fontId="0" fillId="5" borderId="21" xfId="0" applyFill="1" applyBorder="1"/>
    <xf numFmtId="165" fontId="6" fillId="6" borderId="8" xfId="0" applyNumberFormat="1" applyFont="1" applyFill="1" applyBorder="1"/>
    <xf numFmtId="2" fontId="0" fillId="0" borderId="0" xfId="0" applyNumberFormat="1"/>
    <xf numFmtId="2" fontId="3" fillId="3" borderId="2" xfId="2" applyNumberFormat="1" applyBorder="1"/>
    <xf numFmtId="165" fontId="4" fillId="4" borderId="13" xfId="3" applyNumberFormat="1" applyBorder="1"/>
    <xf numFmtId="0" fontId="7" fillId="4" borderId="13" xfId="4" applyFill="1" applyBorder="1"/>
    <xf numFmtId="165" fontId="4" fillId="4" borderId="3" xfId="3" applyNumberFormat="1" applyBorder="1"/>
    <xf numFmtId="0" fontId="7" fillId="4" borderId="3" xfId="4" applyFill="1" applyBorder="1"/>
    <xf numFmtId="164" fontId="8" fillId="3" borderId="1" xfId="2" applyNumberFormat="1" applyFont="1" applyBorder="1"/>
    <xf numFmtId="164" fontId="8" fillId="3" borderId="11" xfId="2" applyNumberFormat="1" applyFont="1" applyBorder="1"/>
    <xf numFmtId="164" fontId="8" fillId="3" borderId="2" xfId="2" applyNumberFormat="1" applyFont="1" applyBorder="1"/>
    <xf numFmtId="2" fontId="8" fillId="3" borderId="2" xfId="2" applyNumberFormat="1" applyFont="1" applyBorder="1"/>
    <xf numFmtId="164" fontId="5" fillId="5" borderId="7" xfId="0" applyNumberFormat="1" applyFont="1" applyFill="1" applyBorder="1"/>
    <xf numFmtId="164" fontId="5" fillId="5" borderId="10" xfId="0" applyNumberFormat="1" applyFont="1" applyFill="1" applyBorder="1"/>
    <xf numFmtId="164" fontId="8" fillId="5" borderId="10" xfId="3" applyNumberFormat="1" applyFont="1" applyFill="1" applyBorder="1"/>
    <xf numFmtId="164" fontId="5" fillId="5" borderId="8" xfId="0" applyNumberFormat="1" applyFont="1" applyFill="1" applyBorder="1"/>
    <xf numFmtId="2" fontId="5" fillId="5" borderId="8" xfId="0" applyNumberFormat="1" applyFont="1" applyFill="1" applyBorder="1"/>
    <xf numFmtId="165" fontId="3" fillId="3" borderId="13" xfId="2" applyNumberFormat="1" applyBorder="1"/>
    <xf numFmtId="164" fontId="8" fillId="4" borderId="22" xfId="3" applyNumberFormat="1" applyFont="1" applyBorder="1"/>
    <xf numFmtId="164" fontId="8" fillId="4" borderId="23" xfId="3" applyNumberFormat="1" applyFont="1" applyBorder="1"/>
    <xf numFmtId="164" fontId="8" fillId="4" borderId="13" xfId="3" applyNumberFormat="1" applyFont="1" applyBorder="1"/>
    <xf numFmtId="2" fontId="8" fillId="4" borderId="24" xfId="3" applyNumberFormat="1" applyFont="1" applyBorder="1"/>
    <xf numFmtId="2" fontId="4" fillId="4" borderId="23" xfId="3" applyNumberFormat="1" applyBorder="1"/>
    <xf numFmtId="0" fontId="0" fillId="5" borderId="14" xfId="0" applyFill="1" applyBorder="1"/>
    <xf numFmtId="164" fontId="8" fillId="5" borderId="7" xfId="3" applyNumberFormat="1" applyFont="1" applyFill="1" applyBorder="1"/>
    <xf numFmtId="164" fontId="8" fillId="5" borderId="8" xfId="3" applyNumberFormat="1" applyFont="1" applyFill="1" applyBorder="1"/>
    <xf numFmtId="2" fontId="8" fillId="5" borderId="8" xfId="3" applyNumberFormat="1" applyFont="1" applyFill="1" applyBorder="1"/>
    <xf numFmtId="0" fontId="8" fillId="5" borderId="8" xfId="3" applyFont="1" applyFill="1" applyBorder="1"/>
    <xf numFmtId="0" fontId="8" fillId="5" borderId="9" xfId="3" applyFont="1" applyFill="1" applyBorder="1"/>
    <xf numFmtId="164" fontId="8" fillId="4" borderId="1" xfId="3" applyNumberFormat="1" applyFont="1" applyBorder="1"/>
    <xf numFmtId="164" fontId="8" fillId="4" borderId="11" xfId="3" applyNumberFormat="1" applyFont="1" applyBorder="1"/>
    <xf numFmtId="164" fontId="8" fillId="4" borderId="2" xfId="3" applyNumberFormat="1" applyFont="1" applyBorder="1"/>
    <xf numFmtId="2" fontId="8" fillId="4" borderId="2" xfId="3" applyNumberFormat="1" applyFont="1" applyBorder="1"/>
    <xf numFmtId="164" fontId="8" fillId="4" borderId="5" xfId="3" applyNumberFormat="1" applyFont="1" applyBorder="1"/>
    <xf numFmtId="164" fontId="8" fillId="4" borderId="18" xfId="3" applyNumberFormat="1" applyFont="1" applyBorder="1"/>
    <xf numFmtId="164" fontId="8" fillId="4" borderId="3" xfId="3" applyNumberFormat="1" applyFont="1" applyBorder="1"/>
    <xf numFmtId="2" fontId="8" fillId="4" borderId="3" xfId="3" applyNumberFormat="1" applyFont="1" applyBorder="1"/>
    <xf numFmtId="164" fontId="8" fillId="2" borderId="5" xfId="1" applyNumberFormat="1" applyFont="1" applyBorder="1"/>
    <xf numFmtId="164" fontId="8" fillId="2" borderId="18" xfId="1" applyNumberFormat="1" applyFont="1" applyBorder="1"/>
    <xf numFmtId="164" fontId="8" fillId="2" borderId="3" xfId="1" applyNumberFormat="1" applyFont="1" applyBorder="1"/>
    <xf numFmtId="2" fontId="8" fillId="2" borderId="3" xfId="1" applyNumberFormat="1" applyFont="1" applyBorder="1"/>
    <xf numFmtId="165" fontId="2" fillId="2" borderId="3" xfId="1" applyNumberFormat="1" applyBorder="1"/>
    <xf numFmtId="2" fontId="2" fillId="2" borderId="3" xfId="1" applyNumberFormat="1" applyBorder="1"/>
    <xf numFmtId="0" fontId="2" fillId="2" borderId="6" xfId="1" applyBorder="1"/>
    <xf numFmtId="0" fontId="2" fillId="2" borderId="3" xfId="1" quotePrefix="1" applyBorder="1"/>
    <xf numFmtId="164" fontId="4" fillId="4" borderId="22" xfId="3" applyNumberFormat="1" applyBorder="1"/>
    <xf numFmtId="0" fontId="9" fillId="5" borderId="25" xfId="0" applyFont="1" applyFill="1" applyBorder="1" applyAlignment="1">
      <alignment vertical="center"/>
    </xf>
    <xf numFmtId="164" fontId="7" fillId="4" borderId="3" xfId="4" applyNumberFormat="1" applyFill="1" applyBorder="1"/>
    <xf numFmtId="6" fontId="0" fillId="5" borderId="8" xfId="0" applyNumberFormat="1" applyFill="1" applyBorder="1"/>
    <xf numFmtId="6" fontId="4" fillId="4" borderId="3" xfId="3" applyNumberFormat="1" applyBorder="1"/>
    <xf numFmtId="6" fontId="3" fillId="3" borderId="2" xfId="2" applyNumberFormat="1" applyBorder="1"/>
    <xf numFmtId="6" fontId="4" fillId="4" borderId="13" xfId="3" applyNumberFormat="1" applyBorder="1"/>
    <xf numFmtId="2" fontId="4" fillId="4" borderId="16" xfId="3" applyNumberFormat="1" applyBorder="1"/>
    <xf numFmtId="0" fontId="0" fillId="5" borderId="7" xfId="0" applyFill="1" applyBorder="1"/>
    <xf numFmtId="0" fontId="3" fillId="3" borderId="1" xfId="2" applyBorder="1"/>
    <xf numFmtId="0" fontId="4" fillId="4" borderId="22" xfId="3" applyBorder="1"/>
    <xf numFmtId="6" fontId="4" fillId="4" borderId="2" xfId="3" applyNumberFormat="1" applyBorder="1"/>
    <xf numFmtId="0" fontId="4" fillId="4" borderId="1" xfId="3" applyBorder="1"/>
    <xf numFmtId="0" fontId="10" fillId="0" borderId="0" xfId="0" applyFont="1"/>
    <xf numFmtId="164" fontId="4" fillId="4" borderId="18" xfId="3" applyNumberFormat="1" applyBorder="1"/>
    <xf numFmtId="0" fontId="4" fillId="4" borderId="21" xfId="3" applyBorder="1"/>
    <xf numFmtId="165" fontId="4" fillId="4" borderId="16" xfId="3" applyNumberFormat="1" applyBorder="1"/>
    <xf numFmtId="164" fontId="4" fillId="4" borderId="26" xfId="3" applyNumberFormat="1" applyBorder="1"/>
    <xf numFmtId="164" fontId="4" fillId="4" borderId="27" xfId="3" applyNumberFormat="1" applyBorder="1"/>
    <xf numFmtId="2" fontId="2" fillId="5" borderId="8" xfId="1" applyNumberFormat="1" applyFill="1" applyBorder="1"/>
    <xf numFmtId="165" fontId="2" fillId="5" borderId="8" xfId="1" applyNumberFormat="1" applyFill="1" applyBorder="1"/>
    <xf numFmtId="164" fontId="8" fillId="5" borderId="8" xfId="1" applyNumberFormat="1" applyFont="1" applyFill="1" applyBorder="1"/>
    <xf numFmtId="164" fontId="8" fillId="5" borderId="10" xfId="1" applyNumberFormat="1" applyFont="1" applyFill="1" applyBorder="1"/>
    <xf numFmtId="164" fontId="8" fillId="5" borderId="7" xfId="1" applyNumberFormat="1" applyFont="1" applyFill="1" applyBorder="1"/>
    <xf numFmtId="0" fontId="4" fillId="4" borderId="28" xfId="3" applyBorder="1"/>
    <xf numFmtId="0" fontId="4" fillId="4" borderId="19" xfId="3" applyBorder="1"/>
    <xf numFmtId="0" fontId="7" fillId="4" borderId="16" xfId="4" applyFill="1" applyBorder="1"/>
    <xf numFmtId="164" fontId="4" fillId="4" borderId="11" xfId="3" applyNumberFormat="1" applyBorder="1"/>
    <xf numFmtId="0" fontId="0" fillId="5" borderId="10" xfId="0" applyFill="1" applyBorder="1"/>
    <xf numFmtId="0" fontId="0" fillId="5" borderId="29" xfId="0" applyFill="1" applyBorder="1"/>
    <xf numFmtId="0" fontId="4" fillId="4" borderId="13" xfId="3" applyBorder="1" applyAlignment="1">
      <alignment wrapText="1"/>
    </xf>
    <xf numFmtId="165" fontId="3" fillId="3" borderId="3" xfId="2" applyNumberFormat="1" applyBorder="1"/>
    <xf numFmtId="164" fontId="3" fillId="3" borderId="18" xfId="2" applyNumberFormat="1" applyBorder="1"/>
    <xf numFmtId="6" fontId="8" fillId="5" borderId="8" xfId="3" applyNumberFormat="1" applyFont="1" applyFill="1" applyBorder="1"/>
    <xf numFmtId="0" fontId="4" fillId="4" borderId="3" xfId="3" quotePrefix="1" applyBorder="1"/>
    <xf numFmtId="0" fontId="4" fillId="4" borderId="0" xfId="3"/>
    <xf numFmtId="0" fontId="3" fillId="3" borderId="3" xfId="2" quotePrefix="1" applyBorder="1"/>
    <xf numFmtId="0" fontId="3" fillId="3" borderId="8" xfId="2" applyBorder="1"/>
    <xf numFmtId="2" fontId="3" fillId="3" borderId="8" xfId="2" applyNumberFormat="1" applyBorder="1"/>
    <xf numFmtId="164" fontId="3" fillId="3" borderId="10" xfId="2" applyNumberFormat="1" applyBorder="1"/>
    <xf numFmtId="164" fontId="3" fillId="3" borderId="7" xfId="2" applyNumberFormat="1" applyBorder="1"/>
    <xf numFmtId="0" fontId="3" fillId="3" borderId="9" xfId="2" applyBorder="1"/>
    <xf numFmtId="0" fontId="6" fillId="0" borderId="33" xfId="0" applyFont="1" applyFill="1" applyBorder="1"/>
    <xf numFmtId="0" fontId="6" fillId="0" borderId="34" xfId="0" applyFont="1" applyFill="1" applyBorder="1"/>
    <xf numFmtId="0" fontId="6" fillId="0" borderId="20" xfId="0" applyFont="1" applyFill="1" applyBorder="1"/>
    <xf numFmtId="0" fontId="6" fillId="0" borderId="19" xfId="0" applyFont="1" applyFill="1" applyBorder="1"/>
    <xf numFmtId="164" fontId="6" fillId="0" borderId="19" xfId="0" applyNumberFormat="1" applyFont="1" applyFill="1" applyBorder="1"/>
    <xf numFmtId="2" fontId="6" fillId="0" borderId="19" xfId="0" applyNumberFormat="1" applyFont="1" applyFill="1" applyBorder="1"/>
    <xf numFmtId="164" fontId="6" fillId="0" borderId="30" xfId="0" applyNumberFormat="1" applyFont="1" applyFill="1" applyBorder="1"/>
    <xf numFmtId="0" fontId="6" fillId="0" borderId="32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34" xfId="0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164" fontId="6" fillId="0" borderId="35" xfId="0" applyNumberFormat="1" applyFont="1" applyFill="1" applyBorder="1"/>
    <xf numFmtId="164" fontId="5" fillId="5" borderId="18" xfId="0" applyNumberFormat="1" applyFont="1" applyFill="1" applyBorder="1"/>
    <xf numFmtId="164" fontId="4" fillId="4" borderId="23" xfId="3" applyNumberFormat="1" applyBorder="1"/>
    <xf numFmtId="0" fontId="4" fillId="4" borderId="23" xfId="3" applyBorder="1"/>
    <xf numFmtId="0" fontId="4" fillId="4" borderId="11" xfId="3" applyBorder="1"/>
    <xf numFmtId="164" fontId="5" fillId="7" borderId="3" xfId="0" applyNumberFormat="1" applyFont="1" applyFill="1" applyBorder="1"/>
    <xf numFmtId="165" fontId="0" fillId="7" borderId="3" xfId="0" applyNumberFormat="1" applyFill="1" applyBorder="1"/>
    <xf numFmtId="2" fontId="3" fillId="3" borderId="16" xfId="2" applyNumberFormat="1" applyBorder="1"/>
    <xf numFmtId="165" fontId="3" fillId="3" borderId="16" xfId="2" applyNumberFormat="1" applyBorder="1"/>
    <xf numFmtId="164" fontId="3" fillId="3" borderId="16" xfId="2" applyNumberFormat="1" applyBorder="1"/>
    <xf numFmtId="164" fontId="3" fillId="3" borderId="26" xfId="2" applyNumberFormat="1" applyBorder="1"/>
    <xf numFmtId="0" fontId="3" fillId="3" borderId="28" xfId="2" applyBorder="1"/>
    <xf numFmtId="0" fontId="3" fillId="3" borderId="19" xfId="2" applyBorder="1"/>
    <xf numFmtId="164" fontId="3" fillId="3" borderId="11" xfId="2" applyNumberFormat="1" applyBorder="1"/>
    <xf numFmtId="0" fontId="3" fillId="3" borderId="11" xfId="2" applyBorder="1"/>
    <xf numFmtId="164" fontId="0" fillId="0" borderId="0" xfId="0" applyNumberFormat="1"/>
    <xf numFmtId="0" fontId="13" fillId="0" borderId="20" xfId="0" applyFont="1" applyFill="1" applyBorder="1" applyAlignment="1">
      <alignment horizontal="center"/>
    </xf>
    <xf numFmtId="164" fontId="13" fillId="0" borderId="19" xfId="0" applyNumberFormat="1" applyFont="1" applyFill="1" applyBorder="1"/>
    <xf numFmtId="164" fontId="13" fillId="0" borderId="35" xfId="0" applyNumberFormat="1" applyFont="1" applyFill="1" applyBorder="1"/>
    <xf numFmtId="167" fontId="12" fillId="0" borderId="0" xfId="8" applyNumberFormat="1" applyFont="1"/>
    <xf numFmtId="169" fontId="13" fillId="0" borderId="19" xfId="0" applyNumberFormat="1" applyFont="1" applyFill="1" applyBorder="1"/>
  </cellXfs>
  <cellStyles count="33">
    <cellStyle name="Bad" xfId="2" builtinId="27"/>
    <cellStyle name="Comma" xfId="8" builtinId="3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Good" xfId="1" builtinId="26"/>
    <cellStyle name="Hyperlink" xfId="4" builtinId="8"/>
    <cellStyle name="Neutral" xfId="3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TPC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Sheet2!$R$2:$R$7</c:f>
              <c:strCache>
                <c:ptCount val="6"/>
                <c:pt idx="0">
                  <c:v>Pending Delivery</c:v>
                </c:pt>
                <c:pt idx="1">
                  <c:v>Quote 15%</c:v>
                </c:pt>
                <c:pt idx="2">
                  <c:v>Quote 20%</c:v>
                </c:pt>
                <c:pt idx="3">
                  <c:v>Older quote 25%</c:v>
                </c:pt>
                <c:pt idx="4">
                  <c:v>Engineering Estimate 25%</c:v>
                </c:pt>
                <c:pt idx="5">
                  <c:v>Engineering Estimate 40%</c:v>
                </c:pt>
              </c:strCache>
            </c:strRef>
          </c:cat>
          <c:val>
            <c:numRef>
              <c:f>Sheet2!$S$2:$S$7</c:f>
              <c:numCache>
                <c:formatCode>_(* #,##0_);_(* \(#,##0\);_(* "-"??_);_(@_)</c:formatCode>
                <c:ptCount val="6"/>
                <c:pt idx="0">
                  <c:v>20893.4</c:v>
                </c:pt>
                <c:pt idx="1">
                  <c:v>546624.9</c:v>
                </c:pt>
                <c:pt idx="2">
                  <c:v>1.319109684E6</c:v>
                </c:pt>
                <c:pt idx="3">
                  <c:v>404356.8480000001</c:v>
                </c:pt>
                <c:pt idx="4">
                  <c:v>15625.0</c:v>
                </c:pt>
                <c:pt idx="5">
                  <c:v>871960.6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200" b="1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254000</xdr:colOff>
      <xdr:row>14</xdr:row>
      <xdr:rowOff>25400</xdr:rowOff>
    </xdr:from>
    <xdr:to>
      <xdr:col>23</xdr:col>
      <xdr:colOff>635000</xdr:colOff>
      <xdr:row>37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7"/>
  <sheetViews>
    <sheetView topLeftCell="A246" workbookViewId="0">
      <selection activeCell="A318" sqref="A318:XFD318"/>
    </sheetView>
  </sheetViews>
  <sheetFormatPr baseColWidth="10" defaultRowHeight="15" x14ac:dyDescent="0"/>
  <cols>
    <col min="2" max="2" width="27" customWidth="1"/>
    <col min="3" max="3" width="26" customWidth="1"/>
    <col min="4" max="4" width="15.6640625" customWidth="1"/>
    <col min="7" max="7" width="37.83203125" customWidth="1"/>
    <col min="15" max="15" width="25.5" customWidth="1"/>
  </cols>
  <sheetData>
    <row r="1" spans="1:15">
      <c r="A1" s="31" t="s">
        <v>65</v>
      </c>
      <c r="B1" s="30" t="s">
        <v>64</v>
      </c>
      <c r="C1" s="30" t="s">
        <v>63</v>
      </c>
      <c r="D1" s="30" t="s">
        <v>62</v>
      </c>
      <c r="E1" s="28" t="s">
        <v>57</v>
      </c>
      <c r="F1" s="30" t="s">
        <v>61</v>
      </c>
      <c r="G1" s="30" t="s">
        <v>60</v>
      </c>
      <c r="H1" s="29" t="s">
        <v>56</v>
      </c>
      <c r="I1" s="30" t="s">
        <v>59</v>
      </c>
      <c r="J1" s="29" t="s">
        <v>58</v>
      </c>
      <c r="K1" s="28" t="s">
        <v>57</v>
      </c>
      <c r="L1" s="28" t="s">
        <v>56</v>
      </c>
      <c r="M1" s="28" t="s">
        <v>55</v>
      </c>
      <c r="N1" s="28" t="s">
        <v>54</v>
      </c>
      <c r="O1" s="27" t="s">
        <v>53</v>
      </c>
    </row>
    <row r="2" spans="1:15">
      <c r="A2" s="21" t="s">
        <v>52</v>
      </c>
      <c r="B2" s="19" t="s">
        <v>51</v>
      </c>
      <c r="C2" s="19"/>
      <c r="D2" s="19"/>
      <c r="E2" s="17"/>
      <c r="F2" s="19"/>
      <c r="G2" s="19"/>
      <c r="H2" s="18"/>
      <c r="I2" s="19"/>
      <c r="J2" s="26"/>
      <c r="K2" s="25"/>
      <c r="L2" s="25"/>
      <c r="M2" s="25"/>
      <c r="N2" s="25">
        <f>SUM(K$1:K$31)</f>
        <v>66499</v>
      </c>
      <c r="O2" s="24">
        <f>SUM(M$1:M$31)</f>
        <v>80941.3</v>
      </c>
    </row>
    <row r="3" spans="1:15" ht="60">
      <c r="A3" s="21" t="s">
        <v>50</v>
      </c>
      <c r="B3" s="23" t="s">
        <v>49</v>
      </c>
      <c r="C3" s="19"/>
      <c r="D3" s="19"/>
      <c r="E3" s="17"/>
      <c r="F3" s="19"/>
      <c r="G3" s="19"/>
      <c r="H3" s="19"/>
      <c r="I3" s="19"/>
      <c r="J3" s="18">
        <f>SUM(I4:I14)/SUM(E4:E14)</f>
        <v>0.2112767540991001</v>
      </c>
      <c r="K3" s="17">
        <f>SUM(E4:E14)</f>
        <v>44339</v>
      </c>
      <c r="L3" s="17">
        <f>SUM(I4:I14)</f>
        <v>9367.7999999999993</v>
      </c>
      <c r="M3" s="17">
        <f>K3+L3</f>
        <v>53706.8</v>
      </c>
      <c r="N3" s="17"/>
      <c r="O3" s="16"/>
    </row>
    <row r="4" spans="1:15" ht="30">
      <c r="A4" s="10"/>
      <c r="B4" s="6"/>
      <c r="C4" s="22" t="s">
        <v>48</v>
      </c>
      <c r="D4" s="22" t="s">
        <v>47</v>
      </c>
      <c r="E4" s="4">
        <v>32000</v>
      </c>
      <c r="F4" s="6" t="s">
        <v>1</v>
      </c>
      <c r="G4" s="6" t="s">
        <v>46</v>
      </c>
      <c r="H4" s="6">
        <v>0.2</v>
      </c>
      <c r="I4" s="4">
        <f t="shared" ref="I4:I14" si="0">H4*E4</f>
        <v>6400</v>
      </c>
      <c r="J4" s="9"/>
      <c r="K4" s="4"/>
      <c r="L4" s="4"/>
      <c r="M4" s="4"/>
      <c r="N4" s="4"/>
      <c r="O4" s="8"/>
    </row>
    <row r="5" spans="1:15">
      <c r="A5" s="10"/>
      <c r="B5" s="6"/>
      <c r="C5" s="6" t="s">
        <v>45</v>
      </c>
      <c r="D5" s="6" t="s">
        <v>19</v>
      </c>
      <c r="E5" s="4">
        <v>1644</v>
      </c>
      <c r="F5" s="6" t="s">
        <v>1</v>
      </c>
      <c r="G5" s="6" t="s">
        <v>21</v>
      </c>
      <c r="H5" s="6">
        <v>0.2</v>
      </c>
      <c r="I5" s="4">
        <f t="shared" si="0"/>
        <v>328.8</v>
      </c>
      <c r="J5" s="9"/>
      <c r="K5" s="4"/>
      <c r="L5" s="4"/>
      <c r="M5" s="4"/>
      <c r="N5" s="4"/>
      <c r="O5" s="8"/>
    </row>
    <row r="6" spans="1:15">
      <c r="A6" s="10"/>
      <c r="B6" s="6"/>
      <c r="C6" s="6" t="s">
        <v>44</v>
      </c>
      <c r="D6" s="6" t="s">
        <v>19</v>
      </c>
      <c r="E6" s="4">
        <v>720</v>
      </c>
      <c r="F6" s="6" t="s">
        <v>1</v>
      </c>
      <c r="G6" s="6" t="s">
        <v>21</v>
      </c>
      <c r="H6" s="6">
        <v>0.2</v>
      </c>
      <c r="I6" s="4">
        <f t="shared" si="0"/>
        <v>144</v>
      </c>
      <c r="J6" s="9"/>
      <c r="K6" s="4"/>
      <c r="L6" s="4"/>
      <c r="M6" s="4"/>
      <c r="N6" s="4"/>
      <c r="O6" s="8"/>
    </row>
    <row r="7" spans="1:15">
      <c r="A7" s="10"/>
      <c r="B7" s="6"/>
      <c r="C7" s="6" t="s">
        <v>43</v>
      </c>
      <c r="D7" s="6" t="s">
        <v>19</v>
      </c>
      <c r="E7" s="4">
        <v>825</v>
      </c>
      <c r="F7" s="6" t="s">
        <v>1</v>
      </c>
      <c r="G7" s="6" t="s">
        <v>4</v>
      </c>
      <c r="H7" s="6">
        <v>0.2</v>
      </c>
      <c r="I7" s="4">
        <f t="shared" si="0"/>
        <v>165</v>
      </c>
      <c r="J7" s="9"/>
      <c r="K7" s="4"/>
      <c r="L7" s="4"/>
      <c r="M7" s="4"/>
      <c r="N7" s="4"/>
      <c r="O7" s="8"/>
    </row>
    <row r="8" spans="1:15">
      <c r="A8" s="10"/>
      <c r="B8" s="6"/>
      <c r="C8" s="6" t="s">
        <v>42</v>
      </c>
      <c r="D8" s="6" t="s">
        <v>22</v>
      </c>
      <c r="E8" s="4">
        <v>1110</v>
      </c>
      <c r="F8" s="6" t="s">
        <v>1</v>
      </c>
      <c r="G8" s="6" t="s">
        <v>0</v>
      </c>
      <c r="H8" s="6">
        <v>0.2</v>
      </c>
      <c r="I8" s="4">
        <f t="shared" si="0"/>
        <v>222</v>
      </c>
      <c r="J8" s="9"/>
      <c r="K8" s="4"/>
      <c r="L8" s="4"/>
      <c r="M8" s="4"/>
      <c r="N8" s="4"/>
      <c r="O8" s="8"/>
    </row>
    <row r="9" spans="1:15">
      <c r="A9" s="10"/>
      <c r="B9" s="6"/>
      <c r="C9" s="6" t="s">
        <v>41</v>
      </c>
      <c r="D9" s="6" t="s">
        <v>2</v>
      </c>
      <c r="E9" s="4">
        <v>650</v>
      </c>
      <c r="F9" s="6" t="s">
        <v>1</v>
      </c>
      <c r="G9" s="6" t="s">
        <v>21</v>
      </c>
      <c r="H9" s="6">
        <v>0.2</v>
      </c>
      <c r="I9" s="4">
        <f t="shared" si="0"/>
        <v>130</v>
      </c>
      <c r="J9" s="9"/>
      <c r="K9" s="4"/>
      <c r="L9" s="4"/>
      <c r="M9" s="4"/>
      <c r="N9" s="4"/>
      <c r="O9" s="8"/>
    </row>
    <row r="10" spans="1:15">
      <c r="A10" s="15"/>
      <c r="B10" s="14"/>
      <c r="C10" s="14" t="s">
        <v>40</v>
      </c>
      <c r="D10" s="14" t="s">
        <v>15</v>
      </c>
      <c r="E10" s="12">
        <v>1315</v>
      </c>
      <c r="F10" s="14" t="s">
        <v>1</v>
      </c>
      <c r="G10" s="14" t="s">
        <v>21</v>
      </c>
      <c r="H10" s="14">
        <v>0.2</v>
      </c>
      <c r="I10" s="12">
        <f t="shared" si="0"/>
        <v>263</v>
      </c>
      <c r="J10" s="13"/>
      <c r="K10" s="12"/>
      <c r="L10" s="12"/>
      <c r="M10" s="12"/>
      <c r="N10" s="12"/>
      <c r="O10" s="11"/>
    </row>
    <row r="11" spans="1:15">
      <c r="A11" s="15"/>
      <c r="B11" s="14"/>
      <c r="C11" s="14" t="s">
        <v>39</v>
      </c>
      <c r="D11" s="14" t="s">
        <v>24</v>
      </c>
      <c r="E11" s="12">
        <v>2500</v>
      </c>
      <c r="F11" s="14" t="s">
        <v>1</v>
      </c>
      <c r="G11" s="14" t="s">
        <v>38</v>
      </c>
      <c r="H11" s="14">
        <v>0.4</v>
      </c>
      <c r="I11" s="12">
        <f t="shared" si="0"/>
        <v>1000</v>
      </c>
      <c r="J11" s="13"/>
      <c r="K11" s="12"/>
      <c r="L11" s="12"/>
      <c r="M11" s="12"/>
      <c r="N11" s="12"/>
      <c r="O11" s="11"/>
    </row>
    <row r="12" spans="1:15">
      <c r="A12" s="10"/>
      <c r="B12" s="6"/>
      <c r="C12" s="6" t="s">
        <v>37</v>
      </c>
      <c r="D12" s="6" t="s">
        <v>19</v>
      </c>
      <c r="E12" s="4">
        <v>1550</v>
      </c>
      <c r="F12" s="6" t="s">
        <v>1</v>
      </c>
      <c r="G12" s="6" t="s">
        <v>21</v>
      </c>
      <c r="H12" s="6">
        <v>0.2</v>
      </c>
      <c r="I12" s="4">
        <f t="shared" si="0"/>
        <v>310</v>
      </c>
      <c r="J12" s="9"/>
      <c r="K12" s="4"/>
      <c r="L12" s="4"/>
      <c r="M12" s="4"/>
      <c r="N12" s="4"/>
      <c r="O12" s="8"/>
    </row>
    <row r="13" spans="1:15">
      <c r="A13" s="10"/>
      <c r="B13" s="6"/>
      <c r="C13" s="6" t="s">
        <v>36</v>
      </c>
      <c r="D13" s="6" t="s">
        <v>15</v>
      </c>
      <c r="E13" s="4">
        <v>450</v>
      </c>
      <c r="F13" s="6" t="s">
        <v>1</v>
      </c>
      <c r="G13" s="6" t="s">
        <v>4</v>
      </c>
      <c r="H13" s="6">
        <v>0.2</v>
      </c>
      <c r="I13" s="4">
        <f t="shared" si="0"/>
        <v>90</v>
      </c>
      <c r="J13" s="9"/>
      <c r="K13" s="4"/>
      <c r="L13" s="4"/>
      <c r="M13" s="4"/>
      <c r="N13" s="4"/>
      <c r="O13" s="8"/>
    </row>
    <row r="14" spans="1:15">
      <c r="A14" s="10"/>
      <c r="B14" s="6"/>
      <c r="C14" s="6" t="s">
        <v>35</v>
      </c>
      <c r="D14" s="6" t="s">
        <v>24</v>
      </c>
      <c r="E14" s="4">
        <v>1575</v>
      </c>
      <c r="F14" s="6" t="s">
        <v>1</v>
      </c>
      <c r="G14" s="6" t="s">
        <v>21</v>
      </c>
      <c r="H14" s="6">
        <v>0.2</v>
      </c>
      <c r="I14" s="4">
        <f t="shared" si="0"/>
        <v>315</v>
      </c>
      <c r="J14" s="9"/>
      <c r="K14" s="4"/>
      <c r="L14" s="4"/>
      <c r="M14" s="4"/>
      <c r="N14" s="4"/>
      <c r="O14" s="8"/>
    </row>
    <row r="15" spans="1:15">
      <c r="A15" s="21" t="s">
        <v>34</v>
      </c>
      <c r="B15" s="19" t="s">
        <v>33</v>
      </c>
      <c r="C15" s="19"/>
      <c r="D15" s="19"/>
      <c r="E15" s="17"/>
      <c r="F15" s="19"/>
      <c r="G15" s="19"/>
      <c r="H15" s="19"/>
      <c r="I15" s="17"/>
      <c r="J15" s="18">
        <f>SUM(I16:I23)/SUM(E16:E23)</f>
        <v>0.22507071226536385</v>
      </c>
      <c r="K15" s="17">
        <f>SUM(E16:E23)</f>
        <v>11667</v>
      </c>
      <c r="L15" s="17">
        <f>SUM(I16:I23)</f>
        <v>2625.9</v>
      </c>
      <c r="M15" s="17">
        <f>K15+L15</f>
        <v>14292.9</v>
      </c>
      <c r="N15" s="17"/>
      <c r="O15" s="16"/>
    </row>
    <row r="16" spans="1:15">
      <c r="A16" s="10"/>
      <c r="B16" s="6"/>
      <c r="C16" s="6" t="s">
        <v>32</v>
      </c>
      <c r="D16" s="6" t="s">
        <v>2</v>
      </c>
      <c r="E16" s="4">
        <v>1600</v>
      </c>
      <c r="F16" s="6" t="s">
        <v>1</v>
      </c>
      <c r="G16" s="6" t="s">
        <v>30</v>
      </c>
      <c r="H16" s="6">
        <v>0.25</v>
      </c>
      <c r="I16" s="4">
        <f t="shared" ref="I16:I23" si="1">H16*E16</f>
        <v>400</v>
      </c>
      <c r="J16" s="9"/>
      <c r="K16" s="4"/>
      <c r="L16" s="4"/>
      <c r="M16" s="4"/>
      <c r="N16" s="4"/>
      <c r="O16" s="8"/>
    </row>
    <row r="17" spans="1:15">
      <c r="A17" s="10"/>
      <c r="B17" s="6"/>
      <c r="C17" s="6" t="s">
        <v>31</v>
      </c>
      <c r="D17" s="6" t="s">
        <v>19</v>
      </c>
      <c r="E17" s="4">
        <v>1450</v>
      </c>
      <c r="F17" s="6" t="s">
        <v>1</v>
      </c>
      <c r="G17" s="6" t="s">
        <v>30</v>
      </c>
      <c r="H17" s="6">
        <v>0.25</v>
      </c>
      <c r="I17" s="4">
        <f t="shared" si="1"/>
        <v>362.5</v>
      </c>
      <c r="J17" s="9"/>
      <c r="K17" s="4"/>
      <c r="L17" s="4"/>
      <c r="M17" s="4"/>
      <c r="N17" s="4"/>
      <c r="O17" s="8"/>
    </row>
    <row r="18" spans="1:15">
      <c r="A18" s="10"/>
      <c r="B18" s="6"/>
      <c r="C18" s="6" t="s">
        <v>29</v>
      </c>
      <c r="D18" s="6" t="s">
        <v>19</v>
      </c>
      <c r="E18" s="4">
        <v>1200</v>
      </c>
      <c r="F18" s="6" t="s">
        <v>1</v>
      </c>
      <c r="G18" s="6" t="s">
        <v>0</v>
      </c>
      <c r="H18" s="6">
        <v>0.2</v>
      </c>
      <c r="I18" s="4">
        <f t="shared" si="1"/>
        <v>240</v>
      </c>
      <c r="J18" s="9"/>
      <c r="K18" s="4"/>
      <c r="L18" s="4"/>
      <c r="M18" s="4"/>
      <c r="N18" s="4"/>
      <c r="O18" s="8"/>
    </row>
    <row r="19" spans="1:15">
      <c r="A19" s="15"/>
      <c r="B19" s="14"/>
      <c r="C19" s="14" t="s">
        <v>28</v>
      </c>
      <c r="D19" s="14" t="s">
        <v>2</v>
      </c>
      <c r="E19" s="12">
        <v>700</v>
      </c>
      <c r="F19" s="14" t="s">
        <v>1</v>
      </c>
      <c r="G19" s="14" t="s">
        <v>27</v>
      </c>
      <c r="H19" s="14">
        <v>0.4</v>
      </c>
      <c r="I19" s="12">
        <f t="shared" si="1"/>
        <v>280</v>
      </c>
      <c r="J19" s="13"/>
      <c r="K19" s="12"/>
      <c r="L19" s="12"/>
      <c r="M19" s="12"/>
      <c r="N19" s="12"/>
      <c r="O19" s="11"/>
    </row>
    <row r="20" spans="1:15">
      <c r="A20" s="10"/>
      <c r="B20" s="6"/>
      <c r="C20" s="6" t="s">
        <v>26</v>
      </c>
      <c r="D20" s="6" t="s">
        <v>19</v>
      </c>
      <c r="E20" s="4">
        <v>946</v>
      </c>
      <c r="F20" s="6" t="s">
        <v>1</v>
      </c>
      <c r="G20" s="6" t="s">
        <v>0</v>
      </c>
      <c r="H20" s="6">
        <v>0.2</v>
      </c>
      <c r="I20" s="4">
        <f t="shared" si="1"/>
        <v>189.20000000000002</v>
      </c>
      <c r="J20" s="9"/>
      <c r="K20" s="4"/>
      <c r="L20" s="4"/>
      <c r="M20" s="4"/>
      <c r="N20" s="4"/>
      <c r="O20" s="8"/>
    </row>
    <row r="21" spans="1:15">
      <c r="A21" s="10"/>
      <c r="B21" s="6"/>
      <c r="C21" s="6" t="s">
        <v>25</v>
      </c>
      <c r="D21" s="6" t="s">
        <v>24</v>
      </c>
      <c r="E21" s="4">
        <v>3750</v>
      </c>
      <c r="F21" s="6" t="s">
        <v>1</v>
      </c>
      <c r="G21" s="6" t="s">
        <v>0</v>
      </c>
      <c r="H21" s="6">
        <v>0.2</v>
      </c>
      <c r="I21" s="4">
        <f t="shared" si="1"/>
        <v>750</v>
      </c>
      <c r="J21" s="9"/>
      <c r="K21" s="4"/>
      <c r="L21" s="4"/>
      <c r="M21" s="4"/>
      <c r="N21" s="4"/>
      <c r="O21" s="8"/>
    </row>
    <row r="22" spans="1:15">
      <c r="A22" s="10"/>
      <c r="B22" s="6"/>
      <c r="C22" s="6" t="s">
        <v>23</v>
      </c>
      <c r="D22" s="6" t="s">
        <v>22</v>
      </c>
      <c r="E22" s="4">
        <v>924</v>
      </c>
      <c r="F22" s="6" t="s">
        <v>1</v>
      </c>
      <c r="G22" s="6" t="s">
        <v>21</v>
      </c>
      <c r="H22" s="6">
        <v>0.2</v>
      </c>
      <c r="I22" s="4">
        <f t="shared" si="1"/>
        <v>184.8</v>
      </c>
      <c r="J22" s="9"/>
      <c r="K22" s="4"/>
      <c r="L22" s="4"/>
      <c r="M22" s="4"/>
      <c r="N22" s="4"/>
      <c r="O22" s="8"/>
    </row>
    <row r="23" spans="1:15">
      <c r="A23" s="10"/>
      <c r="B23" s="6"/>
      <c r="C23" s="6" t="s">
        <v>20</v>
      </c>
      <c r="D23" s="6" t="s">
        <v>19</v>
      </c>
      <c r="E23" s="4">
        <v>1097</v>
      </c>
      <c r="F23" s="6" t="s">
        <v>1</v>
      </c>
      <c r="G23" s="6" t="s">
        <v>4</v>
      </c>
      <c r="H23" s="6">
        <v>0.2</v>
      </c>
      <c r="I23" s="4">
        <f t="shared" si="1"/>
        <v>219.4</v>
      </c>
      <c r="J23" s="9"/>
      <c r="K23" s="4"/>
      <c r="L23" s="4"/>
      <c r="M23" s="4"/>
      <c r="N23" s="4"/>
      <c r="O23" s="8"/>
    </row>
    <row r="24" spans="1:15">
      <c r="A24" s="21" t="s">
        <v>18</v>
      </c>
      <c r="B24" s="20" t="s">
        <v>17</v>
      </c>
      <c r="C24" s="19"/>
      <c r="D24" s="19"/>
      <c r="E24" s="17"/>
      <c r="F24" s="19"/>
      <c r="G24" s="19"/>
      <c r="H24" s="19"/>
      <c r="I24" s="17"/>
      <c r="J24" s="18">
        <f>SUM(I25:I31)/SUM(E25:E31)</f>
        <v>0.23335557038025351</v>
      </c>
      <c r="K24" s="17">
        <f>SUM(E25:E31)</f>
        <v>10493</v>
      </c>
      <c r="L24" s="17">
        <f>SUM(I25:I31)</f>
        <v>2448.6</v>
      </c>
      <c r="M24" s="17">
        <f>K24+L24</f>
        <v>12941.6</v>
      </c>
      <c r="N24" s="17"/>
      <c r="O24" s="16"/>
    </row>
    <row r="25" spans="1:15">
      <c r="A25" s="10"/>
      <c r="B25" s="6"/>
      <c r="C25" s="6" t="s">
        <v>16</v>
      </c>
      <c r="D25" s="6" t="s">
        <v>15</v>
      </c>
      <c r="E25" s="4">
        <v>1625</v>
      </c>
      <c r="F25" s="6" t="s">
        <v>1</v>
      </c>
      <c r="G25" s="6" t="s">
        <v>14</v>
      </c>
      <c r="H25" s="6">
        <v>0.2</v>
      </c>
      <c r="I25" s="4">
        <f t="shared" ref="I25:I31" si="2">H25*E25</f>
        <v>325</v>
      </c>
      <c r="J25" s="9"/>
      <c r="K25" s="4"/>
      <c r="L25" s="4"/>
      <c r="M25" s="4"/>
      <c r="N25" s="4"/>
      <c r="O25" s="8"/>
    </row>
    <row r="26" spans="1:15">
      <c r="A26" s="10"/>
      <c r="B26" s="6"/>
      <c r="C26" s="6" t="s">
        <v>13</v>
      </c>
      <c r="D26" s="6" t="s">
        <v>2</v>
      </c>
      <c r="E26" s="4">
        <v>2050</v>
      </c>
      <c r="F26" s="6" t="s">
        <v>1</v>
      </c>
      <c r="G26" s="6" t="s">
        <v>4</v>
      </c>
      <c r="H26" s="6">
        <v>0.2</v>
      </c>
      <c r="I26" s="4">
        <f t="shared" si="2"/>
        <v>410</v>
      </c>
      <c r="J26" s="9"/>
      <c r="K26" s="4"/>
      <c r="L26" s="4"/>
      <c r="M26" s="4"/>
      <c r="N26" s="4"/>
      <c r="O26" s="8"/>
    </row>
    <row r="27" spans="1:15">
      <c r="A27" s="10"/>
      <c r="B27" s="6"/>
      <c r="C27" s="6" t="s">
        <v>12</v>
      </c>
      <c r="D27" s="6" t="s">
        <v>10</v>
      </c>
      <c r="E27" s="4">
        <v>550</v>
      </c>
      <c r="F27" s="6" t="s">
        <v>1</v>
      </c>
      <c r="G27" s="6" t="s">
        <v>4</v>
      </c>
      <c r="H27" s="6">
        <v>0.2</v>
      </c>
      <c r="I27" s="4">
        <f t="shared" si="2"/>
        <v>110</v>
      </c>
      <c r="J27" s="9"/>
      <c r="K27" s="4"/>
      <c r="L27" s="4"/>
      <c r="M27" s="4"/>
      <c r="N27" s="4"/>
      <c r="O27" s="8"/>
    </row>
    <row r="28" spans="1:15">
      <c r="A28" s="10"/>
      <c r="B28" s="6"/>
      <c r="C28" s="6" t="s">
        <v>11</v>
      </c>
      <c r="D28" s="6" t="s">
        <v>10</v>
      </c>
      <c r="E28" s="4">
        <v>2986</v>
      </c>
      <c r="F28" s="6" t="s">
        <v>1</v>
      </c>
      <c r="G28" s="6" t="s">
        <v>4</v>
      </c>
      <c r="H28" s="6">
        <v>0.2</v>
      </c>
      <c r="I28" s="4">
        <f t="shared" si="2"/>
        <v>597.20000000000005</v>
      </c>
      <c r="J28" s="9"/>
      <c r="K28" s="4"/>
      <c r="L28" s="4"/>
      <c r="M28" s="4"/>
      <c r="N28" s="4"/>
      <c r="O28" s="8"/>
    </row>
    <row r="29" spans="1:15">
      <c r="A29" s="15"/>
      <c r="B29" s="14"/>
      <c r="C29" s="14" t="s">
        <v>9</v>
      </c>
      <c r="D29" s="14" t="s">
        <v>8</v>
      </c>
      <c r="E29" s="12">
        <v>1750</v>
      </c>
      <c r="F29" s="14" t="s">
        <v>1</v>
      </c>
      <c r="G29" s="14" t="s">
        <v>7</v>
      </c>
      <c r="H29" s="14">
        <v>0.4</v>
      </c>
      <c r="I29" s="12">
        <f t="shared" si="2"/>
        <v>700</v>
      </c>
      <c r="J29" s="13"/>
      <c r="K29" s="12"/>
      <c r="L29" s="12"/>
      <c r="M29" s="12"/>
      <c r="N29" s="12"/>
      <c r="O29" s="11"/>
    </row>
    <row r="30" spans="1:15">
      <c r="A30" s="10"/>
      <c r="B30" s="6"/>
      <c r="C30" s="6" t="s">
        <v>6</v>
      </c>
      <c r="D30" s="6" t="s">
        <v>5</v>
      </c>
      <c r="E30" s="4">
        <v>650</v>
      </c>
      <c r="F30" s="6" t="s">
        <v>1</v>
      </c>
      <c r="G30" s="6" t="s">
        <v>4</v>
      </c>
      <c r="H30" s="6">
        <v>0.2</v>
      </c>
      <c r="I30" s="4">
        <f t="shared" si="2"/>
        <v>130</v>
      </c>
      <c r="J30" s="9"/>
      <c r="K30" s="4"/>
      <c r="L30" s="4"/>
      <c r="M30" s="4"/>
      <c r="N30" s="4"/>
      <c r="O30" s="8"/>
    </row>
    <row r="31" spans="1:15" ht="16" thickBot="1">
      <c r="A31" s="7"/>
      <c r="B31" s="5"/>
      <c r="C31" s="5" t="s">
        <v>3</v>
      </c>
      <c r="D31" s="5" t="s">
        <v>2</v>
      </c>
      <c r="E31" s="2">
        <v>882</v>
      </c>
      <c r="F31" s="6" t="s">
        <v>1</v>
      </c>
      <c r="G31" s="5" t="s">
        <v>0</v>
      </c>
      <c r="H31" s="5">
        <v>0.2</v>
      </c>
      <c r="I31" s="4">
        <f t="shared" si="2"/>
        <v>176.4</v>
      </c>
      <c r="J31" s="3"/>
      <c r="K31" s="2"/>
      <c r="L31" s="2"/>
      <c r="M31" s="2"/>
      <c r="N31" s="2"/>
      <c r="O31" s="1"/>
    </row>
    <row r="32" spans="1:15" ht="16" thickBot="1"/>
    <row r="33" spans="1:15">
      <c r="A33" s="31" t="s">
        <v>65</v>
      </c>
      <c r="B33" s="30" t="s">
        <v>64</v>
      </c>
      <c r="C33" s="30" t="s">
        <v>63</v>
      </c>
      <c r="D33" s="30" t="s">
        <v>62</v>
      </c>
      <c r="E33" s="28" t="s">
        <v>57</v>
      </c>
      <c r="F33" s="30" t="s">
        <v>61</v>
      </c>
      <c r="G33" s="30" t="s">
        <v>60</v>
      </c>
      <c r="H33" s="29" t="s">
        <v>56</v>
      </c>
      <c r="I33" s="30" t="s">
        <v>59</v>
      </c>
      <c r="J33" s="29" t="s">
        <v>58</v>
      </c>
      <c r="K33" s="28" t="s">
        <v>57</v>
      </c>
      <c r="L33" s="28" t="s">
        <v>56</v>
      </c>
      <c r="M33" s="32" t="s">
        <v>55</v>
      </c>
      <c r="N33" s="32" t="s">
        <v>54</v>
      </c>
      <c r="O33" s="27" t="s">
        <v>53</v>
      </c>
    </row>
    <row r="34" spans="1:15" ht="16" thickBot="1">
      <c r="A34" s="33" t="s">
        <v>66</v>
      </c>
      <c r="B34" s="34" t="s">
        <v>67</v>
      </c>
      <c r="C34" s="34"/>
      <c r="D34" s="34"/>
      <c r="E34" s="35"/>
      <c r="F34" s="34"/>
      <c r="G34" s="34"/>
      <c r="H34" s="36"/>
      <c r="I34" s="34"/>
      <c r="J34" s="37"/>
      <c r="K34" s="38"/>
      <c r="L34" s="38"/>
      <c r="M34" s="39"/>
      <c r="N34" s="39">
        <f>SUM(K35:K41)</f>
        <v>78927</v>
      </c>
      <c r="O34" s="40">
        <f>SUM(M35:M41)</f>
        <v>95062.399999999994</v>
      </c>
    </row>
    <row r="35" spans="1:15">
      <c r="A35" s="41" t="s">
        <v>68</v>
      </c>
      <c r="B35" s="42" t="s">
        <v>69</v>
      </c>
      <c r="C35" s="42"/>
      <c r="D35" s="42"/>
      <c r="E35" s="43"/>
      <c r="F35" s="42"/>
      <c r="G35" s="42"/>
      <c r="H35" s="42"/>
      <c r="I35" s="42"/>
      <c r="J35" s="42">
        <f>SUM(I36)/SUM(E36)</f>
        <v>0.2</v>
      </c>
      <c r="K35" s="43">
        <f>SUM(E36)</f>
        <v>77177</v>
      </c>
      <c r="L35" s="43">
        <f>SUM(I36)</f>
        <v>15435.400000000001</v>
      </c>
      <c r="M35" s="43">
        <f>K35+L35</f>
        <v>92612.4</v>
      </c>
      <c r="N35" s="43"/>
      <c r="O35" s="44"/>
    </row>
    <row r="36" spans="1:15" ht="16" thickBot="1">
      <c r="A36" s="7"/>
      <c r="B36" s="5"/>
      <c r="C36" s="5" t="s">
        <v>70</v>
      </c>
      <c r="D36" s="5" t="s">
        <v>71</v>
      </c>
      <c r="E36" s="2">
        <v>77177</v>
      </c>
      <c r="F36" s="5" t="s">
        <v>1</v>
      </c>
      <c r="G36" s="45" t="s">
        <v>72</v>
      </c>
      <c r="H36" s="5">
        <v>0.2</v>
      </c>
      <c r="I36" s="46">
        <f>H36*E36</f>
        <v>15435.400000000001</v>
      </c>
      <c r="J36" s="5"/>
      <c r="K36" s="2"/>
      <c r="L36" s="2"/>
      <c r="M36" s="2"/>
      <c r="N36" s="2"/>
      <c r="O36" s="1"/>
    </row>
    <row r="37" spans="1:15">
      <c r="A37" s="41" t="s">
        <v>73</v>
      </c>
      <c r="B37" s="42" t="s">
        <v>74</v>
      </c>
      <c r="C37" s="42"/>
      <c r="D37" s="42"/>
      <c r="E37" s="43"/>
      <c r="F37" s="42"/>
      <c r="G37" s="42"/>
      <c r="H37" s="42"/>
      <c r="I37" s="42"/>
      <c r="J37" s="42">
        <f>SUM(I38)/SUM(E38)</f>
        <v>0.4</v>
      </c>
      <c r="K37" s="43">
        <f>SUM(E38)</f>
        <v>1750</v>
      </c>
      <c r="L37" s="43">
        <f>SUM(I38)</f>
        <v>700</v>
      </c>
      <c r="M37" s="43">
        <f>K37+L37</f>
        <v>2450</v>
      </c>
      <c r="N37" s="43"/>
      <c r="O37" s="44"/>
    </row>
    <row r="38" spans="1:15">
      <c r="A38" s="15"/>
      <c r="B38" s="14"/>
      <c r="C38" s="14" t="s">
        <v>9</v>
      </c>
      <c r="D38" s="14" t="s">
        <v>8</v>
      </c>
      <c r="E38" s="12">
        <v>1750</v>
      </c>
      <c r="F38" s="14" t="s">
        <v>1</v>
      </c>
      <c r="G38" s="14" t="s">
        <v>7</v>
      </c>
      <c r="H38" s="14">
        <v>0.4</v>
      </c>
      <c r="I38" s="12">
        <f t="shared" ref="I38:I42" si="3">H38*E38</f>
        <v>700</v>
      </c>
      <c r="J38" s="13"/>
      <c r="K38" s="12"/>
      <c r="L38" s="12"/>
      <c r="M38" s="12"/>
      <c r="N38" s="12"/>
      <c r="O38" s="11"/>
    </row>
    <row r="39" spans="1:15">
      <c r="A39" s="15"/>
      <c r="B39" s="14"/>
      <c r="C39" s="14" t="s">
        <v>9</v>
      </c>
      <c r="D39" s="14" t="s">
        <v>8</v>
      </c>
      <c r="E39" s="12">
        <v>1750</v>
      </c>
      <c r="F39" s="14" t="s">
        <v>1</v>
      </c>
      <c r="G39" s="14" t="s">
        <v>7</v>
      </c>
      <c r="H39" s="14">
        <v>0.4</v>
      </c>
      <c r="I39" s="12">
        <f t="shared" si="3"/>
        <v>700</v>
      </c>
      <c r="J39" s="13"/>
      <c r="K39" s="12"/>
      <c r="L39" s="12"/>
      <c r="M39" s="12"/>
      <c r="N39" s="12"/>
      <c r="O39" s="11"/>
    </row>
    <row r="40" spans="1:15">
      <c r="A40" s="15"/>
      <c r="B40" s="14"/>
      <c r="C40" s="14" t="s">
        <v>9</v>
      </c>
      <c r="D40" s="14" t="s">
        <v>8</v>
      </c>
      <c r="E40" s="12">
        <v>1750</v>
      </c>
      <c r="F40" s="14" t="s">
        <v>1</v>
      </c>
      <c r="G40" s="14" t="s">
        <v>7</v>
      </c>
      <c r="H40" s="14">
        <v>0.4</v>
      </c>
      <c r="I40" s="12">
        <f t="shared" si="3"/>
        <v>700</v>
      </c>
      <c r="J40" s="13"/>
      <c r="K40" s="12"/>
      <c r="L40" s="12"/>
      <c r="M40" s="12"/>
      <c r="N40" s="12"/>
      <c r="O40" s="11"/>
    </row>
    <row r="41" spans="1:15">
      <c r="A41" s="15"/>
      <c r="B41" s="14"/>
      <c r="C41" s="14" t="s">
        <v>9</v>
      </c>
      <c r="D41" s="14" t="s">
        <v>8</v>
      </c>
      <c r="E41" s="12">
        <v>1750</v>
      </c>
      <c r="F41" s="14" t="s">
        <v>1</v>
      </c>
      <c r="G41" s="14" t="s">
        <v>7</v>
      </c>
      <c r="H41" s="14">
        <v>0.4</v>
      </c>
      <c r="I41" s="12">
        <f t="shared" si="3"/>
        <v>700</v>
      </c>
      <c r="J41" s="13"/>
      <c r="K41" s="12"/>
      <c r="L41" s="12"/>
      <c r="M41" s="12"/>
      <c r="N41" s="12"/>
      <c r="O41" s="11"/>
    </row>
    <row r="42" spans="1:15">
      <c r="A42" s="15"/>
      <c r="B42" s="14"/>
      <c r="C42" s="14" t="s">
        <v>9</v>
      </c>
      <c r="D42" s="14" t="s">
        <v>8</v>
      </c>
      <c r="E42" s="12">
        <v>1750</v>
      </c>
      <c r="F42" s="14" t="s">
        <v>1</v>
      </c>
      <c r="G42" s="14" t="s">
        <v>7</v>
      </c>
      <c r="H42" s="14">
        <v>0.4</v>
      </c>
      <c r="I42" s="12">
        <f t="shared" si="3"/>
        <v>700</v>
      </c>
      <c r="J42" s="13"/>
      <c r="K42" s="12"/>
      <c r="L42" s="12"/>
      <c r="M42" s="12"/>
      <c r="N42" s="12"/>
      <c r="O42" s="11"/>
    </row>
    <row r="43" spans="1:15" ht="16" thickBot="1"/>
    <row r="44" spans="1:15">
      <c r="A44" s="31" t="s">
        <v>65</v>
      </c>
      <c r="B44" s="30" t="s">
        <v>64</v>
      </c>
      <c r="C44" s="30" t="s">
        <v>63</v>
      </c>
      <c r="D44" s="30" t="s">
        <v>62</v>
      </c>
      <c r="E44" s="28" t="s">
        <v>57</v>
      </c>
      <c r="F44" s="30" t="s">
        <v>61</v>
      </c>
      <c r="G44" s="30" t="s">
        <v>60</v>
      </c>
      <c r="H44" s="29" t="s">
        <v>56</v>
      </c>
      <c r="I44" s="30" t="s">
        <v>59</v>
      </c>
      <c r="J44" s="29" t="s">
        <v>58</v>
      </c>
      <c r="K44" s="28" t="s">
        <v>57</v>
      </c>
      <c r="L44" s="28" t="s">
        <v>56</v>
      </c>
      <c r="M44" s="32" t="s">
        <v>55</v>
      </c>
      <c r="N44" s="32" t="s">
        <v>54</v>
      </c>
      <c r="O44" s="27" t="s">
        <v>53</v>
      </c>
    </row>
    <row r="45" spans="1:15" ht="16" thickBot="1">
      <c r="A45" s="33" t="s">
        <v>76</v>
      </c>
      <c r="B45" s="51" t="s">
        <v>77</v>
      </c>
      <c r="C45" s="34"/>
      <c r="D45" s="34"/>
      <c r="E45" s="35"/>
      <c r="F45" s="34"/>
      <c r="G45" s="34"/>
      <c r="H45" s="36"/>
      <c r="I45" s="34"/>
      <c r="J45" s="37"/>
      <c r="K45" s="38"/>
      <c r="L45" s="38"/>
      <c r="M45" s="39"/>
      <c r="N45" s="39">
        <f>SUM(K45:K84)</f>
        <v>106755</v>
      </c>
      <c r="O45" s="39">
        <f>SUM(M45:M84)</f>
        <v>135374</v>
      </c>
    </row>
    <row r="46" spans="1:15" ht="16" thickBot="1">
      <c r="A46" s="41" t="s">
        <v>78</v>
      </c>
      <c r="B46" s="52" t="s">
        <v>79</v>
      </c>
      <c r="C46" s="42"/>
      <c r="D46" s="42"/>
      <c r="E46" s="43"/>
      <c r="F46" s="42"/>
      <c r="G46" s="42"/>
      <c r="H46" s="53"/>
      <c r="I46" s="42"/>
      <c r="J46" s="53">
        <f>SUM(I47:I49)/SUM(E47:E49)</f>
        <v>0.2</v>
      </c>
      <c r="K46" s="43">
        <f>SUM(E47:E49)</f>
        <v>8975</v>
      </c>
      <c r="L46" s="43">
        <f>SUM(I47:I49)</f>
        <v>1795</v>
      </c>
      <c r="M46" s="43">
        <f>K46+L46</f>
        <v>10770</v>
      </c>
      <c r="N46" s="17"/>
      <c r="O46" s="19"/>
    </row>
    <row r="47" spans="1:15" ht="16" thickBot="1">
      <c r="A47" s="54"/>
      <c r="B47" s="55"/>
      <c r="C47" s="6" t="s">
        <v>80</v>
      </c>
      <c r="D47" s="56"/>
      <c r="E47" s="57">
        <v>4500</v>
      </c>
      <c r="F47" s="56" t="s">
        <v>1</v>
      </c>
      <c r="G47" s="56" t="s">
        <v>46</v>
      </c>
      <c r="H47" s="58">
        <v>0.2</v>
      </c>
      <c r="I47" s="57">
        <f>H47*E47</f>
        <v>900</v>
      </c>
      <c r="J47" s="58"/>
      <c r="K47" s="57"/>
      <c r="L47" s="57"/>
      <c r="M47" s="4"/>
      <c r="N47" s="4"/>
      <c r="O47" s="6"/>
    </row>
    <row r="48" spans="1:15" ht="16" thickBot="1">
      <c r="A48" s="54"/>
      <c r="B48" s="55"/>
      <c r="C48" s="6" t="s">
        <v>81</v>
      </c>
      <c r="D48" s="6"/>
      <c r="E48" s="4">
        <v>3975</v>
      </c>
      <c r="F48" s="56" t="s">
        <v>1</v>
      </c>
      <c r="G48" s="6" t="s">
        <v>82</v>
      </c>
      <c r="H48" s="9">
        <v>0.2</v>
      </c>
      <c r="I48" s="57">
        <f t="shared" ref="I48:I86" si="4">H48*E48</f>
        <v>795</v>
      </c>
      <c r="J48" s="9"/>
      <c r="K48" s="4"/>
      <c r="L48" s="4"/>
      <c r="M48" s="4"/>
      <c r="N48" s="4"/>
      <c r="O48" s="6"/>
    </row>
    <row r="49" spans="1:15" ht="16" thickBot="1">
      <c r="A49" s="54"/>
      <c r="B49" s="55"/>
      <c r="C49" s="6" t="s">
        <v>83</v>
      </c>
      <c r="D49" s="6"/>
      <c r="E49" s="4">
        <v>500</v>
      </c>
      <c r="F49" s="56" t="s">
        <v>1</v>
      </c>
      <c r="G49" s="6" t="s">
        <v>84</v>
      </c>
      <c r="H49" s="9">
        <v>0.2</v>
      </c>
      <c r="I49" s="57">
        <f t="shared" si="4"/>
        <v>100</v>
      </c>
      <c r="J49" s="9"/>
      <c r="K49" s="4"/>
      <c r="L49" s="4"/>
      <c r="M49" s="4"/>
      <c r="N49" s="4"/>
      <c r="O49" s="6"/>
    </row>
    <row r="50" spans="1:15" ht="16" thickBot="1">
      <c r="A50" s="41" t="s">
        <v>85</v>
      </c>
      <c r="B50" s="59" t="s">
        <v>86</v>
      </c>
      <c r="C50" s="42"/>
      <c r="D50" s="42"/>
      <c r="E50" s="43"/>
      <c r="F50" s="42"/>
      <c r="G50" s="42"/>
      <c r="H50" s="53"/>
      <c r="I50" s="43"/>
      <c r="J50" s="53">
        <f>SUM(I51:I53)/SUM(E51:E53)</f>
        <v>0.24946996466431096</v>
      </c>
      <c r="K50" s="43">
        <f>SUM(E51:E53)</f>
        <v>28300</v>
      </c>
      <c r="L50" s="43">
        <f>SUM(I51:I53)</f>
        <v>7060</v>
      </c>
      <c r="M50" s="43">
        <f>K50+L50</f>
        <v>35360</v>
      </c>
      <c r="N50" s="17"/>
      <c r="O50" s="19"/>
    </row>
    <row r="51" spans="1:15" ht="16" thickBot="1">
      <c r="A51" s="60"/>
      <c r="B51" s="61"/>
      <c r="C51" s="62" t="s">
        <v>87</v>
      </c>
      <c r="D51" s="56"/>
      <c r="E51" s="57">
        <v>14000</v>
      </c>
      <c r="F51" s="56" t="s">
        <v>1</v>
      </c>
      <c r="G51" s="56" t="s">
        <v>88</v>
      </c>
      <c r="H51" s="58">
        <v>0.25</v>
      </c>
      <c r="I51" s="57">
        <f t="shared" si="4"/>
        <v>3500</v>
      </c>
      <c r="J51" s="58"/>
      <c r="K51" s="57"/>
      <c r="L51" s="57"/>
      <c r="M51" s="4"/>
      <c r="N51" s="4"/>
      <c r="O51" s="6"/>
    </row>
    <row r="52" spans="1:15" ht="16" thickBot="1">
      <c r="A52" s="60"/>
      <c r="B52" s="55"/>
      <c r="C52" s="62" t="s">
        <v>89</v>
      </c>
      <c r="D52" s="6"/>
      <c r="E52" s="4">
        <v>14000</v>
      </c>
      <c r="F52" s="56" t="s">
        <v>1</v>
      </c>
      <c r="G52" s="6" t="s">
        <v>88</v>
      </c>
      <c r="H52" s="9">
        <v>0.25</v>
      </c>
      <c r="I52" s="57">
        <f t="shared" si="4"/>
        <v>3500</v>
      </c>
      <c r="J52" s="9"/>
      <c r="K52" s="4"/>
      <c r="L52" s="4"/>
      <c r="M52" s="4"/>
      <c r="N52" s="4"/>
      <c r="O52" s="6"/>
    </row>
    <row r="53" spans="1:15" ht="16" thickBot="1">
      <c r="A53" s="60"/>
      <c r="B53" s="55"/>
      <c r="C53" s="62" t="s">
        <v>83</v>
      </c>
      <c r="D53" s="6"/>
      <c r="E53" s="4">
        <v>300</v>
      </c>
      <c r="F53" s="56" t="s">
        <v>1</v>
      </c>
      <c r="G53" s="6" t="s">
        <v>84</v>
      </c>
      <c r="H53" s="9">
        <v>0.2</v>
      </c>
      <c r="I53" s="57">
        <f t="shared" si="4"/>
        <v>60</v>
      </c>
      <c r="J53" s="9"/>
      <c r="K53" s="4"/>
      <c r="L53" s="4"/>
      <c r="M53" s="4"/>
      <c r="N53" s="4"/>
      <c r="O53" s="6"/>
    </row>
    <row r="54" spans="1:15" ht="16" thickBot="1">
      <c r="A54" s="41" t="s">
        <v>90</v>
      </c>
      <c r="B54" s="63" t="s">
        <v>91</v>
      </c>
      <c r="C54" s="42"/>
      <c r="D54" s="42"/>
      <c r="E54" s="43"/>
      <c r="F54" s="42"/>
      <c r="G54" s="42"/>
      <c r="H54" s="53"/>
      <c r="I54" s="43"/>
      <c r="J54" s="53">
        <f>SUM(I55:I58)/SUM(E55:E58)</f>
        <v>0.37938931297709921</v>
      </c>
      <c r="K54" s="43">
        <f>SUM(E55:E58)</f>
        <v>6550</v>
      </c>
      <c r="L54" s="43">
        <f>SUM(I55:I58)</f>
        <v>2485</v>
      </c>
      <c r="M54" s="43">
        <f>K54+L54</f>
        <v>9035</v>
      </c>
      <c r="N54" s="17"/>
      <c r="O54" s="19"/>
    </row>
    <row r="55" spans="1:15" ht="16" thickBot="1">
      <c r="A55" s="64"/>
      <c r="B55" s="65"/>
      <c r="C55" s="66" t="s">
        <v>92</v>
      </c>
      <c r="D55" s="14"/>
      <c r="E55" s="12">
        <v>5000</v>
      </c>
      <c r="F55" s="14" t="s">
        <v>1</v>
      </c>
      <c r="G55" s="14" t="s">
        <v>27</v>
      </c>
      <c r="H55" s="13">
        <v>0.4</v>
      </c>
      <c r="I55" s="67">
        <f t="shared" si="4"/>
        <v>2000</v>
      </c>
      <c r="J55" s="13"/>
      <c r="K55" s="12"/>
      <c r="L55" s="12"/>
      <c r="M55" s="12"/>
      <c r="N55" s="12"/>
      <c r="O55" s="14"/>
    </row>
    <row r="56" spans="1:15" ht="16" thickBot="1">
      <c r="A56" s="68"/>
      <c r="B56" s="55"/>
      <c r="C56" s="62" t="s">
        <v>93</v>
      </c>
      <c r="D56" s="6"/>
      <c r="E56" s="4">
        <v>600</v>
      </c>
      <c r="F56" s="6" t="s">
        <v>1</v>
      </c>
      <c r="G56" s="6" t="s">
        <v>88</v>
      </c>
      <c r="H56" s="9">
        <v>0.25</v>
      </c>
      <c r="I56" s="57">
        <f t="shared" si="4"/>
        <v>150</v>
      </c>
      <c r="J56" s="9"/>
      <c r="K56" s="4"/>
      <c r="L56" s="4"/>
      <c r="M56" s="4"/>
      <c r="N56" s="4"/>
      <c r="O56" s="6"/>
    </row>
    <row r="57" spans="1:15" ht="16" thickBot="1">
      <c r="A57" s="68"/>
      <c r="B57" s="55"/>
      <c r="C57" s="62" t="s">
        <v>94</v>
      </c>
      <c r="D57" s="6"/>
      <c r="E57" s="4">
        <v>300</v>
      </c>
      <c r="F57" s="6" t="s">
        <v>1</v>
      </c>
      <c r="G57" s="6" t="s">
        <v>88</v>
      </c>
      <c r="H57" s="9">
        <v>0.25</v>
      </c>
      <c r="I57" s="57">
        <f t="shared" si="4"/>
        <v>75</v>
      </c>
      <c r="J57" s="9"/>
      <c r="K57" s="4"/>
      <c r="L57" s="4"/>
      <c r="M57" s="4"/>
      <c r="N57" s="4"/>
      <c r="O57" s="6"/>
    </row>
    <row r="58" spans="1:15" ht="16" thickBot="1">
      <c r="A58" s="64"/>
      <c r="B58" s="69"/>
      <c r="C58" s="66" t="s">
        <v>95</v>
      </c>
      <c r="D58" s="14" t="s">
        <v>96</v>
      </c>
      <c r="E58" s="12">
        <v>650</v>
      </c>
      <c r="F58" s="14" t="s">
        <v>1</v>
      </c>
      <c r="G58" s="14" t="s">
        <v>7</v>
      </c>
      <c r="H58" s="13">
        <v>0.4</v>
      </c>
      <c r="I58" s="67">
        <f t="shared" si="4"/>
        <v>260</v>
      </c>
      <c r="J58" s="13"/>
      <c r="K58" s="12"/>
      <c r="L58" s="12"/>
      <c r="M58" s="12"/>
      <c r="N58" s="12"/>
      <c r="O58" s="14"/>
    </row>
    <row r="59" spans="1:15" ht="16" thickBot="1">
      <c r="A59" s="41" t="s">
        <v>97</v>
      </c>
      <c r="B59" s="70" t="s">
        <v>98</v>
      </c>
      <c r="C59" s="42"/>
      <c r="D59" s="42"/>
      <c r="E59" s="43"/>
      <c r="F59" s="42"/>
      <c r="G59" s="42"/>
      <c r="H59" s="53"/>
      <c r="I59" s="43"/>
      <c r="J59" s="53">
        <f>SUM(I60:I62)/SUM(E60:E62)</f>
        <v>0.25357142857142856</v>
      </c>
      <c r="K59" s="43">
        <f>SUM(E60:E62)</f>
        <v>11200</v>
      </c>
      <c r="L59" s="43">
        <f>SUM(I60:I62)</f>
        <v>2840</v>
      </c>
      <c r="M59" s="43">
        <f>K59+L59</f>
        <v>14040</v>
      </c>
      <c r="N59" s="17"/>
      <c r="O59" s="19"/>
    </row>
    <row r="60" spans="1:15" ht="16" thickBot="1">
      <c r="A60" s="54"/>
      <c r="B60" s="55"/>
      <c r="C60" s="6" t="s">
        <v>99</v>
      </c>
      <c r="D60" s="6"/>
      <c r="E60" s="4">
        <v>7000</v>
      </c>
      <c r="F60" s="6" t="s">
        <v>1</v>
      </c>
      <c r="G60" s="6" t="s">
        <v>84</v>
      </c>
      <c r="H60" s="71">
        <v>0.2</v>
      </c>
      <c r="I60" s="57">
        <f t="shared" si="4"/>
        <v>1400</v>
      </c>
      <c r="J60" s="71"/>
      <c r="K60" s="72"/>
      <c r="L60" s="72"/>
      <c r="M60" s="4"/>
      <c r="N60" s="4"/>
      <c r="O60" s="6"/>
    </row>
    <row r="61" spans="1:15" ht="16" thickBot="1">
      <c r="A61" s="73"/>
      <c r="B61" s="69"/>
      <c r="C61" s="14" t="s">
        <v>100</v>
      </c>
      <c r="D61" s="14"/>
      <c r="E61" s="12">
        <v>3000</v>
      </c>
      <c r="F61" s="14" t="s">
        <v>1</v>
      </c>
      <c r="G61" s="14" t="s">
        <v>27</v>
      </c>
      <c r="H61" s="74">
        <v>0.4</v>
      </c>
      <c r="I61" s="67">
        <f t="shared" si="4"/>
        <v>1200</v>
      </c>
      <c r="J61" s="74"/>
      <c r="K61" s="75"/>
      <c r="L61" s="75"/>
      <c r="M61" s="12"/>
      <c r="N61" s="12"/>
      <c r="O61" s="14"/>
    </row>
    <row r="62" spans="1:15" ht="16" thickBot="1">
      <c r="A62" s="54"/>
      <c r="B62" s="55"/>
      <c r="C62" s="55" t="s">
        <v>83</v>
      </c>
      <c r="D62" s="61"/>
      <c r="E62" s="76">
        <v>1200</v>
      </c>
      <c r="F62" s="6" t="s">
        <v>1</v>
      </c>
      <c r="G62" s="61" t="s">
        <v>14</v>
      </c>
      <c r="H62" s="71">
        <v>0.2</v>
      </c>
      <c r="I62" s="57">
        <f t="shared" si="4"/>
        <v>240</v>
      </c>
      <c r="J62" s="71"/>
      <c r="K62" s="72"/>
      <c r="L62" s="72"/>
      <c r="M62" s="4"/>
      <c r="N62" s="4"/>
      <c r="O62" s="6"/>
    </row>
    <row r="63" spans="1:15" ht="16" thickBot="1">
      <c r="A63" s="41" t="s">
        <v>101</v>
      </c>
      <c r="B63" s="52" t="s">
        <v>102</v>
      </c>
      <c r="C63" s="42"/>
      <c r="D63" s="42"/>
      <c r="E63" s="43"/>
      <c r="F63" s="42"/>
      <c r="G63" s="42"/>
      <c r="H63" s="53"/>
      <c r="I63" s="43"/>
      <c r="J63" s="53">
        <f>SUM(I64:I73)/SUM(E64:E73)</f>
        <v>0.27720245398773008</v>
      </c>
      <c r="K63" s="43">
        <f>SUM(E64:E73)</f>
        <v>20375</v>
      </c>
      <c r="L63" s="43">
        <f>SUM(I64:I73)</f>
        <v>5648</v>
      </c>
      <c r="M63" s="43">
        <f>K63+L63</f>
        <v>26023</v>
      </c>
      <c r="N63" s="17"/>
      <c r="O63" s="19"/>
    </row>
    <row r="64" spans="1:15" ht="16" thickBot="1">
      <c r="A64" s="77"/>
      <c r="B64" s="61"/>
      <c r="C64" s="6" t="s">
        <v>103</v>
      </c>
      <c r="D64" s="6" t="s">
        <v>104</v>
      </c>
      <c r="E64" s="4">
        <v>7000</v>
      </c>
      <c r="F64" s="6" t="s">
        <v>1</v>
      </c>
      <c r="G64" s="6" t="s">
        <v>105</v>
      </c>
      <c r="H64" s="78">
        <v>0.25</v>
      </c>
      <c r="I64" s="57">
        <f t="shared" si="4"/>
        <v>1750</v>
      </c>
      <c r="J64" s="78"/>
      <c r="K64" s="79"/>
      <c r="L64" s="79"/>
      <c r="M64" s="4"/>
      <c r="N64" s="4"/>
      <c r="O64" s="6"/>
    </row>
    <row r="65" spans="1:15" ht="16" thickBot="1">
      <c r="A65" s="77"/>
      <c r="B65" s="55"/>
      <c r="C65" s="6" t="s">
        <v>106</v>
      </c>
      <c r="D65" s="6" t="s">
        <v>104</v>
      </c>
      <c r="E65" s="4">
        <v>3300</v>
      </c>
      <c r="F65" s="6" t="s">
        <v>1</v>
      </c>
      <c r="G65" s="6" t="s">
        <v>105</v>
      </c>
      <c r="H65" s="78">
        <v>0.25</v>
      </c>
      <c r="I65" s="57">
        <f t="shared" si="4"/>
        <v>825</v>
      </c>
      <c r="J65" s="78"/>
      <c r="K65" s="79"/>
      <c r="L65" s="79"/>
      <c r="M65" s="4"/>
      <c r="N65" s="4"/>
      <c r="O65" s="6"/>
    </row>
    <row r="66" spans="1:15" ht="16" thickBot="1">
      <c r="A66" s="6"/>
      <c r="B66" s="55"/>
      <c r="C66" s="6" t="s">
        <v>107</v>
      </c>
      <c r="D66" s="6" t="s">
        <v>108</v>
      </c>
      <c r="E66" s="4">
        <v>1000</v>
      </c>
      <c r="F66" s="6" t="s">
        <v>1</v>
      </c>
      <c r="G66" s="6" t="s">
        <v>105</v>
      </c>
      <c r="H66" s="9">
        <v>0.25</v>
      </c>
      <c r="I66" s="57">
        <f t="shared" si="4"/>
        <v>250</v>
      </c>
      <c r="J66" s="9"/>
      <c r="K66" s="4"/>
      <c r="L66" s="4"/>
      <c r="M66" s="4"/>
      <c r="N66" s="4"/>
      <c r="O66" s="6"/>
    </row>
    <row r="67" spans="1:15" ht="16" thickBot="1">
      <c r="A67" s="6"/>
      <c r="B67" s="55"/>
      <c r="C67" s="6" t="s">
        <v>109</v>
      </c>
      <c r="D67" s="6" t="s">
        <v>110</v>
      </c>
      <c r="E67" s="4">
        <v>3600</v>
      </c>
      <c r="F67" s="6" t="s">
        <v>1</v>
      </c>
      <c r="G67" s="6" t="s">
        <v>111</v>
      </c>
      <c r="H67" s="9">
        <v>0.25</v>
      </c>
      <c r="I67" s="57">
        <f t="shared" si="4"/>
        <v>900</v>
      </c>
      <c r="J67" s="9"/>
      <c r="K67" s="4"/>
      <c r="L67" s="4"/>
      <c r="M67" s="4"/>
      <c r="N67" s="4"/>
      <c r="O67" s="6"/>
    </row>
    <row r="68" spans="1:15" ht="16" thickBot="1">
      <c r="A68" s="14"/>
      <c r="B68" s="69"/>
      <c r="C68" s="14" t="s">
        <v>112</v>
      </c>
      <c r="D68" s="14" t="s">
        <v>113</v>
      </c>
      <c r="E68" s="12">
        <v>2600</v>
      </c>
      <c r="F68" s="14" t="s">
        <v>1</v>
      </c>
      <c r="G68" s="14" t="s">
        <v>114</v>
      </c>
      <c r="H68" s="13">
        <v>0.4</v>
      </c>
      <c r="I68" s="67">
        <f t="shared" si="4"/>
        <v>1040</v>
      </c>
      <c r="J68" s="13"/>
      <c r="K68" s="12"/>
      <c r="L68" s="12"/>
      <c r="M68" s="12"/>
      <c r="N68" s="12"/>
      <c r="O68" s="14"/>
    </row>
    <row r="69" spans="1:15" ht="16" thickBot="1">
      <c r="A69" s="6"/>
      <c r="B69" s="55"/>
      <c r="C69" s="6" t="s">
        <v>115</v>
      </c>
      <c r="D69" s="6" t="s">
        <v>116</v>
      </c>
      <c r="E69" s="4">
        <v>800</v>
      </c>
      <c r="F69" s="6" t="s">
        <v>1</v>
      </c>
      <c r="G69" s="6" t="s">
        <v>4</v>
      </c>
      <c r="H69" s="9">
        <v>0.2</v>
      </c>
      <c r="I69" s="57">
        <f t="shared" si="4"/>
        <v>160</v>
      </c>
      <c r="J69" s="9"/>
      <c r="K69" s="4"/>
      <c r="L69" s="4"/>
      <c r="M69" s="4"/>
      <c r="N69" s="4"/>
      <c r="O69" s="6"/>
    </row>
    <row r="70" spans="1:15" ht="16" thickBot="1">
      <c r="A70" s="14"/>
      <c r="B70" s="69"/>
      <c r="C70" s="14" t="s">
        <v>117</v>
      </c>
      <c r="D70" s="14" t="s">
        <v>10</v>
      </c>
      <c r="E70" s="12">
        <v>1200</v>
      </c>
      <c r="F70" s="14" t="s">
        <v>1</v>
      </c>
      <c r="G70" s="14" t="s">
        <v>7</v>
      </c>
      <c r="H70" s="13">
        <v>0.4</v>
      </c>
      <c r="I70" s="67">
        <f t="shared" si="4"/>
        <v>480</v>
      </c>
      <c r="J70" s="13"/>
      <c r="K70" s="12"/>
      <c r="L70" s="12"/>
      <c r="M70" s="12"/>
      <c r="N70" s="12"/>
      <c r="O70" s="14"/>
    </row>
    <row r="71" spans="1:15" ht="16" thickBot="1">
      <c r="A71" s="14"/>
      <c r="B71" s="69"/>
      <c r="C71" s="14" t="s">
        <v>118</v>
      </c>
      <c r="D71" s="14" t="s">
        <v>19</v>
      </c>
      <c r="E71" s="12">
        <v>200</v>
      </c>
      <c r="F71" s="14" t="s">
        <v>1</v>
      </c>
      <c r="G71" s="14" t="s">
        <v>7</v>
      </c>
      <c r="H71" s="13">
        <v>0.4</v>
      </c>
      <c r="I71" s="67">
        <f t="shared" si="4"/>
        <v>80</v>
      </c>
      <c r="J71" s="13"/>
      <c r="K71" s="12"/>
      <c r="L71" s="12"/>
      <c r="M71" s="12"/>
      <c r="N71" s="12"/>
      <c r="O71" s="14"/>
    </row>
    <row r="72" spans="1:15" ht="16" thickBot="1">
      <c r="A72" s="14"/>
      <c r="B72" s="69"/>
      <c r="C72" s="14" t="s">
        <v>119</v>
      </c>
      <c r="D72" s="14" t="s">
        <v>120</v>
      </c>
      <c r="E72" s="12">
        <v>140</v>
      </c>
      <c r="F72" s="14" t="s">
        <v>1</v>
      </c>
      <c r="G72" s="14" t="s">
        <v>7</v>
      </c>
      <c r="H72" s="13">
        <v>0.4</v>
      </c>
      <c r="I72" s="67">
        <f t="shared" si="4"/>
        <v>56</v>
      </c>
      <c r="J72" s="13"/>
      <c r="K72" s="12"/>
      <c r="L72" s="12"/>
      <c r="M72" s="12"/>
      <c r="N72" s="12"/>
      <c r="O72" s="14"/>
    </row>
    <row r="73" spans="1:15" ht="16" thickBot="1">
      <c r="A73" s="6"/>
      <c r="B73" s="55"/>
      <c r="C73" s="6" t="s">
        <v>121</v>
      </c>
      <c r="D73" s="6" t="s">
        <v>108</v>
      </c>
      <c r="E73" s="4">
        <v>535</v>
      </c>
      <c r="F73" s="6" t="s">
        <v>1</v>
      </c>
      <c r="G73" s="6" t="s">
        <v>0</v>
      </c>
      <c r="H73" s="9">
        <v>0.2</v>
      </c>
      <c r="I73" s="57">
        <f t="shared" si="4"/>
        <v>107</v>
      </c>
      <c r="J73" s="9"/>
      <c r="K73" s="4"/>
      <c r="L73" s="4"/>
      <c r="M73" s="4"/>
      <c r="N73" s="4"/>
      <c r="O73" s="6"/>
    </row>
    <row r="74" spans="1:15" ht="16" thickBot="1">
      <c r="A74" s="41" t="s">
        <v>122</v>
      </c>
      <c r="B74" s="52" t="s">
        <v>123</v>
      </c>
      <c r="C74" s="42"/>
      <c r="D74" s="42"/>
      <c r="E74" s="43"/>
      <c r="F74" s="42"/>
      <c r="G74" s="42"/>
      <c r="H74" s="53"/>
      <c r="I74" s="43"/>
      <c r="J74" s="53">
        <f>SUM(I75:I84)/SUM(E75:E84)</f>
        <v>0.28036995694466593</v>
      </c>
      <c r="K74" s="43">
        <f>SUM(E75:E84)</f>
        <v>31355</v>
      </c>
      <c r="L74" s="43">
        <f>SUM(I75:I84)</f>
        <v>8791</v>
      </c>
      <c r="M74" s="43">
        <f>K74+L74</f>
        <v>40146</v>
      </c>
      <c r="N74" s="17"/>
      <c r="O74" s="19"/>
    </row>
    <row r="75" spans="1:15" ht="16" thickBot="1">
      <c r="A75" s="6"/>
      <c r="B75" s="61"/>
      <c r="C75" s="55" t="s">
        <v>124</v>
      </c>
      <c r="D75" s="55" t="s">
        <v>24</v>
      </c>
      <c r="E75" s="72">
        <v>6500</v>
      </c>
      <c r="F75" s="55" t="s">
        <v>1</v>
      </c>
      <c r="G75" s="55" t="s">
        <v>125</v>
      </c>
      <c r="H75" s="71">
        <v>0.25</v>
      </c>
      <c r="I75" s="57">
        <f t="shared" si="4"/>
        <v>1625</v>
      </c>
      <c r="J75" s="71"/>
      <c r="K75" s="4"/>
      <c r="L75" s="4"/>
      <c r="M75" s="4"/>
      <c r="N75" s="4"/>
      <c r="O75" s="6"/>
    </row>
    <row r="76" spans="1:15" ht="16" thickBot="1">
      <c r="A76" s="6"/>
      <c r="B76" s="55"/>
      <c r="C76" s="6" t="s">
        <v>126</v>
      </c>
      <c r="D76" s="6" t="s">
        <v>127</v>
      </c>
      <c r="E76" s="4">
        <v>3400</v>
      </c>
      <c r="F76" s="55" t="s">
        <v>1</v>
      </c>
      <c r="G76" s="6" t="s">
        <v>125</v>
      </c>
      <c r="H76" s="9">
        <v>0.25</v>
      </c>
      <c r="I76" s="57">
        <f t="shared" si="4"/>
        <v>850</v>
      </c>
      <c r="J76" s="9"/>
      <c r="K76" s="4"/>
      <c r="L76" s="4"/>
      <c r="M76" s="4"/>
      <c r="N76" s="4"/>
      <c r="O76" s="6"/>
    </row>
    <row r="77" spans="1:15" ht="16" thickBot="1">
      <c r="A77" s="6"/>
      <c r="B77" s="55"/>
      <c r="C77" s="6" t="s">
        <v>128</v>
      </c>
      <c r="D77" s="6" t="s">
        <v>15</v>
      </c>
      <c r="E77" s="4">
        <v>6500</v>
      </c>
      <c r="F77" s="55" t="s">
        <v>1</v>
      </c>
      <c r="G77" s="6" t="s">
        <v>129</v>
      </c>
      <c r="H77" s="9">
        <v>0.25</v>
      </c>
      <c r="I77" s="57">
        <f t="shared" si="4"/>
        <v>1625</v>
      </c>
      <c r="J77" s="9"/>
      <c r="K77" s="4"/>
      <c r="L77" s="4"/>
      <c r="M77" s="4"/>
      <c r="N77" s="4"/>
      <c r="O77" s="6"/>
    </row>
    <row r="78" spans="1:15" ht="16" thickBot="1">
      <c r="A78" s="6"/>
      <c r="B78" s="55"/>
      <c r="C78" s="6" t="s">
        <v>130</v>
      </c>
      <c r="D78" s="6" t="s">
        <v>131</v>
      </c>
      <c r="E78" s="4">
        <v>2400</v>
      </c>
      <c r="F78" s="55" t="s">
        <v>1</v>
      </c>
      <c r="G78" s="6" t="s">
        <v>0</v>
      </c>
      <c r="H78" s="9">
        <v>0.2</v>
      </c>
      <c r="I78" s="57">
        <f t="shared" si="4"/>
        <v>480</v>
      </c>
      <c r="J78" s="9"/>
      <c r="K78" s="4"/>
      <c r="L78" s="4"/>
      <c r="M78" s="4"/>
      <c r="N78" s="4"/>
      <c r="O78" s="6"/>
    </row>
    <row r="79" spans="1:15" ht="16" thickBot="1">
      <c r="A79" s="6"/>
      <c r="B79" s="55"/>
      <c r="C79" s="6" t="s">
        <v>132</v>
      </c>
      <c r="D79" s="6" t="s">
        <v>133</v>
      </c>
      <c r="E79" s="4">
        <v>4000</v>
      </c>
      <c r="F79" s="55" t="s">
        <v>1</v>
      </c>
      <c r="G79" s="6" t="s">
        <v>88</v>
      </c>
      <c r="H79" s="9">
        <v>0.25</v>
      </c>
      <c r="I79" s="57">
        <f t="shared" si="4"/>
        <v>1000</v>
      </c>
      <c r="J79" s="9"/>
      <c r="K79" s="4"/>
      <c r="L79" s="4"/>
      <c r="M79" s="4"/>
      <c r="N79" s="4"/>
      <c r="O79" s="6"/>
    </row>
    <row r="80" spans="1:15" ht="16" thickBot="1">
      <c r="A80" s="14"/>
      <c r="B80" s="69"/>
      <c r="C80" s="14" t="s">
        <v>134</v>
      </c>
      <c r="D80" s="14" t="s">
        <v>135</v>
      </c>
      <c r="E80" s="12">
        <v>3600</v>
      </c>
      <c r="F80" s="69" t="s">
        <v>1</v>
      </c>
      <c r="G80" s="14" t="s">
        <v>7</v>
      </c>
      <c r="H80" s="13">
        <v>0.4</v>
      </c>
      <c r="I80" s="67">
        <f t="shared" si="4"/>
        <v>1440</v>
      </c>
      <c r="J80" s="13"/>
      <c r="K80" s="12"/>
      <c r="L80" s="12"/>
      <c r="M80" s="12"/>
      <c r="N80" s="12"/>
      <c r="O80" s="14"/>
    </row>
    <row r="81" spans="1:15" ht="16" thickBot="1">
      <c r="A81" s="14"/>
      <c r="B81" s="69"/>
      <c r="C81" s="14" t="s">
        <v>136</v>
      </c>
      <c r="D81" s="14" t="s">
        <v>24</v>
      </c>
      <c r="E81" s="12">
        <v>3500</v>
      </c>
      <c r="F81" s="69" t="s">
        <v>1</v>
      </c>
      <c r="G81" s="14" t="s">
        <v>7</v>
      </c>
      <c r="H81" s="13">
        <v>0.4</v>
      </c>
      <c r="I81" s="67">
        <f t="shared" si="4"/>
        <v>1400</v>
      </c>
      <c r="J81" s="13"/>
      <c r="K81" s="12"/>
      <c r="L81" s="12"/>
      <c r="M81" s="12"/>
      <c r="N81" s="12"/>
      <c r="O81" s="14"/>
    </row>
    <row r="82" spans="1:15" ht="16" thickBot="1">
      <c r="A82" s="6"/>
      <c r="B82" s="55"/>
      <c r="C82" s="6" t="s">
        <v>137</v>
      </c>
      <c r="D82" s="6" t="s">
        <v>19</v>
      </c>
      <c r="E82" s="4">
        <v>520</v>
      </c>
      <c r="F82" s="55" t="s">
        <v>1</v>
      </c>
      <c r="G82" s="6" t="s">
        <v>0</v>
      </c>
      <c r="H82" s="9">
        <v>0.2</v>
      </c>
      <c r="I82" s="57">
        <f t="shared" si="4"/>
        <v>104</v>
      </c>
      <c r="J82" s="9"/>
      <c r="K82" s="4"/>
      <c r="L82" s="4"/>
      <c r="M82" s="4"/>
      <c r="N82" s="4"/>
      <c r="O82" s="6"/>
    </row>
    <row r="83" spans="1:15" ht="16" thickBot="1">
      <c r="A83" s="14"/>
      <c r="B83" s="69"/>
      <c r="C83" s="14" t="s">
        <v>118</v>
      </c>
      <c r="D83" s="14" t="s">
        <v>19</v>
      </c>
      <c r="E83" s="12">
        <v>400</v>
      </c>
      <c r="F83" s="69" t="s">
        <v>1</v>
      </c>
      <c r="G83" s="14" t="s">
        <v>7</v>
      </c>
      <c r="H83" s="13">
        <v>0.4</v>
      </c>
      <c r="I83" s="67">
        <f t="shared" si="4"/>
        <v>160</v>
      </c>
      <c r="J83" s="13"/>
      <c r="K83" s="12"/>
      <c r="L83" s="12"/>
      <c r="M83" s="12"/>
      <c r="N83" s="12"/>
      <c r="O83" s="14"/>
    </row>
    <row r="84" spans="1:15" ht="16" thickBot="1">
      <c r="A84" s="6"/>
      <c r="B84" s="55"/>
      <c r="C84" s="6" t="s">
        <v>121</v>
      </c>
      <c r="D84" s="6" t="s">
        <v>108</v>
      </c>
      <c r="E84" s="4">
        <v>535</v>
      </c>
      <c r="F84" s="55" t="s">
        <v>1</v>
      </c>
      <c r="G84" s="6" t="s">
        <v>4</v>
      </c>
      <c r="H84" s="9">
        <v>0.2</v>
      </c>
      <c r="I84" s="57">
        <f t="shared" si="4"/>
        <v>107</v>
      </c>
      <c r="J84" s="9"/>
      <c r="K84" s="4"/>
      <c r="L84" s="4"/>
      <c r="M84" s="4"/>
      <c r="N84" s="4"/>
      <c r="O84" s="6"/>
    </row>
    <row r="85" spans="1:15" ht="16" thickBot="1">
      <c r="A85" s="41" t="s">
        <v>138</v>
      </c>
      <c r="B85" s="52" t="s">
        <v>139</v>
      </c>
      <c r="C85" s="42"/>
      <c r="D85" s="42"/>
      <c r="E85" s="43"/>
      <c r="F85" s="42"/>
      <c r="G85" s="42"/>
      <c r="H85" s="53"/>
      <c r="I85" s="43"/>
      <c r="J85" s="53">
        <v>0</v>
      </c>
      <c r="K85" s="43">
        <f>SUM(E86)</f>
        <v>0</v>
      </c>
      <c r="L85" s="43">
        <f>SUM(I86)</f>
        <v>0</v>
      </c>
      <c r="M85" s="43">
        <f>K85+L85</f>
        <v>0</v>
      </c>
      <c r="N85" s="17"/>
      <c r="O85" s="19"/>
    </row>
    <row r="86" spans="1:15" ht="16" thickBot="1">
      <c r="A86" s="80"/>
      <c r="B86" s="81"/>
      <c r="C86" s="81" t="s">
        <v>140</v>
      </c>
      <c r="D86" s="81"/>
      <c r="E86" s="82">
        <v>0</v>
      </c>
      <c r="F86" s="81" t="s">
        <v>1</v>
      </c>
      <c r="G86" s="81" t="s">
        <v>75</v>
      </c>
      <c r="H86" s="83">
        <v>0.4</v>
      </c>
      <c r="I86" s="84">
        <f t="shared" si="4"/>
        <v>0</v>
      </c>
      <c r="J86" s="83"/>
      <c r="K86" s="82"/>
      <c r="L86" s="82"/>
      <c r="M86" s="82"/>
      <c r="N86" s="85"/>
      <c r="O86" s="86"/>
    </row>
    <row r="87" spans="1:15" ht="16" thickBot="1"/>
    <row r="88" spans="1:15">
      <c r="A88" s="31" t="s">
        <v>65</v>
      </c>
      <c r="B88" s="30" t="s">
        <v>64</v>
      </c>
      <c r="C88" s="30" t="s">
        <v>63</v>
      </c>
      <c r="D88" s="30" t="s">
        <v>62</v>
      </c>
      <c r="E88" s="28" t="s">
        <v>57</v>
      </c>
      <c r="F88" s="30" t="s">
        <v>61</v>
      </c>
      <c r="G88" s="30" t="s">
        <v>60</v>
      </c>
      <c r="H88" s="29" t="s">
        <v>56</v>
      </c>
      <c r="I88" s="30" t="s">
        <v>59</v>
      </c>
      <c r="J88" s="29" t="s">
        <v>58</v>
      </c>
      <c r="K88" s="28" t="s">
        <v>57</v>
      </c>
      <c r="L88" s="28" t="s">
        <v>56</v>
      </c>
      <c r="M88" s="32" t="s">
        <v>55</v>
      </c>
      <c r="N88" s="32" t="s">
        <v>54</v>
      </c>
      <c r="O88" s="27" t="s">
        <v>53</v>
      </c>
    </row>
    <row r="89" spans="1:15" ht="16" thickBot="1">
      <c r="A89" s="33" t="s">
        <v>242</v>
      </c>
      <c r="B89" s="34" t="s">
        <v>241</v>
      </c>
      <c r="C89" s="34"/>
      <c r="D89" s="34"/>
      <c r="E89" s="35"/>
      <c r="F89" s="34"/>
      <c r="G89" s="34"/>
      <c r="H89" s="36"/>
      <c r="I89" s="34"/>
      <c r="J89" s="37"/>
      <c r="K89" s="38"/>
      <c r="L89" s="38"/>
      <c r="M89" s="39"/>
      <c r="N89" s="39">
        <f>SUM(K90:K137)</f>
        <v>254933.65</v>
      </c>
      <c r="O89" s="39">
        <f>SUM(M90:M137)</f>
        <v>299220.44199999998</v>
      </c>
    </row>
    <row r="90" spans="1:15">
      <c r="A90" s="119" t="s">
        <v>240</v>
      </c>
      <c r="B90" s="118" t="s">
        <v>239</v>
      </c>
      <c r="C90" s="118"/>
      <c r="D90" s="118"/>
      <c r="E90" s="116"/>
      <c r="F90" s="118"/>
      <c r="G90" s="118"/>
      <c r="H90" s="117"/>
      <c r="I90" s="118"/>
      <c r="J90" s="117">
        <f>L90/K90</f>
        <v>2.841473060085771E-2</v>
      </c>
      <c r="K90" s="116">
        <f>SUM(E91:E114)</f>
        <v>66845.61</v>
      </c>
      <c r="L90" s="116">
        <f>SUM(I91:I114)</f>
        <v>1899.4</v>
      </c>
      <c r="M90" s="105">
        <f>SUM(K90:L90)</f>
        <v>68745.009999999995</v>
      </c>
      <c r="N90" s="105"/>
      <c r="O90" s="115"/>
    </row>
    <row r="91" spans="1:15">
      <c r="A91" s="134"/>
      <c r="B91" s="135" t="s">
        <v>235</v>
      </c>
      <c r="C91" s="86" t="s">
        <v>238</v>
      </c>
      <c r="D91" s="86" t="s">
        <v>237</v>
      </c>
      <c r="E91" s="85">
        <v>12564.55</v>
      </c>
      <c r="F91" s="86" t="s">
        <v>199</v>
      </c>
      <c r="G91" s="86"/>
      <c r="H91" s="133">
        <v>0</v>
      </c>
      <c r="I91" s="132">
        <f t="shared" ref="I91:I114" si="5">H91*E91</f>
        <v>0</v>
      </c>
      <c r="J91" s="131"/>
      <c r="K91" s="130"/>
      <c r="L91" s="130"/>
      <c r="M91" s="129"/>
      <c r="N91" s="129"/>
      <c r="O91" s="128"/>
    </row>
    <row r="92" spans="1:15">
      <c r="A92" s="134"/>
      <c r="B92" s="135" t="s">
        <v>235</v>
      </c>
      <c r="C92" s="86" t="s">
        <v>236</v>
      </c>
      <c r="D92" s="86" t="s">
        <v>182</v>
      </c>
      <c r="E92" s="85">
        <v>7959.44</v>
      </c>
      <c r="F92" s="86" t="s">
        <v>199</v>
      </c>
      <c r="G92" s="86"/>
      <c r="H92" s="133">
        <v>0</v>
      </c>
      <c r="I92" s="132">
        <f t="shared" si="5"/>
        <v>0</v>
      </c>
      <c r="J92" s="131"/>
      <c r="K92" s="130"/>
      <c r="L92" s="130"/>
      <c r="M92" s="129"/>
      <c r="N92" s="129"/>
      <c r="O92" s="128"/>
    </row>
    <row r="93" spans="1:15">
      <c r="A93" s="134"/>
      <c r="B93" s="135" t="s">
        <v>235</v>
      </c>
      <c r="C93" s="86" t="s">
        <v>234</v>
      </c>
      <c r="D93" s="86" t="s">
        <v>224</v>
      </c>
      <c r="E93" s="85">
        <v>554.75</v>
      </c>
      <c r="F93" s="86" t="s">
        <v>199</v>
      </c>
      <c r="G93" s="86"/>
      <c r="H93" s="133">
        <v>0</v>
      </c>
      <c r="I93" s="132">
        <f t="shared" si="5"/>
        <v>0</v>
      </c>
      <c r="J93" s="131"/>
      <c r="K93" s="130"/>
      <c r="L93" s="130"/>
      <c r="M93" s="129"/>
      <c r="N93" s="129"/>
      <c r="O93" s="128"/>
    </row>
    <row r="94" spans="1:15">
      <c r="A94" s="134"/>
      <c r="B94" s="86"/>
      <c r="C94" s="86" t="s">
        <v>233</v>
      </c>
      <c r="D94" s="86" t="s">
        <v>182</v>
      </c>
      <c r="E94" s="85">
        <v>774.82</v>
      </c>
      <c r="F94" s="86" t="s">
        <v>199</v>
      </c>
      <c r="G94" s="86"/>
      <c r="H94" s="133">
        <v>0</v>
      </c>
      <c r="I94" s="132">
        <f t="shared" si="5"/>
        <v>0</v>
      </c>
      <c r="J94" s="131"/>
      <c r="K94" s="130"/>
      <c r="L94" s="130"/>
      <c r="M94" s="129"/>
      <c r="N94" s="129"/>
      <c r="O94" s="128"/>
    </row>
    <row r="95" spans="1:15">
      <c r="A95" s="134"/>
      <c r="B95" s="86"/>
      <c r="C95" s="86" t="s">
        <v>232</v>
      </c>
      <c r="D95" s="86" t="s">
        <v>231</v>
      </c>
      <c r="E95" s="85">
        <v>79.989999999999995</v>
      </c>
      <c r="F95" s="86" t="s">
        <v>199</v>
      </c>
      <c r="G95" s="86"/>
      <c r="H95" s="133">
        <v>0</v>
      </c>
      <c r="I95" s="132">
        <f t="shared" si="5"/>
        <v>0</v>
      </c>
      <c r="J95" s="131"/>
      <c r="K95" s="130"/>
      <c r="L95" s="130"/>
      <c r="M95" s="129"/>
      <c r="N95" s="129"/>
      <c r="O95" s="128"/>
    </row>
    <row r="96" spans="1:15">
      <c r="A96" s="134"/>
      <c r="B96" s="86"/>
      <c r="C96" s="86" t="s">
        <v>186</v>
      </c>
      <c r="D96" s="86" t="s">
        <v>185</v>
      </c>
      <c r="E96" s="85">
        <v>4361.9799999999996</v>
      </c>
      <c r="F96" s="86" t="s">
        <v>199</v>
      </c>
      <c r="G96" s="86"/>
      <c r="H96" s="133">
        <v>0</v>
      </c>
      <c r="I96" s="132">
        <f t="shared" si="5"/>
        <v>0</v>
      </c>
      <c r="J96" s="131"/>
      <c r="K96" s="130"/>
      <c r="L96" s="130"/>
      <c r="M96" s="129"/>
      <c r="N96" s="129"/>
      <c r="O96" s="128"/>
    </row>
    <row r="97" spans="1:15">
      <c r="A97" s="134"/>
      <c r="B97" s="86"/>
      <c r="C97" s="86" t="s">
        <v>230</v>
      </c>
      <c r="D97" s="86" t="s">
        <v>229</v>
      </c>
      <c r="E97" s="85">
        <v>335</v>
      </c>
      <c r="F97" s="86" t="s">
        <v>199</v>
      </c>
      <c r="G97" s="86"/>
      <c r="H97" s="133">
        <v>0</v>
      </c>
      <c r="I97" s="132">
        <f t="shared" si="5"/>
        <v>0</v>
      </c>
      <c r="J97" s="131"/>
      <c r="K97" s="130"/>
      <c r="L97" s="130"/>
      <c r="M97" s="129"/>
      <c r="N97" s="129"/>
      <c r="O97" s="128"/>
    </row>
    <row r="98" spans="1:15">
      <c r="A98" s="134"/>
      <c r="B98" s="86"/>
      <c r="C98" s="86" t="s">
        <v>228</v>
      </c>
      <c r="D98" s="86" t="s">
        <v>226</v>
      </c>
      <c r="E98" s="85">
        <v>1330</v>
      </c>
      <c r="F98" s="86" t="s">
        <v>199</v>
      </c>
      <c r="G98" s="86"/>
      <c r="H98" s="133">
        <v>0</v>
      </c>
      <c r="I98" s="132">
        <f t="shared" si="5"/>
        <v>0</v>
      </c>
      <c r="J98" s="131"/>
      <c r="K98" s="130"/>
      <c r="L98" s="130"/>
      <c r="M98" s="129"/>
      <c r="N98" s="129"/>
      <c r="O98" s="128"/>
    </row>
    <row r="99" spans="1:15">
      <c r="A99" s="134"/>
      <c r="B99" s="86"/>
      <c r="C99" s="86" t="s">
        <v>227</v>
      </c>
      <c r="D99" s="86" t="s">
        <v>226</v>
      </c>
      <c r="E99" s="85">
        <v>4674</v>
      </c>
      <c r="F99" s="86" t="s">
        <v>199</v>
      </c>
      <c r="G99" s="86"/>
      <c r="H99" s="133">
        <v>0</v>
      </c>
      <c r="I99" s="132">
        <f t="shared" si="5"/>
        <v>0</v>
      </c>
      <c r="J99" s="131"/>
      <c r="K99" s="130"/>
      <c r="L99" s="130"/>
      <c r="M99" s="129"/>
      <c r="N99" s="129"/>
      <c r="O99" s="128"/>
    </row>
    <row r="100" spans="1:15">
      <c r="A100" s="134"/>
      <c r="B100" s="86"/>
      <c r="C100" s="86" t="s">
        <v>184</v>
      </c>
      <c r="D100" s="86" t="s">
        <v>182</v>
      </c>
      <c r="E100" s="85">
        <v>4277.84</v>
      </c>
      <c r="F100" s="86" t="s">
        <v>199</v>
      </c>
      <c r="G100" s="86"/>
      <c r="H100" s="133">
        <v>0</v>
      </c>
      <c r="I100" s="132">
        <f t="shared" si="5"/>
        <v>0</v>
      </c>
      <c r="J100" s="131"/>
      <c r="K100" s="130"/>
      <c r="L100" s="130"/>
      <c r="M100" s="129"/>
      <c r="N100" s="129"/>
      <c r="O100" s="128"/>
    </row>
    <row r="101" spans="1:15">
      <c r="A101" s="134"/>
      <c r="B101" s="86"/>
      <c r="C101" s="86" t="s">
        <v>225</v>
      </c>
      <c r="D101" s="86" t="s">
        <v>224</v>
      </c>
      <c r="E101" s="85">
        <v>155</v>
      </c>
      <c r="F101" s="86" t="s">
        <v>199</v>
      </c>
      <c r="G101" s="86"/>
      <c r="H101" s="133">
        <v>0</v>
      </c>
      <c r="I101" s="132">
        <f t="shared" si="5"/>
        <v>0</v>
      </c>
      <c r="J101" s="131"/>
      <c r="K101" s="130"/>
      <c r="L101" s="130"/>
      <c r="M101" s="129"/>
      <c r="N101" s="129"/>
      <c r="O101" s="128"/>
    </row>
    <row r="102" spans="1:15">
      <c r="A102" s="134"/>
      <c r="B102" s="86"/>
      <c r="C102" s="86" t="s">
        <v>223</v>
      </c>
      <c r="D102" s="86" t="s">
        <v>222</v>
      </c>
      <c r="E102" s="85">
        <v>1202</v>
      </c>
      <c r="F102" s="86" t="s">
        <v>199</v>
      </c>
      <c r="G102" s="86"/>
      <c r="H102" s="133">
        <v>0</v>
      </c>
      <c r="I102" s="132">
        <f t="shared" si="5"/>
        <v>0</v>
      </c>
      <c r="J102" s="131"/>
      <c r="K102" s="130"/>
      <c r="L102" s="130"/>
      <c r="M102" s="129"/>
      <c r="N102" s="129"/>
      <c r="O102" s="128"/>
    </row>
    <row r="103" spans="1:15">
      <c r="A103" s="134"/>
      <c r="B103" s="86"/>
      <c r="C103" s="86" t="s">
        <v>183</v>
      </c>
      <c r="D103" s="86" t="s">
        <v>182</v>
      </c>
      <c r="E103" s="85">
        <v>1440.43</v>
      </c>
      <c r="F103" s="86" t="s">
        <v>199</v>
      </c>
      <c r="G103" s="86"/>
      <c r="H103" s="133">
        <v>0</v>
      </c>
      <c r="I103" s="132">
        <f t="shared" si="5"/>
        <v>0</v>
      </c>
      <c r="J103" s="131"/>
      <c r="K103" s="130"/>
      <c r="L103" s="130"/>
      <c r="M103" s="129"/>
      <c r="N103" s="129"/>
      <c r="O103" s="128"/>
    </row>
    <row r="104" spans="1:15">
      <c r="A104" s="134"/>
      <c r="B104" s="86"/>
      <c r="C104" s="86" t="s">
        <v>221</v>
      </c>
      <c r="D104" s="86" t="s">
        <v>220</v>
      </c>
      <c r="E104" s="85">
        <v>3456</v>
      </c>
      <c r="F104" s="86" t="s">
        <v>199</v>
      </c>
      <c r="G104" s="86"/>
      <c r="H104" s="133">
        <v>0</v>
      </c>
      <c r="I104" s="132">
        <f t="shared" si="5"/>
        <v>0</v>
      </c>
      <c r="J104" s="131"/>
      <c r="K104" s="130"/>
      <c r="L104" s="130"/>
      <c r="M104" s="129"/>
      <c r="N104" s="129"/>
      <c r="O104" s="128"/>
    </row>
    <row r="105" spans="1:15">
      <c r="A105" s="134"/>
      <c r="B105" s="86"/>
      <c r="C105" s="86" t="s">
        <v>219</v>
      </c>
      <c r="D105" s="86" t="s">
        <v>182</v>
      </c>
      <c r="E105" s="85">
        <v>371.66</v>
      </c>
      <c r="F105" s="86" t="s">
        <v>199</v>
      </c>
      <c r="G105" s="86"/>
      <c r="H105" s="133">
        <v>0</v>
      </c>
      <c r="I105" s="132">
        <f t="shared" si="5"/>
        <v>0</v>
      </c>
      <c r="J105" s="131"/>
      <c r="K105" s="130"/>
      <c r="L105" s="130"/>
      <c r="M105" s="129"/>
      <c r="N105" s="129"/>
      <c r="O105" s="128"/>
    </row>
    <row r="106" spans="1:15">
      <c r="A106" s="134"/>
      <c r="B106" s="86"/>
      <c r="C106" s="86" t="s">
        <v>218</v>
      </c>
      <c r="D106" s="86" t="s">
        <v>217</v>
      </c>
      <c r="E106" s="85">
        <v>143</v>
      </c>
      <c r="F106" s="86" t="s">
        <v>199</v>
      </c>
      <c r="G106" s="86"/>
      <c r="H106" s="133">
        <v>0</v>
      </c>
      <c r="I106" s="132">
        <f t="shared" si="5"/>
        <v>0</v>
      </c>
      <c r="J106" s="131"/>
      <c r="K106" s="130"/>
      <c r="L106" s="130"/>
      <c r="M106" s="129"/>
      <c r="N106" s="129"/>
      <c r="O106" s="128"/>
    </row>
    <row r="107" spans="1:15">
      <c r="A107" s="134"/>
      <c r="B107" s="86"/>
      <c r="C107" s="86" t="s">
        <v>216</v>
      </c>
      <c r="D107" s="86" t="s">
        <v>207</v>
      </c>
      <c r="E107" s="85">
        <v>1637</v>
      </c>
      <c r="F107" s="86" t="s">
        <v>199</v>
      </c>
      <c r="G107" s="86"/>
      <c r="H107" s="133">
        <v>0</v>
      </c>
      <c r="I107" s="132">
        <f t="shared" si="5"/>
        <v>0</v>
      </c>
      <c r="J107" s="131"/>
      <c r="K107" s="130"/>
      <c r="L107" s="130"/>
      <c r="M107" s="129"/>
      <c r="N107" s="129"/>
      <c r="O107" s="128"/>
    </row>
    <row r="108" spans="1:15">
      <c r="A108" s="134"/>
      <c r="B108" s="86"/>
      <c r="C108" s="86" t="s">
        <v>215</v>
      </c>
      <c r="D108" s="86" t="s">
        <v>211</v>
      </c>
      <c r="E108" s="85">
        <v>67.25</v>
      </c>
      <c r="F108" s="86" t="s">
        <v>199</v>
      </c>
      <c r="G108" s="86"/>
      <c r="H108" s="133">
        <v>0</v>
      </c>
      <c r="I108" s="132">
        <f t="shared" si="5"/>
        <v>0</v>
      </c>
      <c r="J108" s="131"/>
      <c r="K108" s="130"/>
      <c r="L108" s="130"/>
      <c r="M108" s="129"/>
      <c r="N108" s="129"/>
      <c r="O108" s="128"/>
    </row>
    <row r="109" spans="1:15">
      <c r="A109" s="134"/>
      <c r="B109" s="86"/>
      <c r="C109" s="86" t="s">
        <v>214</v>
      </c>
      <c r="D109" s="86" t="s">
        <v>213</v>
      </c>
      <c r="E109" s="85">
        <v>253.49</v>
      </c>
      <c r="F109" s="86" t="s">
        <v>199</v>
      </c>
      <c r="G109" s="86"/>
      <c r="H109" s="133">
        <v>0</v>
      </c>
      <c r="I109" s="132">
        <f t="shared" si="5"/>
        <v>0</v>
      </c>
      <c r="J109" s="131"/>
      <c r="K109" s="130"/>
      <c r="L109" s="130"/>
      <c r="M109" s="129"/>
      <c r="N109" s="129"/>
      <c r="O109" s="128"/>
    </row>
    <row r="110" spans="1:15">
      <c r="A110" s="134"/>
      <c r="B110" s="86"/>
      <c r="C110" s="86" t="s">
        <v>180</v>
      </c>
      <c r="D110" s="86" t="s">
        <v>159</v>
      </c>
      <c r="E110" s="85">
        <v>352.41</v>
      </c>
      <c r="F110" s="86" t="s">
        <v>199</v>
      </c>
      <c r="G110" s="86"/>
      <c r="H110" s="133">
        <v>0</v>
      </c>
      <c r="I110" s="132">
        <f t="shared" si="5"/>
        <v>0</v>
      </c>
      <c r="J110" s="131"/>
      <c r="K110" s="130"/>
      <c r="L110" s="130"/>
      <c r="M110" s="129"/>
      <c r="N110" s="129"/>
      <c r="O110" s="128"/>
    </row>
    <row r="111" spans="1:15">
      <c r="A111" s="134"/>
      <c r="B111" s="86"/>
      <c r="C111" s="86" t="s">
        <v>212</v>
      </c>
      <c r="D111" s="86" t="s">
        <v>211</v>
      </c>
      <c r="E111" s="85">
        <v>415</v>
      </c>
      <c r="F111" s="86" t="s">
        <v>199</v>
      </c>
      <c r="G111" s="86"/>
      <c r="H111" s="133">
        <v>0</v>
      </c>
      <c r="I111" s="132">
        <f t="shared" si="5"/>
        <v>0</v>
      </c>
      <c r="J111" s="131"/>
      <c r="K111" s="130"/>
      <c r="L111" s="130"/>
      <c r="M111" s="129"/>
      <c r="N111" s="129"/>
      <c r="O111" s="128"/>
    </row>
    <row r="112" spans="1:15">
      <c r="A112" s="134"/>
      <c r="B112" s="86"/>
      <c r="C112" s="86" t="s">
        <v>210</v>
      </c>
      <c r="D112" s="86" t="s">
        <v>209</v>
      </c>
      <c r="E112" s="85">
        <v>1170</v>
      </c>
      <c r="F112" s="86" t="s">
        <v>199</v>
      </c>
      <c r="G112" s="86"/>
      <c r="H112" s="133">
        <v>0</v>
      </c>
      <c r="I112" s="132">
        <f t="shared" si="5"/>
        <v>0</v>
      </c>
      <c r="J112" s="131"/>
      <c r="K112" s="130"/>
      <c r="L112" s="130"/>
      <c r="M112" s="129"/>
      <c r="N112" s="129"/>
      <c r="O112" s="128"/>
    </row>
    <row r="113" spans="1:15">
      <c r="A113" s="134"/>
      <c r="B113" s="86"/>
      <c r="C113" s="86" t="s">
        <v>208</v>
      </c>
      <c r="D113" s="86" t="s">
        <v>207</v>
      </c>
      <c r="E113" s="85">
        <v>276</v>
      </c>
      <c r="F113" s="86" t="s">
        <v>199</v>
      </c>
      <c r="G113" s="86"/>
      <c r="H113" s="133">
        <v>0</v>
      </c>
      <c r="I113" s="132">
        <f t="shared" si="5"/>
        <v>0</v>
      </c>
      <c r="J113" s="131"/>
      <c r="K113" s="130"/>
      <c r="L113" s="130"/>
      <c r="M113" s="129"/>
      <c r="N113" s="129"/>
      <c r="O113" s="128"/>
    </row>
    <row r="114" spans="1:15" ht="16" thickBot="1">
      <c r="A114" s="7"/>
      <c r="B114" s="5"/>
      <c r="C114" s="5" t="s">
        <v>206</v>
      </c>
      <c r="D114" s="5" t="s">
        <v>205</v>
      </c>
      <c r="E114" s="2">
        <v>18994</v>
      </c>
      <c r="F114" s="5" t="s">
        <v>1</v>
      </c>
      <c r="G114" s="45" t="s">
        <v>72</v>
      </c>
      <c r="H114" s="3">
        <v>0.1</v>
      </c>
      <c r="I114" s="5">
        <f t="shared" si="5"/>
        <v>1899.4</v>
      </c>
      <c r="J114" s="123"/>
      <c r="K114" s="122"/>
      <c r="L114" s="122"/>
      <c r="M114" s="121"/>
      <c r="N114" s="121"/>
      <c r="O114" s="120"/>
    </row>
    <row r="115" spans="1:15">
      <c r="A115" s="119" t="s">
        <v>204</v>
      </c>
      <c r="B115" s="118" t="s">
        <v>203</v>
      </c>
      <c r="C115" s="118"/>
      <c r="D115" s="118"/>
      <c r="E115" s="116"/>
      <c r="F115" s="118"/>
      <c r="G115" s="118"/>
      <c r="H115" s="117"/>
      <c r="I115" s="118"/>
      <c r="J115" s="117">
        <f>L115/K115</f>
        <v>7.5116231805954531E-2</v>
      </c>
      <c r="K115" s="116">
        <f>SUM(E116:E122)</f>
        <v>70066.880000000005</v>
      </c>
      <c r="L115" s="116">
        <f>SUM(I116:I122)</f>
        <v>5263.16</v>
      </c>
      <c r="M115" s="105">
        <f>K115+L115</f>
        <v>75330.040000000008</v>
      </c>
      <c r="N115" s="105"/>
      <c r="O115" s="115"/>
    </row>
    <row r="116" spans="1:15">
      <c r="A116" s="134"/>
      <c r="B116" s="86"/>
      <c r="C116" s="86" t="s">
        <v>177</v>
      </c>
      <c r="D116" s="86" t="s">
        <v>176</v>
      </c>
      <c r="E116" s="85">
        <v>1621.08</v>
      </c>
      <c r="F116" s="86" t="s">
        <v>199</v>
      </c>
      <c r="G116" s="86"/>
      <c r="H116" s="133">
        <v>0</v>
      </c>
      <c r="I116" s="132">
        <f t="shared" ref="I116:I122" si="6">E116*H116</f>
        <v>0</v>
      </c>
      <c r="J116" s="131"/>
      <c r="K116" s="130"/>
      <c r="L116" s="130"/>
      <c r="M116" s="129"/>
      <c r="N116" s="129"/>
      <c r="O116" s="128"/>
    </row>
    <row r="117" spans="1:15">
      <c r="A117" s="10"/>
      <c r="B117" s="6"/>
      <c r="C117" s="6" t="s">
        <v>166</v>
      </c>
      <c r="D117" s="6" t="s">
        <v>165</v>
      </c>
      <c r="E117" s="4">
        <v>23400</v>
      </c>
      <c r="F117" s="6" t="s">
        <v>1</v>
      </c>
      <c r="G117" s="98" t="s">
        <v>72</v>
      </c>
      <c r="H117" s="9">
        <v>0.2</v>
      </c>
      <c r="I117" s="97">
        <f t="shared" si="6"/>
        <v>4680</v>
      </c>
      <c r="J117" s="127"/>
      <c r="K117" s="126"/>
      <c r="L117" s="126"/>
      <c r="M117" s="125"/>
      <c r="N117" s="125"/>
      <c r="O117" s="124"/>
    </row>
    <row r="118" spans="1:15">
      <c r="A118" s="134"/>
      <c r="B118" s="86"/>
      <c r="C118" s="86" t="s">
        <v>164</v>
      </c>
      <c r="D118" s="86" t="s">
        <v>163</v>
      </c>
      <c r="E118" s="85">
        <v>21780</v>
      </c>
      <c r="F118" s="86" t="s">
        <v>199</v>
      </c>
      <c r="G118" s="86"/>
      <c r="H118" s="133">
        <v>0</v>
      </c>
      <c r="I118" s="132">
        <f t="shared" si="6"/>
        <v>0</v>
      </c>
      <c r="J118" s="131"/>
      <c r="K118" s="130"/>
      <c r="L118" s="130"/>
      <c r="M118" s="129"/>
      <c r="N118" s="129"/>
      <c r="O118" s="128"/>
    </row>
    <row r="119" spans="1:15">
      <c r="A119" s="134"/>
      <c r="B119" s="86"/>
      <c r="C119" s="86" t="s">
        <v>175</v>
      </c>
      <c r="D119" s="86" t="s">
        <v>163</v>
      </c>
      <c r="E119" s="85">
        <v>20350</v>
      </c>
      <c r="F119" s="86" t="s">
        <v>199</v>
      </c>
      <c r="G119" s="86"/>
      <c r="H119" s="133">
        <v>0</v>
      </c>
      <c r="I119" s="132">
        <f t="shared" si="6"/>
        <v>0</v>
      </c>
      <c r="J119" s="131"/>
      <c r="K119" s="130"/>
      <c r="L119" s="130"/>
      <c r="M119" s="129"/>
      <c r="N119" s="129"/>
      <c r="O119" s="128"/>
    </row>
    <row r="120" spans="1:15">
      <c r="A120" s="10"/>
      <c r="B120" s="6"/>
      <c r="C120" s="6" t="s">
        <v>173</v>
      </c>
      <c r="D120" s="6" t="s">
        <v>172</v>
      </c>
      <c r="E120" s="4">
        <v>1145.8</v>
      </c>
      <c r="F120" s="6" t="s">
        <v>1</v>
      </c>
      <c r="G120" s="98" t="s">
        <v>72</v>
      </c>
      <c r="H120" s="9">
        <v>0.2</v>
      </c>
      <c r="I120" s="97">
        <f t="shared" si="6"/>
        <v>229.16</v>
      </c>
      <c r="J120" s="127"/>
      <c r="K120" s="126"/>
      <c r="L120" s="126"/>
      <c r="M120" s="125"/>
      <c r="N120" s="125"/>
      <c r="O120" s="124"/>
    </row>
    <row r="121" spans="1:15">
      <c r="A121" s="10"/>
      <c r="B121" s="6"/>
      <c r="C121" s="6" t="s">
        <v>171</v>
      </c>
      <c r="D121" s="6" t="s">
        <v>159</v>
      </c>
      <c r="E121" s="4">
        <v>1170</v>
      </c>
      <c r="F121" s="6" t="s">
        <v>1</v>
      </c>
      <c r="G121" s="98" t="s">
        <v>72</v>
      </c>
      <c r="H121" s="9">
        <v>0.2</v>
      </c>
      <c r="I121" s="97">
        <f t="shared" si="6"/>
        <v>234</v>
      </c>
      <c r="J121" s="127"/>
      <c r="K121" s="126"/>
      <c r="L121" s="126"/>
      <c r="M121" s="125"/>
      <c r="N121" s="125"/>
      <c r="O121" s="124"/>
    </row>
    <row r="122" spans="1:15" ht="16" thickBot="1">
      <c r="A122" s="7"/>
      <c r="B122" s="5"/>
      <c r="C122" s="5" t="s">
        <v>170</v>
      </c>
      <c r="D122" s="5" t="s">
        <v>169</v>
      </c>
      <c r="E122" s="2">
        <v>600</v>
      </c>
      <c r="F122" s="5" t="s">
        <v>1</v>
      </c>
      <c r="G122" s="98" t="s">
        <v>202</v>
      </c>
      <c r="H122" s="3">
        <v>0.2</v>
      </c>
      <c r="I122" s="46">
        <f t="shared" si="6"/>
        <v>120</v>
      </c>
      <c r="J122" s="123"/>
      <c r="K122" s="122"/>
      <c r="L122" s="122"/>
      <c r="M122" s="121"/>
      <c r="N122" s="121"/>
      <c r="O122" s="120"/>
    </row>
    <row r="123" spans="1:15">
      <c r="A123" s="119" t="s">
        <v>201</v>
      </c>
      <c r="B123" s="118" t="s">
        <v>200</v>
      </c>
      <c r="C123" s="118"/>
      <c r="D123" s="118"/>
      <c r="E123" s="116"/>
      <c r="F123" s="118"/>
      <c r="G123" s="118"/>
      <c r="H123" s="117"/>
      <c r="I123" s="118"/>
      <c r="J123" s="117">
        <f>L123/K123</f>
        <v>9.3052436251612886E-2</v>
      </c>
      <c r="K123" s="116">
        <f>SUM(E124:E128)</f>
        <v>28799.16</v>
      </c>
      <c r="L123" s="116">
        <f>SUM(I124:I128)</f>
        <v>2679.8319999999999</v>
      </c>
      <c r="M123" s="105">
        <f>K123+L123</f>
        <v>31478.991999999998</v>
      </c>
      <c r="N123" s="105"/>
      <c r="O123" s="115"/>
    </row>
    <row r="124" spans="1:15">
      <c r="A124" s="10"/>
      <c r="B124" s="6"/>
      <c r="C124" s="6" t="s">
        <v>166</v>
      </c>
      <c r="D124" s="6" t="s">
        <v>165</v>
      </c>
      <c r="E124" s="4">
        <v>12000</v>
      </c>
      <c r="F124" s="6" t="s">
        <v>1</v>
      </c>
      <c r="G124" s="98" t="s">
        <v>72</v>
      </c>
      <c r="H124" s="9">
        <v>0.2</v>
      </c>
      <c r="I124" s="97">
        <f>H124*E124</f>
        <v>2400</v>
      </c>
      <c r="J124" s="127"/>
      <c r="K124" s="126"/>
      <c r="L124" s="126"/>
      <c r="M124" s="125"/>
      <c r="N124" s="125"/>
      <c r="O124" s="124"/>
    </row>
    <row r="125" spans="1:15">
      <c r="A125" s="134"/>
      <c r="B125" s="86"/>
      <c r="C125" s="86" t="s">
        <v>164</v>
      </c>
      <c r="D125" s="86" t="s">
        <v>163</v>
      </c>
      <c r="E125" s="85">
        <v>7260</v>
      </c>
      <c r="F125" s="86" t="s">
        <v>199</v>
      </c>
      <c r="G125" s="86"/>
      <c r="H125" s="133">
        <v>0</v>
      </c>
      <c r="I125" s="132">
        <f>H125*E125</f>
        <v>0</v>
      </c>
      <c r="J125" s="131"/>
      <c r="K125" s="130"/>
      <c r="L125" s="130"/>
      <c r="M125" s="129"/>
      <c r="N125" s="129"/>
      <c r="O125" s="128"/>
    </row>
    <row r="126" spans="1:15">
      <c r="A126" s="134"/>
      <c r="B126" s="86"/>
      <c r="C126" s="86" t="s">
        <v>164</v>
      </c>
      <c r="D126" s="86" t="s">
        <v>163</v>
      </c>
      <c r="E126" s="85">
        <v>8140</v>
      </c>
      <c r="F126" s="86" t="s">
        <v>199</v>
      </c>
      <c r="G126" s="86"/>
      <c r="H126" s="133">
        <v>0</v>
      </c>
      <c r="I126" s="132">
        <f>H126*E126</f>
        <v>0</v>
      </c>
      <c r="J126" s="131"/>
      <c r="K126" s="130"/>
      <c r="L126" s="130"/>
      <c r="M126" s="129"/>
      <c r="N126" s="129"/>
      <c r="O126" s="128"/>
    </row>
    <row r="127" spans="1:15">
      <c r="A127" s="10"/>
      <c r="B127" s="6"/>
      <c r="C127" s="6" t="s">
        <v>162</v>
      </c>
      <c r="D127" s="6" t="s">
        <v>161</v>
      </c>
      <c r="E127" s="4">
        <v>229.16</v>
      </c>
      <c r="F127" s="6" t="s">
        <v>1</v>
      </c>
      <c r="G127" s="98" t="s">
        <v>72</v>
      </c>
      <c r="H127" s="9">
        <v>0.2</v>
      </c>
      <c r="I127" s="97">
        <f>H127*E127</f>
        <v>45.832000000000001</v>
      </c>
      <c r="J127" s="127"/>
      <c r="K127" s="126"/>
      <c r="L127" s="126"/>
      <c r="M127" s="125"/>
      <c r="N127" s="125"/>
      <c r="O127" s="124"/>
    </row>
    <row r="128" spans="1:15" ht="16" thickBot="1">
      <c r="A128" s="7"/>
      <c r="B128" s="5"/>
      <c r="C128" s="5" t="s">
        <v>160</v>
      </c>
      <c r="D128" s="5" t="s">
        <v>159</v>
      </c>
      <c r="E128" s="2">
        <v>1170</v>
      </c>
      <c r="F128" s="5" t="s">
        <v>1</v>
      </c>
      <c r="G128" s="98" t="s">
        <v>72</v>
      </c>
      <c r="H128" s="3">
        <v>0.2</v>
      </c>
      <c r="I128" s="97">
        <f>H128*E128</f>
        <v>234</v>
      </c>
      <c r="J128" s="123"/>
      <c r="K128" s="122"/>
      <c r="L128" s="122"/>
      <c r="M128" s="121"/>
      <c r="N128" s="121"/>
      <c r="O128" s="120"/>
    </row>
    <row r="129" spans="1:15">
      <c r="A129" s="119" t="s">
        <v>198</v>
      </c>
      <c r="B129" s="118" t="s">
        <v>197</v>
      </c>
      <c r="C129" s="118"/>
      <c r="D129" s="118"/>
      <c r="E129" s="116"/>
      <c r="F129" s="118"/>
      <c r="G129" s="118"/>
      <c r="H129" s="117"/>
      <c r="I129" s="118"/>
      <c r="J129" s="117">
        <f>L129/K129</f>
        <v>0.4</v>
      </c>
      <c r="K129" s="116">
        <f>SUM(E130)</f>
        <v>20000</v>
      </c>
      <c r="L129" s="116">
        <f>SUM(I130)</f>
        <v>8000</v>
      </c>
      <c r="M129" s="105">
        <f>K129+L129</f>
        <v>28000</v>
      </c>
      <c r="N129" s="105"/>
      <c r="O129" s="115"/>
    </row>
    <row r="130" spans="1:15" ht="16" thickBot="1">
      <c r="A130" s="47"/>
      <c r="B130" s="48"/>
      <c r="C130" s="48" t="s">
        <v>156</v>
      </c>
      <c r="D130" s="48" t="s">
        <v>148</v>
      </c>
      <c r="E130" s="49">
        <v>20000</v>
      </c>
      <c r="F130" s="48" t="s">
        <v>1</v>
      </c>
      <c r="G130" s="48" t="s">
        <v>155</v>
      </c>
      <c r="H130" s="94">
        <v>0.4</v>
      </c>
      <c r="I130" s="87">
        <f>H130*E130</f>
        <v>8000</v>
      </c>
      <c r="J130" s="102"/>
      <c r="K130" s="101"/>
      <c r="L130" s="101"/>
      <c r="M130" s="100"/>
      <c r="N130" s="100"/>
      <c r="O130" s="99"/>
    </row>
    <row r="131" spans="1:15">
      <c r="A131" s="41" t="s">
        <v>196</v>
      </c>
      <c r="B131" s="42" t="s">
        <v>195</v>
      </c>
      <c r="C131" s="42"/>
      <c r="D131" s="42"/>
      <c r="E131" s="43"/>
      <c r="F131" s="42"/>
      <c r="G131" s="42"/>
      <c r="H131" s="53"/>
      <c r="I131" s="114"/>
      <c r="J131" s="107">
        <f>L131/K131</f>
        <v>0.37307775518151531</v>
      </c>
      <c r="K131" s="106">
        <f>SUM(E132:E133)</f>
        <v>46222</v>
      </c>
      <c r="L131" s="106">
        <f>SUM(I132:I133)</f>
        <v>17244.400000000001</v>
      </c>
      <c r="M131" s="105">
        <f>K131+L131</f>
        <v>63466.400000000001</v>
      </c>
      <c r="N131" s="104"/>
      <c r="O131" s="103"/>
    </row>
    <row r="132" spans="1:15">
      <c r="A132" s="54"/>
      <c r="B132" s="55"/>
      <c r="C132" s="55" t="s">
        <v>152</v>
      </c>
      <c r="D132" s="55" t="s">
        <v>151</v>
      </c>
      <c r="E132" s="72">
        <v>6222</v>
      </c>
      <c r="F132" s="55" t="s">
        <v>1</v>
      </c>
      <c r="G132" s="98" t="s">
        <v>150</v>
      </c>
      <c r="H132" s="113">
        <v>0.2</v>
      </c>
      <c r="I132" s="97">
        <f>H132*E132</f>
        <v>1244.4000000000001</v>
      </c>
      <c r="J132" s="112"/>
      <c r="K132" s="111"/>
      <c r="L132" s="111"/>
      <c r="M132" s="110"/>
      <c r="N132" s="110"/>
      <c r="O132" s="109"/>
    </row>
    <row r="133" spans="1:15" ht="16" thickBot="1">
      <c r="A133" s="47"/>
      <c r="B133" s="48"/>
      <c r="C133" s="48" t="s">
        <v>149</v>
      </c>
      <c r="D133" s="48" t="s">
        <v>148</v>
      </c>
      <c r="E133" s="49">
        <v>40000</v>
      </c>
      <c r="F133" s="48" t="s">
        <v>1</v>
      </c>
      <c r="G133" s="48" t="s">
        <v>75</v>
      </c>
      <c r="H133" s="94">
        <v>0.4</v>
      </c>
      <c r="I133" s="108">
        <f>H133*E133</f>
        <v>16000</v>
      </c>
      <c r="J133" s="102"/>
      <c r="K133" s="101"/>
      <c r="L133" s="101"/>
      <c r="M133" s="100"/>
      <c r="N133" s="100"/>
      <c r="O133" s="99"/>
    </row>
    <row r="134" spans="1:15">
      <c r="A134" s="41" t="s">
        <v>194</v>
      </c>
      <c r="B134" s="42" t="s">
        <v>193</v>
      </c>
      <c r="C134" s="42"/>
      <c r="D134" s="42"/>
      <c r="E134" s="43"/>
      <c r="F134" s="42"/>
      <c r="G134" s="42"/>
      <c r="H134" s="53"/>
      <c r="I134" s="42"/>
      <c r="J134" s="107">
        <f>L134/K134</f>
        <v>0.4</v>
      </c>
      <c r="K134" s="106">
        <f>SUM(E135)</f>
        <v>8000</v>
      </c>
      <c r="L134" s="106">
        <f>SUM(I135)</f>
        <v>3200</v>
      </c>
      <c r="M134" s="105">
        <f>K134+L134</f>
        <v>11200</v>
      </c>
      <c r="N134" s="104"/>
      <c r="O134" s="103"/>
    </row>
    <row r="135" spans="1:15" ht="16" thickBot="1">
      <c r="A135" s="47"/>
      <c r="B135" s="48"/>
      <c r="C135" s="48"/>
      <c r="D135" s="48"/>
      <c r="E135" s="49">
        <v>8000</v>
      </c>
      <c r="F135" s="48" t="s">
        <v>145</v>
      </c>
      <c r="G135" s="48" t="s">
        <v>75</v>
      </c>
      <c r="H135" s="94">
        <v>0.4</v>
      </c>
      <c r="I135" s="87">
        <f>H135*E135</f>
        <v>3200</v>
      </c>
      <c r="J135" s="102"/>
      <c r="K135" s="101"/>
      <c r="L135" s="101"/>
      <c r="M135" s="100"/>
      <c r="N135" s="100"/>
      <c r="O135" s="99"/>
    </row>
    <row r="136" spans="1:15">
      <c r="A136" s="41" t="s">
        <v>192</v>
      </c>
      <c r="B136" s="42" t="s">
        <v>191</v>
      </c>
      <c r="C136" s="42"/>
      <c r="D136" s="42"/>
      <c r="E136" s="43"/>
      <c r="F136" s="42"/>
      <c r="G136" s="42"/>
      <c r="H136" s="53"/>
      <c r="I136" s="42"/>
      <c r="J136" s="107">
        <f>L136/K136</f>
        <v>0.4</v>
      </c>
      <c r="K136" s="106">
        <f>SUM(E137)</f>
        <v>15000</v>
      </c>
      <c r="L136" s="106">
        <f>SUM(I137)</f>
        <v>6000</v>
      </c>
      <c r="M136" s="105">
        <f>K136+L136</f>
        <v>21000</v>
      </c>
      <c r="N136" s="104"/>
      <c r="O136" s="103"/>
    </row>
    <row r="137" spans="1:15" ht="16" thickBot="1">
      <c r="A137" s="47"/>
      <c r="B137" s="48"/>
      <c r="C137" s="48"/>
      <c r="D137" s="48"/>
      <c r="E137" s="49">
        <v>15000</v>
      </c>
      <c r="F137" s="48" t="s">
        <v>145</v>
      </c>
      <c r="G137" s="48" t="s">
        <v>75</v>
      </c>
      <c r="H137" s="94">
        <v>0.4</v>
      </c>
      <c r="I137" s="87">
        <f>H137*E137</f>
        <v>6000</v>
      </c>
      <c r="J137" s="102"/>
      <c r="K137" s="101"/>
      <c r="L137" s="101"/>
      <c r="M137" s="100"/>
      <c r="N137" s="100"/>
      <c r="O137" s="99"/>
    </row>
    <row r="138" spans="1:15" ht="16" thickBot="1">
      <c r="H138" s="93"/>
      <c r="J138" s="93"/>
    </row>
    <row r="139" spans="1:15">
      <c r="A139" s="31" t="s">
        <v>65</v>
      </c>
      <c r="B139" s="30" t="s">
        <v>64</v>
      </c>
      <c r="C139" s="30" t="s">
        <v>63</v>
      </c>
      <c r="D139" s="30" t="s">
        <v>62</v>
      </c>
      <c r="E139" s="92" t="s">
        <v>57</v>
      </c>
      <c r="F139" s="30" t="s">
        <v>61</v>
      </c>
      <c r="G139" s="30" t="s">
        <v>60</v>
      </c>
      <c r="H139" s="29" t="s">
        <v>56</v>
      </c>
      <c r="I139" s="92" t="s">
        <v>59</v>
      </c>
      <c r="J139" s="29" t="s">
        <v>58</v>
      </c>
      <c r="K139" s="28" t="s">
        <v>57</v>
      </c>
      <c r="L139" s="28" t="s">
        <v>56</v>
      </c>
      <c r="M139" s="32" t="s">
        <v>55</v>
      </c>
      <c r="N139" s="32" t="s">
        <v>54</v>
      </c>
      <c r="O139" s="27" t="s">
        <v>53</v>
      </c>
    </row>
    <row r="140" spans="1:15" ht="16" thickBot="1">
      <c r="A140" s="33" t="s">
        <v>190</v>
      </c>
      <c r="B140" s="34" t="s">
        <v>189</v>
      </c>
      <c r="C140" s="34"/>
      <c r="D140" s="34"/>
      <c r="E140" s="89"/>
      <c r="F140" s="34"/>
      <c r="G140" s="34"/>
      <c r="H140" s="36"/>
      <c r="I140" s="89"/>
      <c r="J140" s="37"/>
      <c r="K140" s="38"/>
      <c r="L140" s="38"/>
      <c r="M140" s="39"/>
      <c r="N140" s="39">
        <f>SUM(K141:K166)</f>
        <v>216818.7</v>
      </c>
      <c r="O140" s="39">
        <f>SUM(M141:M166)</f>
        <v>278182.44</v>
      </c>
    </row>
    <row r="141" spans="1:15">
      <c r="A141" s="41" t="s">
        <v>188</v>
      </c>
      <c r="B141" s="42" t="s">
        <v>187</v>
      </c>
      <c r="C141" s="42"/>
      <c r="D141" s="42"/>
      <c r="E141" s="88"/>
      <c r="F141" s="42"/>
      <c r="G141" s="42"/>
      <c r="H141" s="53"/>
      <c r="I141" s="88"/>
      <c r="J141" s="53">
        <f>SUM(I142:I145)/SUM(E142:E145)</f>
        <v>0.2</v>
      </c>
      <c r="K141" s="43">
        <f>SUM(E142:E145)</f>
        <v>10432.66</v>
      </c>
      <c r="L141" s="43">
        <f>SUM(I142:I145)</f>
        <v>2086.5320000000002</v>
      </c>
      <c r="M141" s="43">
        <f>K141+L141</f>
        <v>12519.191999999999</v>
      </c>
      <c r="N141" s="43"/>
      <c r="O141" s="43"/>
    </row>
    <row r="142" spans="1:15">
      <c r="A142" s="10"/>
      <c r="B142" s="6"/>
      <c r="C142" s="6" t="s">
        <v>186</v>
      </c>
      <c r="D142" s="6" t="s">
        <v>185</v>
      </c>
      <c r="E142" s="97">
        <v>4361.9799999999996</v>
      </c>
      <c r="F142" s="6" t="s">
        <v>1</v>
      </c>
      <c r="G142" s="98" t="s">
        <v>174</v>
      </c>
      <c r="H142" s="9">
        <v>0.2</v>
      </c>
      <c r="I142" s="97">
        <f>E142*H142</f>
        <v>872.39599999999996</v>
      </c>
      <c r="J142" s="9"/>
      <c r="K142" s="4"/>
      <c r="L142" s="4"/>
      <c r="M142" s="4"/>
      <c r="N142" s="4"/>
      <c r="O142" s="4"/>
    </row>
    <row r="143" spans="1:15">
      <c r="A143" s="10"/>
      <c r="B143" s="6"/>
      <c r="C143" s="6" t="s">
        <v>184</v>
      </c>
      <c r="D143" s="6" t="s">
        <v>182</v>
      </c>
      <c r="E143" s="97">
        <v>4277.84</v>
      </c>
      <c r="F143" s="6" t="s">
        <v>1</v>
      </c>
      <c r="G143" s="6" t="s">
        <v>181</v>
      </c>
      <c r="H143" s="9">
        <v>0.2</v>
      </c>
      <c r="I143" s="97">
        <f>E143*H143</f>
        <v>855.5680000000001</v>
      </c>
      <c r="J143" s="9"/>
      <c r="K143" s="4"/>
      <c r="L143" s="4"/>
      <c r="M143" s="4"/>
      <c r="N143" s="4"/>
      <c r="O143" s="4"/>
    </row>
    <row r="144" spans="1:15">
      <c r="A144" s="10"/>
      <c r="B144" s="6"/>
      <c r="C144" s="6" t="s">
        <v>183</v>
      </c>
      <c r="D144" s="6" t="s">
        <v>182</v>
      </c>
      <c r="E144" s="97">
        <v>1440.43</v>
      </c>
      <c r="F144" s="6" t="s">
        <v>1</v>
      </c>
      <c r="G144" s="6" t="s">
        <v>181</v>
      </c>
      <c r="H144" s="9">
        <v>0.2</v>
      </c>
      <c r="I144" s="97">
        <f>E144*H144</f>
        <v>288.08600000000001</v>
      </c>
      <c r="J144" s="9"/>
      <c r="K144" s="4"/>
      <c r="L144" s="4"/>
      <c r="M144" s="4"/>
      <c r="N144" s="4"/>
      <c r="O144" s="4"/>
    </row>
    <row r="145" spans="1:15" ht="16" thickBot="1">
      <c r="A145" s="7"/>
      <c r="B145" s="5"/>
      <c r="C145" s="5" t="s">
        <v>180</v>
      </c>
      <c r="D145" s="5" t="s">
        <v>159</v>
      </c>
      <c r="E145" s="46">
        <v>352.41</v>
      </c>
      <c r="F145" s="5" t="s">
        <v>1</v>
      </c>
      <c r="G145" s="5" t="s">
        <v>72</v>
      </c>
      <c r="H145" s="9">
        <v>0.2</v>
      </c>
      <c r="I145" s="97">
        <f>E145*H145</f>
        <v>70.482000000000014</v>
      </c>
      <c r="J145" s="3"/>
      <c r="K145" s="2"/>
      <c r="L145" s="2"/>
      <c r="M145" s="2"/>
      <c r="N145" s="2"/>
      <c r="O145" s="2"/>
    </row>
    <row r="146" spans="1:15">
      <c r="A146" s="41" t="s">
        <v>179</v>
      </c>
      <c r="B146" s="42" t="s">
        <v>178</v>
      </c>
      <c r="C146" s="42"/>
      <c r="D146" s="42"/>
      <c r="E146" s="88"/>
      <c r="F146" s="42"/>
      <c r="G146" s="42"/>
      <c r="H146" s="53"/>
      <c r="I146" s="88"/>
      <c r="J146" s="53">
        <f>SUM(I147:I153)/SUM(E147:E153)</f>
        <v>0.19999999999999998</v>
      </c>
      <c r="K146" s="43">
        <f>SUM(E147:E153)</f>
        <v>75826.880000000005</v>
      </c>
      <c r="L146" s="43">
        <f>SUM(I147:I153)</f>
        <v>15165.376</v>
      </c>
      <c r="M146" s="43">
        <f>K146+L146</f>
        <v>90992.256000000008</v>
      </c>
      <c r="N146" s="43"/>
      <c r="O146" s="43"/>
    </row>
    <row r="147" spans="1:15">
      <c r="A147" s="10"/>
      <c r="B147" s="6"/>
      <c r="C147" s="6" t="s">
        <v>177</v>
      </c>
      <c r="D147" s="6" t="s">
        <v>176</v>
      </c>
      <c r="E147" s="97">
        <v>1621.08</v>
      </c>
      <c r="F147" s="6" t="s">
        <v>1</v>
      </c>
      <c r="G147" s="98" t="s">
        <v>174</v>
      </c>
      <c r="H147" s="9">
        <v>0.2</v>
      </c>
      <c r="I147" s="97">
        <f t="shared" ref="I147:I153" si="7">H147*E147</f>
        <v>324.21600000000001</v>
      </c>
      <c r="J147" s="9"/>
      <c r="K147" s="4"/>
      <c r="L147" s="4"/>
      <c r="M147" s="4"/>
      <c r="N147" s="4"/>
      <c r="O147" s="4"/>
    </row>
    <row r="148" spans="1:15">
      <c r="A148" s="10"/>
      <c r="B148" s="6"/>
      <c r="C148" s="6" t="s">
        <v>166</v>
      </c>
      <c r="D148" s="6" t="s">
        <v>165</v>
      </c>
      <c r="E148" s="97">
        <v>23400</v>
      </c>
      <c r="F148" s="6" t="s">
        <v>1</v>
      </c>
      <c r="G148" s="98" t="s">
        <v>72</v>
      </c>
      <c r="H148" s="9">
        <v>0.2</v>
      </c>
      <c r="I148" s="97">
        <f t="shared" si="7"/>
        <v>4680</v>
      </c>
      <c r="J148" s="9"/>
      <c r="K148" s="4"/>
      <c r="L148" s="4"/>
      <c r="M148" s="4"/>
      <c r="N148" s="4"/>
      <c r="O148" s="4"/>
    </row>
    <row r="149" spans="1:15">
      <c r="A149" s="10"/>
      <c r="B149" s="6"/>
      <c r="C149" s="6" t="s">
        <v>164</v>
      </c>
      <c r="D149" s="6" t="s">
        <v>163</v>
      </c>
      <c r="E149" s="97">
        <v>21780</v>
      </c>
      <c r="F149" s="6" t="s">
        <v>1</v>
      </c>
      <c r="G149" s="98" t="s">
        <v>174</v>
      </c>
      <c r="H149" s="9">
        <v>0.2</v>
      </c>
      <c r="I149" s="97">
        <f t="shared" si="7"/>
        <v>4356</v>
      </c>
      <c r="J149" s="9"/>
      <c r="K149" s="4"/>
      <c r="L149" s="4"/>
      <c r="M149" s="4"/>
      <c r="N149" s="4"/>
      <c r="O149" s="4"/>
    </row>
    <row r="150" spans="1:15">
      <c r="A150" s="10"/>
      <c r="B150" s="6"/>
      <c r="C150" s="6" t="s">
        <v>175</v>
      </c>
      <c r="D150" s="6" t="s">
        <v>163</v>
      </c>
      <c r="E150" s="97">
        <v>20350</v>
      </c>
      <c r="F150" s="6" t="s">
        <v>1</v>
      </c>
      <c r="G150" s="98" t="s">
        <v>174</v>
      </c>
      <c r="H150" s="9">
        <v>0.2</v>
      </c>
      <c r="I150" s="97">
        <f t="shared" si="7"/>
        <v>4070</v>
      </c>
      <c r="J150" s="9"/>
      <c r="K150" s="4"/>
      <c r="L150" s="4"/>
      <c r="M150" s="4"/>
      <c r="N150" s="4"/>
      <c r="O150" s="4"/>
    </row>
    <row r="151" spans="1:15">
      <c r="A151" s="10"/>
      <c r="B151" s="6"/>
      <c r="C151" s="6" t="s">
        <v>173</v>
      </c>
      <c r="D151" s="6" t="s">
        <v>172</v>
      </c>
      <c r="E151" s="97">
        <v>1145.8</v>
      </c>
      <c r="F151" s="6" t="s">
        <v>1</v>
      </c>
      <c r="G151" s="98" t="s">
        <v>72</v>
      </c>
      <c r="H151" s="9">
        <v>0.2</v>
      </c>
      <c r="I151" s="97">
        <f t="shared" si="7"/>
        <v>229.16</v>
      </c>
      <c r="J151" s="9"/>
      <c r="K151" s="4"/>
      <c r="L151" s="4"/>
      <c r="M151" s="4"/>
      <c r="N151" s="4"/>
      <c r="O151" s="4"/>
    </row>
    <row r="152" spans="1:15">
      <c r="A152" s="10"/>
      <c r="B152" s="6"/>
      <c r="C152" s="6" t="s">
        <v>171</v>
      </c>
      <c r="D152" s="6" t="s">
        <v>159</v>
      </c>
      <c r="E152" s="97">
        <v>6930</v>
      </c>
      <c r="F152" s="6" t="s">
        <v>1</v>
      </c>
      <c r="G152" s="98" t="s">
        <v>72</v>
      </c>
      <c r="H152" s="9">
        <v>0.2</v>
      </c>
      <c r="I152" s="97">
        <f t="shared" si="7"/>
        <v>1386</v>
      </c>
      <c r="J152" s="9"/>
      <c r="K152" s="4"/>
      <c r="L152" s="4"/>
      <c r="M152" s="4"/>
      <c r="N152" s="4"/>
      <c r="O152" s="4"/>
    </row>
    <row r="153" spans="1:15" ht="16" thickBot="1">
      <c r="A153" s="7"/>
      <c r="B153" s="5"/>
      <c r="C153" s="5" t="s">
        <v>170</v>
      </c>
      <c r="D153" s="5" t="s">
        <v>169</v>
      </c>
      <c r="E153" s="46">
        <v>600</v>
      </c>
      <c r="F153" s="5" t="s">
        <v>1</v>
      </c>
      <c r="G153" s="45" t="s">
        <v>72</v>
      </c>
      <c r="H153" s="9">
        <v>0.2</v>
      </c>
      <c r="I153" s="97">
        <f t="shared" si="7"/>
        <v>120</v>
      </c>
      <c r="J153" s="3"/>
      <c r="K153" s="2"/>
      <c r="L153" s="2"/>
      <c r="M153" s="2"/>
      <c r="N153" s="2"/>
      <c r="O153" s="2"/>
    </row>
    <row r="154" spans="1:15">
      <c r="A154" s="41" t="s">
        <v>168</v>
      </c>
      <c r="B154" s="42" t="s">
        <v>167</v>
      </c>
      <c r="C154" s="42"/>
      <c r="D154" s="42"/>
      <c r="E154" s="88"/>
      <c r="F154" s="42"/>
      <c r="G154" s="42"/>
      <c r="H154" s="53"/>
      <c r="I154" s="88"/>
      <c r="J154" s="53">
        <f>SUM(I155:I159)/SUM(E155:E159)</f>
        <v>0.19999999999999998</v>
      </c>
      <c r="K154" s="43">
        <f>SUM(E155:E159)</f>
        <v>34559.160000000003</v>
      </c>
      <c r="L154" s="43">
        <f>SUM(I155:I159)</f>
        <v>6911.8320000000003</v>
      </c>
      <c r="M154" s="43">
        <f>K154+L154</f>
        <v>41470.992000000006</v>
      </c>
      <c r="N154" s="43"/>
      <c r="O154" s="43"/>
    </row>
    <row r="155" spans="1:15">
      <c r="A155" s="10"/>
      <c r="B155" s="6"/>
      <c r="C155" s="6" t="s">
        <v>166</v>
      </c>
      <c r="D155" s="6" t="s">
        <v>165</v>
      </c>
      <c r="E155" s="97">
        <v>12000</v>
      </c>
      <c r="F155" s="6" t="s">
        <v>1</v>
      </c>
      <c r="G155" s="98" t="s">
        <v>72</v>
      </c>
      <c r="H155" s="9">
        <v>0.2</v>
      </c>
      <c r="I155" s="97">
        <f>E155*H155</f>
        <v>2400</v>
      </c>
      <c r="J155" s="9"/>
      <c r="K155" s="4"/>
      <c r="L155" s="4"/>
      <c r="M155" s="4"/>
      <c r="N155" s="4"/>
      <c r="O155" s="4"/>
    </row>
    <row r="156" spans="1:15">
      <c r="A156" s="10"/>
      <c r="B156" s="6"/>
      <c r="C156" s="6" t="s">
        <v>164</v>
      </c>
      <c r="D156" s="6" t="s">
        <v>163</v>
      </c>
      <c r="E156" s="97">
        <v>7260</v>
      </c>
      <c r="F156" s="6" t="s">
        <v>1</v>
      </c>
      <c r="G156" s="98" t="s">
        <v>72</v>
      </c>
      <c r="H156" s="9">
        <v>0.2</v>
      </c>
      <c r="I156" s="97">
        <f>E156*H156</f>
        <v>1452</v>
      </c>
      <c r="J156" s="9"/>
      <c r="K156" s="4"/>
      <c r="L156" s="4"/>
      <c r="M156" s="4"/>
      <c r="N156" s="4"/>
      <c r="O156" s="4"/>
    </row>
    <row r="157" spans="1:15">
      <c r="A157" s="10"/>
      <c r="B157" s="6"/>
      <c r="C157" s="6" t="s">
        <v>164</v>
      </c>
      <c r="D157" s="6" t="s">
        <v>163</v>
      </c>
      <c r="E157" s="97">
        <v>8140</v>
      </c>
      <c r="F157" s="6" t="s">
        <v>1</v>
      </c>
      <c r="G157" s="98" t="s">
        <v>72</v>
      </c>
      <c r="H157" s="9">
        <v>0.2</v>
      </c>
      <c r="I157" s="97">
        <f>E157*H157</f>
        <v>1628</v>
      </c>
      <c r="J157" s="9"/>
      <c r="K157" s="4"/>
      <c r="L157" s="4"/>
      <c r="M157" s="4"/>
      <c r="N157" s="4"/>
      <c r="O157" s="4"/>
    </row>
    <row r="158" spans="1:15">
      <c r="A158" s="10"/>
      <c r="B158" s="6"/>
      <c r="C158" s="6" t="s">
        <v>162</v>
      </c>
      <c r="D158" s="6" t="s">
        <v>161</v>
      </c>
      <c r="E158" s="97">
        <v>229.16</v>
      </c>
      <c r="F158" s="6" t="s">
        <v>1</v>
      </c>
      <c r="G158" s="98" t="s">
        <v>72</v>
      </c>
      <c r="H158" s="9">
        <v>0.2</v>
      </c>
      <c r="I158" s="97">
        <f>E158*H158</f>
        <v>45.832000000000001</v>
      </c>
      <c r="J158" s="9"/>
      <c r="K158" s="4"/>
      <c r="L158" s="4"/>
      <c r="M158" s="4"/>
      <c r="N158" s="4"/>
      <c r="O158" s="4"/>
    </row>
    <row r="159" spans="1:15" ht="16" thickBot="1">
      <c r="A159" s="7"/>
      <c r="B159" s="5"/>
      <c r="C159" s="5" t="s">
        <v>160</v>
      </c>
      <c r="D159" s="5" t="s">
        <v>159</v>
      </c>
      <c r="E159" s="46">
        <v>6930</v>
      </c>
      <c r="F159" s="5" t="s">
        <v>1</v>
      </c>
      <c r="G159" s="98" t="s">
        <v>72</v>
      </c>
      <c r="H159" s="9">
        <v>0.2</v>
      </c>
      <c r="I159" s="97">
        <f>E159*H159</f>
        <v>1386</v>
      </c>
      <c r="J159" s="3"/>
      <c r="K159" s="2"/>
      <c r="L159" s="2"/>
      <c r="M159" s="2"/>
      <c r="N159" s="2"/>
      <c r="O159" s="2"/>
    </row>
    <row r="160" spans="1:15">
      <c r="A160" s="41" t="s">
        <v>158</v>
      </c>
      <c r="B160" s="42" t="s">
        <v>157</v>
      </c>
      <c r="C160" s="42"/>
      <c r="D160" s="42"/>
      <c r="E160" s="88"/>
      <c r="F160" s="42"/>
      <c r="G160" s="42"/>
      <c r="H160" s="53"/>
      <c r="I160" s="88"/>
      <c r="J160" s="53">
        <f>SUM(I161)/SUM(E161)</f>
        <v>0.4</v>
      </c>
      <c r="K160" s="43">
        <f>SUM(E161)</f>
        <v>20000</v>
      </c>
      <c r="L160" s="43">
        <f>SUM(I161)</f>
        <v>8000</v>
      </c>
      <c r="M160" s="43">
        <f>K160+L160</f>
        <v>28000</v>
      </c>
      <c r="N160" s="43"/>
      <c r="O160" s="43"/>
    </row>
    <row r="161" spans="1:15" ht="16" thickBot="1">
      <c r="A161" s="47"/>
      <c r="B161" s="48"/>
      <c r="C161" s="48" t="s">
        <v>156</v>
      </c>
      <c r="D161" s="48" t="s">
        <v>148</v>
      </c>
      <c r="E161" s="87">
        <v>20000</v>
      </c>
      <c r="F161" s="48" t="s">
        <v>1</v>
      </c>
      <c r="G161" s="48" t="s">
        <v>155</v>
      </c>
      <c r="H161" s="94">
        <v>0.4</v>
      </c>
      <c r="I161" s="87">
        <f>E161*H161</f>
        <v>8000</v>
      </c>
      <c r="J161" s="94"/>
      <c r="K161" s="49"/>
      <c r="L161" s="49"/>
      <c r="M161" s="49"/>
      <c r="N161" s="49"/>
      <c r="O161" s="49"/>
    </row>
    <row r="162" spans="1:15">
      <c r="A162" s="41" t="s">
        <v>154</v>
      </c>
      <c r="B162" s="42" t="s">
        <v>153</v>
      </c>
      <c r="C162" s="42"/>
      <c r="D162" s="42"/>
      <c r="E162" s="88"/>
      <c r="F162" s="42"/>
      <c r="G162" s="42"/>
      <c r="H162" s="53"/>
      <c r="I162" s="88"/>
      <c r="J162" s="53">
        <f>SUM(I163:I164)/SUM(E163:E164)</f>
        <v>0.38235294117647056</v>
      </c>
      <c r="K162" s="43">
        <f>SUM(E163:E164)</f>
        <v>68000</v>
      </c>
      <c r="L162" s="43">
        <f>SUM(I163:I164)</f>
        <v>26000</v>
      </c>
      <c r="M162" s="43">
        <f>K162+L162</f>
        <v>94000</v>
      </c>
      <c r="N162" s="43"/>
      <c r="O162" s="43"/>
    </row>
    <row r="163" spans="1:15">
      <c r="A163" s="54"/>
      <c r="B163" s="55"/>
      <c r="C163" s="55" t="s">
        <v>152</v>
      </c>
      <c r="D163" s="55" t="s">
        <v>151</v>
      </c>
      <c r="E163" s="95">
        <v>6000</v>
      </c>
      <c r="F163" s="55" t="s">
        <v>1</v>
      </c>
      <c r="G163" s="96" t="s">
        <v>150</v>
      </c>
      <c r="H163" s="71">
        <v>0.2</v>
      </c>
      <c r="I163" s="95">
        <f>H163*E163</f>
        <v>1200</v>
      </c>
      <c r="J163" s="71"/>
      <c r="K163" s="72"/>
      <c r="L163" s="72"/>
      <c r="M163" s="72"/>
      <c r="N163" s="72"/>
      <c r="O163" s="72"/>
    </row>
    <row r="164" spans="1:15" ht="16" thickBot="1">
      <c r="A164" s="47"/>
      <c r="B164" s="48"/>
      <c r="C164" s="48" t="s">
        <v>149</v>
      </c>
      <c r="D164" s="48" t="s">
        <v>148</v>
      </c>
      <c r="E164" s="87">
        <v>62000</v>
      </c>
      <c r="F164" s="48" t="s">
        <v>1</v>
      </c>
      <c r="G164" s="48" t="s">
        <v>75</v>
      </c>
      <c r="H164" s="94">
        <v>0.4</v>
      </c>
      <c r="I164" s="87">
        <f>H164*E164</f>
        <v>24800</v>
      </c>
      <c r="J164" s="94"/>
      <c r="K164" s="49"/>
      <c r="L164" s="49"/>
      <c r="M164" s="49"/>
      <c r="N164" s="49"/>
      <c r="O164" s="49"/>
    </row>
    <row r="165" spans="1:15">
      <c r="A165" s="41" t="s">
        <v>147</v>
      </c>
      <c r="B165" s="42" t="s">
        <v>146</v>
      </c>
      <c r="C165" s="42"/>
      <c r="D165" s="42"/>
      <c r="E165" s="88"/>
      <c r="F165" s="42"/>
      <c r="G165" s="42"/>
      <c r="H165" s="53"/>
      <c r="I165" s="88"/>
      <c r="J165" s="53">
        <f>SUM(I166)/SUM(E166)</f>
        <v>0.4</v>
      </c>
      <c r="K165" s="43">
        <f>SUM(E166)</f>
        <v>8000</v>
      </c>
      <c r="L165" s="43">
        <f>SUM(I166)</f>
        <v>3200</v>
      </c>
      <c r="M165" s="43">
        <f>K165+L165</f>
        <v>11200</v>
      </c>
      <c r="N165" s="43"/>
      <c r="O165" s="43"/>
    </row>
    <row r="166" spans="1:15" ht="16" thickBot="1">
      <c r="A166" s="47"/>
      <c r="B166" s="48"/>
      <c r="C166" s="48"/>
      <c r="D166" s="48"/>
      <c r="E166" s="87">
        <v>8000</v>
      </c>
      <c r="F166" s="48" t="s">
        <v>145</v>
      </c>
      <c r="G166" s="48" t="s">
        <v>75</v>
      </c>
      <c r="H166" s="94">
        <v>0.4</v>
      </c>
      <c r="I166" s="87">
        <f>H166*E166</f>
        <v>3200</v>
      </c>
      <c r="J166" s="94"/>
      <c r="K166" s="49"/>
      <c r="L166" s="49"/>
      <c r="M166" s="49"/>
      <c r="N166" s="49"/>
      <c r="O166" s="49"/>
    </row>
    <row r="167" spans="1:15" ht="16" thickBot="1">
      <c r="H167" s="93"/>
      <c r="J167" s="93"/>
    </row>
    <row r="168" spans="1:15">
      <c r="A168" s="31" t="s">
        <v>65</v>
      </c>
      <c r="B168" s="30" t="s">
        <v>64</v>
      </c>
      <c r="C168" s="30" t="s">
        <v>63</v>
      </c>
      <c r="D168" s="30" t="s">
        <v>62</v>
      </c>
      <c r="E168" s="92" t="s">
        <v>57</v>
      </c>
      <c r="F168" s="30" t="s">
        <v>61</v>
      </c>
      <c r="G168" s="30" t="s">
        <v>60</v>
      </c>
      <c r="H168" s="29" t="s">
        <v>56</v>
      </c>
      <c r="I168" s="30" t="s">
        <v>59</v>
      </c>
      <c r="J168" s="29" t="s">
        <v>58</v>
      </c>
      <c r="K168" s="28" t="s">
        <v>57</v>
      </c>
      <c r="L168" s="28" t="s">
        <v>56</v>
      </c>
      <c r="M168" s="32" t="s">
        <v>55</v>
      </c>
      <c r="N168" s="32" t="s">
        <v>54</v>
      </c>
      <c r="O168" s="27" t="s">
        <v>53</v>
      </c>
    </row>
    <row r="169" spans="1:15" ht="16" thickBot="1">
      <c r="A169" s="91" t="s">
        <v>144</v>
      </c>
      <c r="B169" s="90" t="s">
        <v>143</v>
      </c>
      <c r="C169" s="34"/>
      <c r="D169" s="34"/>
      <c r="E169" s="89"/>
      <c r="F169" s="34"/>
      <c r="G169" s="34"/>
      <c r="H169" s="36"/>
      <c r="I169" s="34"/>
      <c r="J169" s="37"/>
      <c r="K169" s="38"/>
      <c r="L169" s="38"/>
      <c r="M169" s="39"/>
      <c r="N169" s="39">
        <f>SUM(K170:K171)</f>
        <v>6000</v>
      </c>
      <c r="O169" s="40">
        <f>SUM(M170:M171)</f>
        <v>8400</v>
      </c>
    </row>
    <row r="170" spans="1:15">
      <c r="A170" s="41" t="s">
        <v>142</v>
      </c>
      <c r="B170" s="42" t="s">
        <v>141</v>
      </c>
      <c r="C170" s="42"/>
      <c r="D170" s="42"/>
      <c r="E170" s="88"/>
      <c r="F170" s="42"/>
      <c r="G170" s="42"/>
      <c r="H170" s="42"/>
      <c r="I170" s="42"/>
      <c r="J170" s="42">
        <f>SUM(I171)/SUM(E171)</f>
        <v>0.4</v>
      </c>
      <c r="K170" s="43">
        <f>SUM(E171)</f>
        <v>6000</v>
      </c>
      <c r="L170" s="43">
        <f>SUM(I171)</f>
        <v>2400</v>
      </c>
      <c r="M170" s="43">
        <f>K170+L170</f>
        <v>8400</v>
      </c>
      <c r="N170" s="43"/>
      <c r="O170" s="44"/>
    </row>
    <row r="171" spans="1:15" ht="16" thickBot="1">
      <c r="A171" s="47"/>
      <c r="B171" s="48"/>
      <c r="C171" s="48"/>
      <c r="D171" s="48"/>
      <c r="E171" s="87">
        <v>6000</v>
      </c>
      <c r="F171" s="48" t="s">
        <v>1</v>
      </c>
      <c r="G171" s="48" t="s">
        <v>75</v>
      </c>
      <c r="H171" s="48">
        <v>0.4</v>
      </c>
      <c r="I171" s="87">
        <f>H171*E171</f>
        <v>2400</v>
      </c>
      <c r="J171" s="48"/>
      <c r="K171" s="49"/>
      <c r="L171" s="49"/>
      <c r="M171" s="49"/>
      <c r="N171" s="49"/>
      <c r="O171" s="50"/>
    </row>
    <row r="172" spans="1:15" ht="16" thickBot="1"/>
    <row r="173" spans="1:15">
      <c r="A173" s="31" t="s">
        <v>65</v>
      </c>
      <c r="B173" s="30" t="s">
        <v>64</v>
      </c>
      <c r="C173" s="30" t="s">
        <v>63</v>
      </c>
      <c r="D173" s="30" t="s">
        <v>62</v>
      </c>
      <c r="E173" s="28" t="s">
        <v>57</v>
      </c>
      <c r="F173" s="30" t="s">
        <v>61</v>
      </c>
      <c r="G173" s="30" t="s">
        <v>60</v>
      </c>
      <c r="H173" s="29" t="s">
        <v>56</v>
      </c>
      <c r="I173" s="30" t="s">
        <v>59</v>
      </c>
      <c r="J173" s="29" t="s">
        <v>58</v>
      </c>
      <c r="K173" s="28" t="s">
        <v>57</v>
      </c>
      <c r="L173" s="28" t="s">
        <v>56</v>
      </c>
      <c r="M173" s="32" t="s">
        <v>55</v>
      </c>
      <c r="N173" s="32" t="s">
        <v>54</v>
      </c>
      <c r="O173" s="27" t="s">
        <v>53</v>
      </c>
    </row>
    <row r="174" spans="1:15" ht="16" thickBot="1">
      <c r="A174" s="91" t="s">
        <v>243</v>
      </c>
      <c r="B174" s="90" t="s">
        <v>244</v>
      </c>
      <c r="C174" s="34"/>
      <c r="D174" s="34"/>
      <c r="E174" s="35"/>
      <c r="F174" s="34"/>
      <c r="G174" s="34"/>
      <c r="H174" s="36"/>
      <c r="I174" s="34"/>
      <c r="J174" s="37"/>
      <c r="K174" s="38"/>
      <c r="L174" s="38"/>
      <c r="M174" s="39"/>
      <c r="N174" s="39">
        <f>SUM(K175:K193)</f>
        <v>27136</v>
      </c>
      <c r="O174" s="40">
        <f>SUM(M175:M193)</f>
        <v>35163.199999999997</v>
      </c>
    </row>
    <row r="175" spans="1:15">
      <c r="A175" s="41" t="s">
        <v>245</v>
      </c>
      <c r="B175" s="42" t="s">
        <v>246</v>
      </c>
      <c r="C175" s="42"/>
      <c r="D175" s="42"/>
      <c r="E175" s="43"/>
      <c r="F175" s="42"/>
      <c r="G175" s="43"/>
      <c r="H175" s="53"/>
      <c r="I175" s="43"/>
      <c r="J175" s="53">
        <f>SUM(I176:I177)/SUM(E176:E177)</f>
        <v>0.27500000000000002</v>
      </c>
      <c r="K175" s="43">
        <f>SUM(E176:E177)</f>
        <v>8000</v>
      </c>
      <c r="L175" s="43">
        <f>SUM(I176:I177)</f>
        <v>2200</v>
      </c>
      <c r="M175" s="43">
        <f>K175+L175</f>
        <v>10200</v>
      </c>
      <c r="N175" s="43"/>
      <c r="O175" s="44"/>
    </row>
    <row r="176" spans="1:15" ht="16" thickBot="1">
      <c r="A176" s="54"/>
      <c r="B176" s="55"/>
      <c r="C176" s="55" t="s">
        <v>247</v>
      </c>
      <c r="D176" s="55"/>
      <c r="E176" s="72">
        <v>5000</v>
      </c>
      <c r="F176" s="55" t="s">
        <v>1</v>
      </c>
      <c r="G176" s="72" t="s">
        <v>248</v>
      </c>
      <c r="H176" s="71">
        <v>0.2</v>
      </c>
      <c r="I176" s="2">
        <f>H176*E176</f>
        <v>1000</v>
      </c>
      <c r="J176" s="71"/>
      <c r="K176" s="72"/>
      <c r="L176" s="72"/>
      <c r="M176" s="72"/>
      <c r="N176" s="72"/>
      <c r="O176" s="136"/>
    </row>
    <row r="177" spans="1:15" ht="16" thickBot="1">
      <c r="A177" s="47"/>
      <c r="B177" s="48"/>
      <c r="C177" s="48"/>
      <c r="D177" s="48"/>
      <c r="E177" s="49">
        <v>3000</v>
      </c>
      <c r="F177" s="48" t="s">
        <v>1</v>
      </c>
      <c r="G177" s="49" t="s">
        <v>75</v>
      </c>
      <c r="H177" s="94">
        <v>0.4</v>
      </c>
      <c r="I177" s="49">
        <f>H177*E177</f>
        <v>1200</v>
      </c>
      <c r="J177" s="94"/>
      <c r="K177" s="49"/>
      <c r="L177" s="49"/>
      <c r="M177" s="49"/>
      <c r="N177" s="49"/>
      <c r="O177" s="50"/>
    </row>
    <row r="178" spans="1:15">
      <c r="A178" s="41" t="s">
        <v>249</v>
      </c>
      <c r="B178" s="42" t="s">
        <v>250</v>
      </c>
      <c r="C178" s="42"/>
      <c r="D178" s="42"/>
      <c r="E178" s="43"/>
      <c r="F178" s="42"/>
      <c r="G178" s="43"/>
      <c r="H178" s="53"/>
      <c r="I178" s="43"/>
      <c r="J178" s="53">
        <f>SUM(I179)/SUM(E179)</f>
        <v>0.2</v>
      </c>
      <c r="K178" s="43">
        <f>SUM(E179)</f>
        <v>1200</v>
      </c>
      <c r="L178" s="43">
        <f>SUM(I179)</f>
        <v>240</v>
      </c>
      <c r="M178" s="43">
        <f>K178+L178</f>
        <v>1440</v>
      </c>
      <c r="N178" s="43"/>
      <c r="O178" s="44"/>
    </row>
    <row r="179" spans="1:15" ht="16" thickBot="1">
      <c r="A179" s="7"/>
      <c r="B179" s="5"/>
      <c r="C179" s="5"/>
      <c r="D179" s="5"/>
      <c r="E179" s="2">
        <v>1200</v>
      </c>
      <c r="F179" s="5" t="s">
        <v>1</v>
      </c>
      <c r="G179" s="2" t="s">
        <v>251</v>
      </c>
      <c r="H179" s="3">
        <v>0.2</v>
      </c>
      <c r="I179" s="2">
        <f>H179*E179</f>
        <v>240</v>
      </c>
      <c r="J179" s="3"/>
      <c r="K179" s="2"/>
      <c r="L179" s="2"/>
      <c r="M179" s="2"/>
      <c r="N179" s="2"/>
      <c r="O179" s="1"/>
    </row>
    <row r="180" spans="1:15">
      <c r="A180" s="41" t="s">
        <v>252</v>
      </c>
      <c r="B180" s="42" t="s">
        <v>253</v>
      </c>
      <c r="C180" s="42"/>
      <c r="D180" s="42"/>
      <c r="E180" s="43"/>
      <c r="F180" s="42"/>
      <c r="G180" s="43"/>
      <c r="H180" s="53"/>
      <c r="I180" s="43"/>
      <c r="J180" s="53">
        <f>SUM(I181)/SUM(E181)</f>
        <v>0.2</v>
      </c>
      <c r="K180" s="43">
        <f>SUM(E181)</f>
        <v>1000</v>
      </c>
      <c r="L180" s="43">
        <f>SUM(I181)</f>
        <v>200</v>
      </c>
      <c r="M180" s="43">
        <f>K180+L180</f>
        <v>1200</v>
      </c>
      <c r="N180" s="43"/>
      <c r="O180" s="44"/>
    </row>
    <row r="181" spans="1:15" ht="16" thickBot="1">
      <c r="A181" s="7"/>
      <c r="B181" s="5"/>
      <c r="C181" s="5"/>
      <c r="D181" s="5"/>
      <c r="E181" s="2">
        <v>1000</v>
      </c>
      <c r="F181" s="5" t="s">
        <v>1</v>
      </c>
      <c r="G181" s="2" t="s">
        <v>254</v>
      </c>
      <c r="H181" s="3">
        <v>0.2</v>
      </c>
      <c r="I181" s="2">
        <f>H181*E181</f>
        <v>200</v>
      </c>
      <c r="J181" s="3"/>
      <c r="K181" s="2"/>
      <c r="L181" s="2"/>
      <c r="M181" s="2"/>
      <c r="N181" s="2"/>
      <c r="O181" s="1"/>
    </row>
    <row r="182" spans="1:15">
      <c r="A182" s="41" t="s">
        <v>255</v>
      </c>
      <c r="B182" s="42" t="s">
        <v>256</v>
      </c>
      <c r="C182" s="42"/>
      <c r="D182" s="42"/>
      <c r="E182" s="43"/>
      <c r="F182" s="42"/>
      <c r="G182" s="43"/>
      <c r="H182" s="53"/>
      <c r="I182" s="43"/>
      <c r="J182" s="53">
        <f>SUM(I183)/SUM(E183)</f>
        <v>0.2</v>
      </c>
      <c r="K182" s="43">
        <f>SUM(E183)</f>
        <v>500</v>
      </c>
      <c r="L182" s="43">
        <f>SUM(I183)</f>
        <v>100</v>
      </c>
      <c r="M182" s="43">
        <f>K182+L182</f>
        <v>600</v>
      </c>
      <c r="N182" s="43"/>
      <c r="O182" s="44"/>
    </row>
    <row r="183" spans="1:15" ht="16" thickBot="1">
      <c r="A183" s="7"/>
      <c r="B183" s="5"/>
      <c r="C183" s="5"/>
      <c r="D183" s="5"/>
      <c r="E183" s="2">
        <v>500</v>
      </c>
      <c r="F183" s="5" t="s">
        <v>1</v>
      </c>
      <c r="G183" s="2" t="s">
        <v>251</v>
      </c>
      <c r="H183" s="3">
        <v>0.2</v>
      </c>
      <c r="I183" s="2">
        <f>H183*E183</f>
        <v>100</v>
      </c>
      <c r="J183" s="3"/>
      <c r="K183" s="2"/>
      <c r="L183" s="2"/>
      <c r="M183" s="2"/>
      <c r="N183" s="2"/>
      <c r="O183" s="1"/>
    </row>
    <row r="184" spans="1:15">
      <c r="A184" s="41" t="s">
        <v>257</v>
      </c>
      <c r="B184" s="137" t="s">
        <v>258</v>
      </c>
      <c r="C184" s="42"/>
      <c r="D184" s="42"/>
      <c r="E184" s="43"/>
      <c r="F184" s="42"/>
      <c r="G184" s="43"/>
      <c r="H184" s="53"/>
      <c r="I184" s="43"/>
      <c r="J184" s="53">
        <f>SUM(I185:I185)/SUM(E185:E185)</f>
        <v>0.2</v>
      </c>
      <c r="K184" s="43">
        <f>SUM(E185)</f>
        <v>1718</v>
      </c>
      <c r="L184" s="43">
        <f>SUM(I185)</f>
        <v>343.6</v>
      </c>
      <c r="M184" s="43">
        <f>K184+L184</f>
        <v>2061.6</v>
      </c>
      <c r="N184" s="43"/>
      <c r="O184" s="44"/>
    </row>
    <row r="185" spans="1:15" ht="16" thickBot="1">
      <c r="A185" s="10"/>
      <c r="B185" s="6"/>
      <c r="C185" s="6" t="s">
        <v>259</v>
      </c>
      <c r="D185" s="6" t="s">
        <v>260</v>
      </c>
      <c r="E185" s="4">
        <v>1718</v>
      </c>
      <c r="F185" s="6" t="s">
        <v>1</v>
      </c>
      <c r="G185" s="138" t="s">
        <v>150</v>
      </c>
      <c r="H185" s="9">
        <v>0.2</v>
      </c>
      <c r="I185" s="4">
        <f>H185*E185</f>
        <v>343.6</v>
      </c>
      <c r="J185" s="9"/>
      <c r="K185" s="4"/>
      <c r="L185" s="4"/>
      <c r="M185" s="4"/>
      <c r="N185" s="4"/>
      <c r="O185" s="8"/>
    </row>
    <row r="186" spans="1:15">
      <c r="A186" s="41" t="s">
        <v>261</v>
      </c>
      <c r="B186" s="137" t="s">
        <v>262</v>
      </c>
      <c r="C186" s="42"/>
      <c r="D186" s="42"/>
      <c r="E186" s="43"/>
      <c r="F186" s="42"/>
      <c r="G186" s="43"/>
      <c r="H186" s="53"/>
      <c r="I186" s="43"/>
      <c r="J186" s="53">
        <f>SUM(I187:I188)/SUM(E187:E188)</f>
        <v>0.35384615384615387</v>
      </c>
      <c r="K186" s="43">
        <f>SUM(E187:E188)</f>
        <v>6500</v>
      </c>
      <c r="L186" s="43">
        <f>SUM(I187:I188)</f>
        <v>2300</v>
      </c>
      <c r="M186" s="43">
        <f>K186+L186</f>
        <v>8800</v>
      </c>
      <c r="N186" s="43"/>
      <c r="O186" s="44"/>
    </row>
    <row r="187" spans="1:15">
      <c r="A187" s="10"/>
      <c r="B187" s="6"/>
      <c r="C187" s="6" t="s">
        <v>263</v>
      </c>
      <c r="D187" s="6" t="s">
        <v>264</v>
      </c>
      <c r="E187" s="4">
        <v>1500</v>
      </c>
      <c r="F187" s="6" t="s">
        <v>1</v>
      </c>
      <c r="G187" s="4" t="s">
        <v>248</v>
      </c>
      <c r="H187" s="9">
        <v>0.2</v>
      </c>
      <c r="I187" s="4">
        <f>H187*E187</f>
        <v>300</v>
      </c>
      <c r="J187" s="9"/>
      <c r="K187" s="4"/>
      <c r="L187" s="4"/>
      <c r="M187" s="4"/>
      <c r="N187" s="4"/>
      <c r="O187" s="8"/>
    </row>
    <row r="188" spans="1:15" ht="16" thickBot="1">
      <c r="A188" s="47"/>
      <c r="B188" s="48"/>
      <c r="C188" s="48" t="s">
        <v>265</v>
      </c>
      <c r="D188" s="48" t="s">
        <v>264</v>
      </c>
      <c r="E188" s="49">
        <v>5000</v>
      </c>
      <c r="F188" s="48" t="s">
        <v>1</v>
      </c>
      <c r="G188" s="49" t="s">
        <v>75</v>
      </c>
      <c r="H188" s="94">
        <v>0.4</v>
      </c>
      <c r="I188" s="49">
        <f>H188*E188</f>
        <v>2000</v>
      </c>
      <c r="J188" s="94"/>
      <c r="K188" s="49"/>
      <c r="L188" s="49"/>
      <c r="M188" s="49"/>
      <c r="N188" s="49"/>
      <c r="O188" s="50"/>
    </row>
    <row r="189" spans="1:15">
      <c r="A189" s="41" t="s">
        <v>266</v>
      </c>
      <c r="B189" s="137" t="s">
        <v>267</v>
      </c>
      <c r="C189" s="42"/>
      <c r="D189" s="42"/>
      <c r="E189" s="43"/>
      <c r="F189" s="42"/>
      <c r="G189" s="43"/>
      <c r="H189" s="53"/>
      <c r="I189" s="43"/>
      <c r="J189" s="53">
        <f>SUM(I190:I190)/SUM(E190:E190)</f>
        <v>0.2</v>
      </c>
      <c r="K189" s="43">
        <f>SUM(E190)</f>
        <v>1718</v>
      </c>
      <c r="L189" s="43">
        <f>SUM(I190)</f>
        <v>343.6</v>
      </c>
      <c r="M189" s="43">
        <f>K189+L189</f>
        <v>2061.6</v>
      </c>
      <c r="N189" s="43"/>
      <c r="O189" s="44"/>
    </row>
    <row r="190" spans="1:15" ht="16" thickBot="1">
      <c r="A190" s="10"/>
      <c r="B190" s="6"/>
      <c r="C190" s="6" t="s">
        <v>259</v>
      </c>
      <c r="D190" s="6" t="s">
        <v>260</v>
      </c>
      <c r="E190" s="4">
        <v>1718</v>
      </c>
      <c r="F190" s="6" t="s">
        <v>1</v>
      </c>
      <c r="G190" s="138" t="s">
        <v>150</v>
      </c>
      <c r="H190" s="9">
        <v>0.2</v>
      </c>
      <c r="I190" s="4">
        <f>H190*E190</f>
        <v>343.6</v>
      </c>
      <c r="J190" s="9"/>
      <c r="K190" s="4"/>
      <c r="L190" s="4"/>
      <c r="M190" s="4"/>
      <c r="N190" s="4"/>
      <c r="O190" s="8"/>
    </row>
    <row r="191" spans="1:15">
      <c r="A191" s="41" t="s">
        <v>268</v>
      </c>
      <c r="B191" s="137" t="s">
        <v>269</v>
      </c>
      <c r="C191" s="42"/>
      <c r="D191" s="42"/>
      <c r="E191" s="43"/>
      <c r="F191" s="42"/>
      <c r="G191" s="43"/>
      <c r="H191" s="53"/>
      <c r="I191" s="43"/>
      <c r="J191" s="53">
        <f>SUM(I192:I193)/SUM(E192:E193)</f>
        <v>0.35384615384615387</v>
      </c>
      <c r="K191" s="43">
        <f>SUM(E192:E193)</f>
        <v>6500</v>
      </c>
      <c r="L191" s="43">
        <f>SUM(I192:I193)</f>
        <v>2300</v>
      </c>
      <c r="M191" s="43">
        <f>K191+L191</f>
        <v>8800</v>
      </c>
      <c r="N191" s="43"/>
      <c r="O191" s="44"/>
    </row>
    <row r="192" spans="1:15">
      <c r="A192" s="10"/>
      <c r="B192" s="6"/>
      <c r="C192" s="6" t="s">
        <v>263</v>
      </c>
      <c r="D192" s="6" t="s">
        <v>264</v>
      </c>
      <c r="E192" s="4">
        <v>1500</v>
      </c>
      <c r="F192" s="6" t="s">
        <v>1</v>
      </c>
      <c r="G192" s="4" t="s">
        <v>248</v>
      </c>
      <c r="H192" s="9">
        <v>0.2</v>
      </c>
      <c r="I192" s="4">
        <f>H192*E192</f>
        <v>300</v>
      </c>
      <c r="J192" s="9"/>
      <c r="K192" s="4"/>
      <c r="L192" s="4"/>
      <c r="M192" s="4"/>
      <c r="N192" s="4"/>
      <c r="O192" s="8"/>
    </row>
    <row r="193" spans="1:15" ht="16" thickBot="1">
      <c r="A193" s="47"/>
      <c r="B193" s="48"/>
      <c r="C193" s="48" t="s">
        <v>265</v>
      </c>
      <c r="D193" s="48" t="s">
        <v>264</v>
      </c>
      <c r="E193" s="49">
        <v>5000</v>
      </c>
      <c r="F193" s="48" t="s">
        <v>1</v>
      </c>
      <c r="G193" s="49" t="s">
        <v>75</v>
      </c>
      <c r="H193" s="94">
        <v>0.4</v>
      </c>
      <c r="I193" s="49">
        <f>H193*E193</f>
        <v>2000</v>
      </c>
      <c r="J193" s="94"/>
      <c r="K193" s="49"/>
      <c r="L193" s="49"/>
      <c r="M193" s="49"/>
      <c r="N193" s="49"/>
      <c r="O193" s="50"/>
    </row>
    <row r="194" spans="1:15" ht="16" thickBot="1"/>
    <row r="195" spans="1:15">
      <c r="A195" s="31" t="s">
        <v>65</v>
      </c>
      <c r="B195" s="30" t="s">
        <v>64</v>
      </c>
      <c r="C195" s="30" t="s">
        <v>63</v>
      </c>
      <c r="D195" s="30" t="s">
        <v>62</v>
      </c>
      <c r="E195" s="28" t="s">
        <v>57</v>
      </c>
      <c r="F195" s="30" t="s">
        <v>61</v>
      </c>
      <c r="G195" s="30" t="s">
        <v>60</v>
      </c>
      <c r="H195" s="29" t="s">
        <v>56</v>
      </c>
      <c r="I195" s="30" t="s">
        <v>59</v>
      </c>
      <c r="J195" s="29" t="s">
        <v>58</v>
      </c>
      <c r="K195" s="28" t="s">
        <v>57</v>
      </c>
      <c r="L195" s="28" t="s">
        <v>56</v>
      </c>
      <c r="M195" s="32" t="s">
        <v>55</v>
      </c>
      <c r="N195" s="32" t="s">
        <v>54</v>
      </c>
      <c r="O195" s="27" t="s">
        <v>53</v>
      </c>
    </row>
    <row r="196" spans="1:15" ht="16" thickBot="1">
      <c r="A196" s="91" t="s">
        <v>270</v>
      </c>
      <c r="B196" s="90" t="s">
        <v>271</v>
      </c>
      <c r="C196" s="34"/>
      <c r="D196" s="34"/>
      <c r="E196" s="35"/>
      <c r="F196" s="34"/>
      <c r="G196" s="34"/>
      <c r="H196" s="36"/>
      <c r="I196" s="34"/>
      <c r="J196" s="37"/>
      <c r="K196" s="38"/>
      <c r="L196" s="38"/>
      <c r="M196" s="39"/>
      <c r="N196" s="39">
        <f>SUM(K197:K210)</f>
        <v>18918</v>
      </c>
      <c r="O196" s="40">
        <f>SUM(M197:M210)</f>
        <v>24301.599999999999</v>
      </c>
    </row>
    <row r="197" spans="1:15">
      <c r="A197" s="41" t="s">
        <v>272</v>
      </c>
      <c r="B197" s="42" t="s">
        <v>273</v>
      </c>
      <c r="C197" s="42"/>
      <c r="D197" s="42"/>
      <c r="E197" s="43"/>
      <c r="F197" s="42"/>
      <c r="G197" s="43"/>
      <c r="H197" s="53"/>
      <c r="I197" s="43"/>
      <c r="J197" s="53">
        <f>SUM(I198:I199)/SUM(E198:E199)</f>
        <v>0.27500000000000002</v>
      </c>
      <c r="K197" s="43">
        <f>SUM(E198:E199)</f>
        <v>8000</v>
      </c>
      <c r="L197" s="43">
        <f>SUM(I198:I199)</f>
        <v>2200</v>
      </c>
      <c r="M197" s="43">
        <f>K197+L197</f>
        <v>10200</v>
      </c>
      <c r="N197" s="43"/>
      <c r="O197" s="44"/>
    </row>
    <row r="198" spans="1:15" ht="16" thickBot="1">
      <c r="A198" s="54"/>
      <c r="B198" s="55"/>
      <c r="C198" s="55" t="s">
        <v>247</v>
      </c>
      <c r="D198" s="55"/>
      <c r="E198" s="72">
        <v>5000</v>
      </c>
      <c r="F198" s="55" t="s">
        <v>1</v>
      </c>
      <c r="G198" s="72" t="s">
        <v>248</v>
      </c>
      <c r="H198" s="71">
        <v>0.2</v>
      </c>
      <c r="I198" s="2">
        <f>H198*E198</f>
        <v>1000</v>
      </c>
      <c r="J198" s="71"/>
      <c r="K198" s="72"/>
      <c r="L198" s="72"/>
      <c r="M198" s="72"/>
      <c r="N198" s="72"/>
      <c r="O198" s="136"/>
    </row>
    <row r="199" spans="1:15" ht="16" thickBot="1">
      <c r="A199" s="47"/>
      <c r="B199" s="48"/>
      <c r="C199" s="48"/>
      <c r="D199" s="48"/>
      <c r="E199" s="49">
        <v>3000</v>
      </c>
      <c r="F199" s="48" t="s">
        <v>1</v>
      </c>
      <c r="G199" s="49" t="s">
        <v>75</v>
      </c>
      <c r="H199" s="94">
        <v>0.4</v>
      </c>
      <c r="I199" s="49">
        <f>H199*E199</f>
        <v>1200</v>
      </c>
      <c r="J199" s="94"/>
      <c r="K199" s="49"/>
      <c r="L199" s="49"/>
      <c r="M199" s="49"/>
      <c r="N199" s="49"/>
      <c r="O199" s="50"/>
    </row>
    <row r="200" spans="1:15">
      <c r="A200" s="41" t="s">
        <v>274</v>
      </c>
      <c r="B200" s="42" t="s">
        <v>275</v>
      </c>
      <c r="C200" s="42"/>
      <c r="D200" s="42"/>
      <c r="E200" s="43"/>
      <c r="F200" s="42"/>
      <c r="G200" s="43"/>
      <c r="H200" s="53"/>
      <c r="I200" s="43"/>
      <c r="J200" s="53">
        <f>SUM(I201)/SUM(E201)</f>
        <v>0.2</v>
      </c>
      <c r="K200" s="43">
        <f>SUM(E201)</f>
        <v>1200</v>
      </c>
      <c r="L200" s="43">
        <f>SUM(I201)</f>
        <v>240</v>
      </c>
      <c r="M200" s="43">
        <f>K200+L200</f>
        <v>1440</v>
      </c>
      <c r="N200" s="43"/>
      <c r="O200" s="44"/>
    </row>
    <row r="201" spans="1:15" ht="16" thickBot="1">
      <c r="A201" s="7"/>
      <c r="B201" s="5"/>
      <c r="C201" s="5"/>
      <c r="D201" s="5"/>
      <c r="E201" s="2">
        <v>1200</v>
      </c>
      <c r="F201" s="5" t="s">
        <v>1</v>
      </c>
      <c r="G201" s="2" t="s">
        <v>251</v>
      </c>
      <c r="H201" s="3">
        <v>0.2</v>
      </c>
      <c r="I201" s="2">
        <f>H201*E201</f>
        <v>240</v>
      </c>
      <c r="J201" s="3"/>
      <c r="K201" s="2"/>
      <c r="L201" s="2"/>
      <c r="M201" s="2"/>
      <c r="N201" s="2"/>
      <c r="O201" s="1"/>
    </row>
    <row r="202" spans="1:15">
      <c r="A202" s="41" t="s">
        <v>276</v>
      </c>
      <c r="B202" s="42" t="s">
        <v>277</v>
      </c>
      <c r="C202" s="42"/>
      <c r="D202" s="42"/>
      <c r="E202" s="43"/>
      <c r="F202" s="42"/>
      <c r="G202" s="43"/>
      <c r="H202" s="53"/>
      <c r="I202" s="43"/>
      <c r="J202" s="53">
        <f>SUM(I203)/SUM(E203)</f>
        <v>0.2</v>
      </c>
      <c r="K202" s="43">
        <f>SUM(E203)</f>
        <v>1000</v>
      </c>
      <c r="L202" s="43">
        <f>SUM(I203)</f>
        <v>200</v>
      </c>
      <c r="M202" s="43">
        <f>K202+L202</f>
        <v>1200</v>
      </c>
      <c r="N202" s="43"/>
      <c r="O202" s="44"/>
    </row>
    <row r="203" spans="1:15" ht="16" thickBot="1">
      <c r="A203" s="7"/>
      <c r="B203" s="5"/>
      <c r="C203" s="5"/>
      <c r="D203" s="5"/>
      <c r="E203" s="2">
        <v>1000</v>
      </c>
      <c r="F203" s="5" t="s">
        <v>1</v>
      </c>
      <c r="G203" s="2" t="s">
        <v>254</v>
      </c>
      <c r="H203" s="3">
        <v>0.2</v>
      </c>
      <c r="I203" s="2">
        <f>H203*E203</f>
        <v>200</v>
      </c>
      <c r="J203" s="3"/>
      <c r="K203" s="2"/>
      <c r="L203" s="2"/>
      <c r="M203" s="2"/>
      <c r="N203" s="2"/>
      <c r="O203" s="1"/>
    </row>
    <row r="204" spans="1:15">
      <c r="A204" s="41" t="s">
        <v>278</v>
      </c>
      <c r="B204" s="42" t="s">
        <v>279</v>
      </c>
      <c r="C204" s="42"/>
      <c r="D204" s="42"/>
      <c r="E204" s="43"/>
      <c r="F204" s="42"/>
      <c r="G204" s="43"/>
      <c r="H204" s="53"/>
      <c r="I204" s="43"/>
      <c r="J204" s="53">
        <f>SUM(I205)/SUM(E205)</f>
        <v>0.2</v>
      </c>
      <c r="K204" s="43">
        <f>SUM(E205)</f>
        <v>500</v>
      </c>
      <c r="L204" s="43">
        <f>SUM(I205)</f>
        <v>100</v>
      </c>
      <c r="M204" s="43">
        <f>K204+L204</f>
        <v>600</v>
      </c>
      <c r="N204" s="43"/>
      <c r="O204" s="44"/>
    </row>
    <row r="205" spans="1:15" ht="16" thickBot="1">
      <c r="A205" s="7"/>
      <c r="B205" s="5"/>
      <c r="C205" s="5"/>
      <c r="D205" s="5"/>
      <c r="E205" s="2">
        <v>500</v>
      </c>
      <c r="F205" s="5" t="s">
        <v>1</v>
      </c>
      <c r="G205" s="2" t="s">
        <v>251</v>
      </c>
      <c r="H205" s="3">
        <v>0.2</v>
      </c>
      <c r="I205" s="2">
        <f>H205*E205</f>
        <v>100</v>
      </c>
      <c r="J205" s="3"/>
      <c r="K205" s="2"/>
      <c r="L205" s="2"/>
      <c r="M205" s="2"/>
      <c r="N205" s="2"/>
      <c r="O205" s="1"/>
    </row>
    <row r="206" spans="1:15">
      <c r="A206" s="41" t="s">
        <v>280</v>
      </c>
      <c r="B206" s="137" t="s">
        <v>281</v>
      </c>
      <c r="C206" s="42"/>
      <c r="D206" s="42"/>
      <c r="E206" s="43"/>
      <c r="F206" s="42"/>
      <c r="G206" s="43"/>
      <c r="H206" s="53"/>
      <c r="I206" s="43"/>
      <c r="J206" s="53">
        <f>SUM(I207:I207)/SUM(E207:E207)</f>
        <v>0.2</v>
      </c>
      <c r="K206" s="43">
        <f>SUM(E207:E207)</f>
        <v>1718</v>
      </c>
      <c r="L206" s="43">
        <f>SUM(I207:I207)</f>
        <v>343.6</v>
      </c>
      <c r="M206" s="43">
        <f>K206+L206</f>
        <v>2061.6</v>
      </c>
      <c r="N206" s="43"/>
      <c r="O206" s="44"/>
    </row>
    <row r="207" spans="1:15" ht="16" thickBot="1">
      <c r="A207" s="10"/>
      <c r="B207" s="6"/>
      <c r="C207" s="6" t="s">
        <v>259</v>
      </c>
      <c r="D207" s="6" t="s">
        <v>260</v>
      </c>
      <c r="E207" s="4">
        <v>1718</v>
      </c>
      <c r="F207" s="6" t="s">
        <v>1</v>
      </c>
      <c r="G207" s="138" t="s">
        <v>150</v>
      </c>
      <c r="H207" s="9">
        <v>0.2</v>
      </c>
      <c r="I207" s="4">
        <f>H207*E207</f>
        <v>343.6</v>
      </c>
      <c r="J207" s="9"/>
      <c r="K207" s="4"/>
      <c r="L207" s="4"/>
      <c r="M207" s="4"/>
      <c r="N207" s="4"/>
      <c r="O207" s="8"/>
    </row>
    <row r="208" spans="1:15">
      <c r="A208" s="41" t="s">
        <v>282</v>
      </c>
      <c r="B208" s="137" t="s">
        <v>283</v>
      </c>
      <c r="C208" s="42"/>
      <c r="D208" s="42"/>
      <c r="E208" s="43"/>
      <c r="F208" s="42"/>
      <c r="G208" s="43"/>
      <c r="H208" s="53"/>
      <c r="I208" s="43"/>
      <c r="J208" s="53">
        <f>SUM(I209:I210)/SUM(E209:E210)</f>
        <v>0.35384615384615387</v>
      </c>
      <c r="K208" s="43">
        <f>SUM(E209:E210)</f>
        <v>6500</v>
      </c>
      <c r="L208" s="43">
        <f>SUM(I209:I210)</f>
        <v>2300</v>
      </c>
      <c r="M208" s="43">
        <f>K208+L208</f>
        <v>8800</v>
      </c>
      <c r="N208" s="43"/>
      <c r="O208" s="44"/>
    </row>
    <row r="209" spans="1:15">
      <c r="A209" s="10"/>
      <c r="B209" s="6"/>
      <c r="C209" s="6" t="s">
        <v>263</v>
      </c>
      <c r="D209" s="6" t="s">
        <v>264</v>
      </c>
      <c r="E209" s="4">
        <v>1500</v>
      </c>
      <c r="F209" s="6" t="s">
        <v>1</v>
      </c>
      <c r="G209" s="4" t="s">
        <v>248</v>
      </c>
      <c r="H209" s="9">
        <v>0.2</v>
      </c>
      <c r="I209" s="4">
        <f>H209*E209</f>
        <v>300</v>
      </c>
      <c r="J209" s="9"/>
      <c r="K209" s="4"/>
      <c r="L209" s="4"/>
      <c r="M209" s="4"/>
      <c r="N209" s="4"/>
      <c r="O209" s="8"/>
    </row>
    <row r="210" spans="1:15" ht="16" thickBot="1">
      <c r="A210" s="47"/>
      <c r="B210" s="48"/>
      <c r="C210" s="48" t="s">
        <v>265</v>
      </c>
      <c r="D210" s="48" t="s">
        <v>264</v>
      </c>
      <c r="E210" s="49">
        <v>5000</v>
      </c>
      <c r="F210" s="48" t="s">
        <v>1</v>
      </c>
      <c r="G210" s="49" t="s">
        <v>75</v>
      </c>
      <c r="H210" s="94">
        <v>0.4</v>
      </c>
      <c r="I210" s="49">
        <f>H210*E210</f>
        <v>2000</v>
      </c>
      <c r="J210" s="94"/>
      <c r="K210" s="49"/>
      <c r="L210" s="49"/>
      <c r="M210" s="49"/>
      <c r="N210" s="49"/>
      <c r="O210" s="50"/>
    </row>
    <row r="211" spans="1:15" ht="16" thickBot="1"/>
    <row r="212" spans="1:15">
      <c r="A212" s="31" t="s">
        <v>65</v>
      </c>
      <c r="B212" s="30" t="s">
        <v>64</v>
      </c>
      <c r="C212" s="30" t="s">
        <v>63</v>
      </c>
      <c r="D212" s="30" t="s">
        <v>62</v>
      </c>
      <c r="E212" s="28" t="s">
        <v>57</v>
      </c>
      <c r="F212" s="30" t="s">
        <v>61</v>
      </c>
      <c r="G212" s="30" t="s">
        <v>60</v>
      </c>
      <c r="H212" s="29" t="s">
        <v>56</v>
      </c>
      <c r="I212" s="30" t="s">
        <v>59</v>
      </c>
      <c r="J212" s="29" t="s">
        <v>58</v>
      </c>
      <c r="K212" s="28" t="s">
        <v>57</v>
      </c>
      <c r="L212" s="28" t="s">
        <v>56</v>
      </c>
      <c r="M212" s="32" t="s">
        <v>55</v>
      </c>
      <c r="N212" s="32" t="s">
        <v>54</v>
      </c>
      <c r="O212" s="27" t="s">
        <v>53</v>
      </c>
    </row>
    <row r="213" spans="1:15" ht="16" thickBot="1">
      <c r="A213" s="33" t="s">
        <v>284</v>
      </c>
      <c r="B213" s="34" t="s">
        <v>285</v>
      </c>
      <c r="C213" s="34"/>
      <c r="D213" s="34"/>
      <c r="E213" s="35"/>
      <c r="F213" s="34"/>
      <c r="G213" s="34"/>
      <c r="H213" s="36"/>
      <c r="I213" s="34"/>
      <c r="J213" s="37"/>
      <c r="K213" s="38"/>
      <c r="L213" s="38"/>
      <c r="M213" s="39"/>
      <c r="N213" s="39">
        <f>SUM(K213:K217)</f>
        <v>174296</v>
      </c>
      <c r="O213" s="40">
        <f>SUM(M213:M217)</f>
        <v>209155.20000000001</v>
      </c>
    </row>
    <row r="214" spans="1:15">
      <c r="A214" s="41" t="s">
        <v>286</v>
      </c>
      <c r="B214" s="42" t="s">
        <v>287</v>
      </c>
      <c r="C214" s="42"/>
      <c r="D214" s="42"/>
      <c r="E214" s="43"/>
      <c r="F214" s="42"/>
      <c r="G214" s="42"/>
      <c r="H214" s="53"/>
      <c r="I214" s="42"/>
      <c r="J214" s="42">
        <f>SUM(I215)/SUM(E215)</f>
        <v>0.2</v>
      </c>
      <c r="K214" s="43">
        <f>SUM(E215)</f>
        <v>39080</v>
      </c>
      <c r="L214" s="43">
        <f>SUM(I215)</f>
        <v>7816</v>
      </c>
      <c r="M214" s="43">
        <f>K214+L214</f>
        <v>46896</v>
      </c>
      <c r="N214" s="43"/>
      <c r="O214" s="44"/>
    </row>
    <row r="215" spans="1:15" ht="16" thickBot="1">
      <c r="A215" s="7"/>
      <c r="B215" s="5"/>
      <c r="C215" s="5"/>
      <c r="D215" s="5"/>
      <c r="E215" s="2">
        <v>39080</v>
      </c>
      <c r="F215" s="5" t="s">
        <v>1</v>
      </c>
      <c r="G215" s="45" t="s">
        <v>288</v>
      </c>
      <c r="H215" s="3">
        <v>0.2</v>
      </c>
      <c r="I215" s="46">
        <f>H215*E215</f>
        <v>7816</v>
      </c>
      <c r="J215" s="5"/>
      <c r="K215" s="2"/>
      <c r="L215" s="2"/>
      <c r="M215" s="2"/>
      <c r="N215" s="2"/>
      <c r="O215" s="1"/>
    </row>
    <row r="216" spans="1:15">
      <c r="A216" s="41" t="s">
        <v>289</v>
      </c>
      <c r="B216" s="42" t="s">
        <v>290</v>
      </c>
      <c r="C216" s="42"/>
      <c r="D216" s="42"/>
      <c r="E216" s="43"/>
      <c r="F216" s="42"/>
      <c r="G216" s="42"/>
      <c r="H216" s="53"/>
      <c r="I216" s="42"/>
      <c r="J216" s="42">
        <f>SUM(I217)/SUM(E217)</f>
        <v>0.2</v>
      </c>
      <c r="K216" s="43">
        <f>SUM(E217)</f>
        <v>135216</v>
      </c>
      <c r="L216" s="43">
        <f>SUM(I217)</f>
        <v>27043.200000000001</v>
      </c>
      <c r="M216" s="43">
        <f>K216+L216</f>
        <v>162259.20000000001</v>
      </c>
      <c r="N216" s="43"/>
      <c r="O216" s="44"/>
    </row>
    <row r="217" spans="1:15" ht="16" thickBot="1">
      <c r="A217" s="7"/>
      <c r="B217" s="5"/>
      <c r="C217" s="5"/>
      <c r="D217" s="5"/>
      <c r="E217" s="2">
        <v>135216</v>
      </c>
      <c r="F217" s="5" t="s">
        <v>1</v>
      </c>
      <c r="G217" s="45" t="s">
        <v>288</v>
      </c>
      <c r="H217" s="3">
        <v>0.2</v>
      </c>
      <c r="I217" s="46">
        <f>H217*E217</f>
        <v>27043.200000000001</v>
      </c>
      <c r="J217" s="5"/>
      <c r="K217" s="2"/>
      <c r="L217" s="2"/>
      <c r="M217" s="2"/>
      <c r="N217" s="2"/>
      <c r="O217" s="1"/>
    </row>
    <row r="218" spans="1:15" ht="16" thickBot="1"/>
    <row r="219" spans="1:15">
      <c r="A219" s="31" t="s">
        <v>65</v>
      </c>
      <c r="B219" s="30" t="s">
        <v>64</v>
      </c>
      <c r="C219" s="30" t="s">
        <v>63</v>
      </c>
      <c r="D219" s="30" t="s">
        <v>62</v>
      </c>
      <c r="E219" s="28" t="s">
        <v>57</v>
      </c>
      <c r="F219" s="30" t="s">
        <v>61</v>
      </c>
      <c r="G219" s="30" t="s">
        <v>60</v>
      </c>
      <c r="H219" s="29" t="s">
        <v>56</v>
      </c>
      <c r="I219" s="30" t="s">
        <v>59</v>
      </c>
      <c r="J219" s="29" t="s">
        <v>58</v>
      </c>
      <c r="K219" s="28" t="s">
        <v>57</v>
      </c>
      <c r="L219" s="28" t="s">
        <v>56</v>
      </c>
      <c r="M219" s="32" t="s">
        <v>55</v>
      </c>
      <c r="N219" s="32" t="s">
        <v>54</v>
      </c>
      <c r="O219" s="27" t="s">
        <v>53</v>
      </c>
    </row>
    <row r="220" spans="1:15" ht="16" thickBot="1">
      <c r="A220" s="33" t="s">
        <v>291</v>
      </c>
      <c r="B220" s="34" t="s">
        <v>292</v>
      </c>
      <c r="C220" s="34"/>
      <c r="D220" s="34"/>
      <c r="E220" s="35"/>
      <c r="F220" s="34"/>
      <c r="G220" s="34"/>
      <c r="H220" s="36"/>
      <c r="I220" s="34"/>
      <c r="J220" s="37"/>
      <c r="K220" s="38"/>
      <c r="L220" s="38"/>
      <c r="M220" s="39"/>
      <c r="N220" s="39">
        <f>SUM(K220:K225)</f>
        <v>52100</v>
      </c>
      <c r="O220" s="40">
        <f>SUM(M220:M225)</f>
        <v>65520</v>
      </c>
    </row>
    <row r="221" spans="1:15">
      <c r="A221" s="41" t="s">
        <v>293</v>
      </c>
      <c r="B221" s="42" t="s">
        <v>294</v>
      </c>
      <c r="C221" s="42"/>
      <c r="D221" s="42"/>
      <c r="E221" s="43"/>
      <c r="F221" s="42"/>
      <c r="G221" s="42"/>
      <c r="H221" s="42"/>
      <c r="I221" s="42"/>
      <c r="J221" s="42">
        <f>SUM(I222)/SUM(E222)</f>
        <v>0.2</v>
      </c>
      <c r="K221" s="43">
        <f>SUM(E222)</f>
        <v>36500</v>
      </c>
      <c r="L221" s="43">
        <f>SUM(I222)</f>
        <v>7300</v>
      </c>
      <c r="M221" s="43">
        <f>K221+L221</f>
        <v>43800</v>
      </c>
      <c r="N221" s="43"/>
      <c r="O221" s="44"/>
    </row>
    <row r="222" spans="1:15" ht="16" thickBot="1">
      <c r="A222" s="7"/>
      <c r="B222" s="5"/>
      <c r="C222" s="5" t="s">
        <v>295</v>
      </c>
      <c r="D222" s="5" t="s">
        <v>296</v>
      </c>
      <c r="E222" s="2">
        <f>4700*6+8300</f>
        <v>36500</v>
      </c>
      <c r="F222" s="5" t="s">
        <v>1</v>
      </c>
      <c r="G222" s="5" t="s">
        <v>150</v>
      </c>
      <c r="H222" s="5">
        <v>0.2</v>
      </c>
      <c r="I222" s="2">
        <f>H222*E222</f>
        <v>7300</v>
      </c>
      <c r="J222" s="5"/>
      <c r="K222" s="2"/>
      <c r="L222" s="2"/>
      <c r="M222" s="2"/>
      <c r="N222" s="2"/>
      <c r="O222" s="1"/>
    </row>
    <row r="223" spans="1:15">
      <c r="A223" s="41" t="s">
        <v>297</v>
      </c>
      <c r="B223" s="42" t="s">
        <v>298</v>
      </c>
      <c r="C223" s="42"/>
      <c r="D223" s="42"/>
      <c r="E223" s="43"/>
      <c r="F223" s="42"/>
      <c r="G223" s="42"/>
      <c r="H223" s="42"/>
      <c r="I223" s="42"/>
      <c r="J223" s="42">
        <f>SUM(I224)/SUM(E224)</f>
        <v>0.2</v>
      </c>
      <c r="K223" s="43">
        <f>SUM(E224)</f>
        <v>600</v>
      </c>
      <c r="L223" s="43">
        <f>SUM(I224)</f>
        <v>120</v>
      </c>
      <c r="M223" s="43">
        <f>K223+L223</f>
        <v>720</v>
      </c>
      <c r="N223" s="43"/>
      <c r="O223" s="44"/>
    </row>
    <row r="224" spans="1:15" ht="16" thickBot="1">
      <c r="A224" s="7"/>
      <c r="B224" s="5"/>
      <c r="C224" s="5"/>
      <c r="D224" s="5"/>
      <c r="E224" s="2">
        <v>600</v>
      </c>
      <c r="F224" s="5" t="s">
        <v>1</v>
      </c>
      <c r="G224" s="5" t="s">
        <v>4</v>
      </c>
      <c r="H224" s="5">
        <v>0.2</v>
      </c>
      <c r="I224" s="2">
        <f>H224*E224</f>
        <v>120</v>
      </c>
      <c r="J224" s="5"/>
      <c r="K224" s="2"/>
      <c r="L224" s="2"/>
      <c r="M224" s="2"/>
      <c r="N224" s="2"/>
      <c r="O224" s="1"/>
    </row>
    <row r="225" spans="1:16">
      <c r="A225" s="41" t="s">
        <v>299</v>
      </c>
      <c r="B225" s="42" t="s">
        <v>300</v>
      </c>
      <c r="C225" s="42"/>
      <c r="D225" s="42"/>
      <c r="E225" s="43"/>
      <c r="F225" s="42"/>
      <c r="G225" s="42"/>
      <c r="H225" s="42"/>
      <c r="I225" s="42"/>
      <c r="J225" s="42">
        <f>SUM(I226)/SUM(E226)</f>
        <v>0.4</v>
      </c>
      <c r="K225" s="43">
        <f>SUM(E226)</f>
        <v>15000</v>
      </c>
      <c r="L225" s="43">
        <f>SUM(I226)</f>
        <v>6000</v>
      </c>
      <c r="M225" s="43">
        <f>K225+L225</f>
        <v>21000</v>
      </c>
      <c r="N225" s="43"/>
      <c r="O225" s="44"/>
    </row>
    <row r="226" spans="1:16" ht="16" thickBot="1">
      <c r="A226" s="47"/>
      <c r="B226" s="48"/>
      <c r="C226" s="48"/>
      <c r="D226" s="48"/>
      <c r="E226" s="49">
        <v>15000</v>
      </c>
      <c r="F226" s="48" t="s">
        <v>1</v>
      </c>
      <c r="G226" s="48" t="s">
        <v>75</v>
      </c>
      <c r="H226" s="48">
        <v>0.4</v>
      </c>
      <c r="I226" s="49">
        <f>H226*E226</f>
        <v>6000</v>
      </c>
      <c r="J226" s="48"/>
      <c r="K226" s="49"/>
      <c r="L226" s="49"/>
      <c r="M226" s="49"/>
      <c r="N226" s="49"/>
      <c r="O226" s="50"/>
    </row>
    <row r="228" spans="1:16" ht="19" thickBot="1">
      <c r="A228" s="33" t="s">
        <v>301</v>
      </c>
      <c r="B228" s="34" t="s">
        <v>302</v>
      </c>
      <c r="C228" s="34"/>
      <c r="D228" s="34"/>
      <c r="E228" s="35"/>
      <c r="F228" s="34"/>
      <c r="G228" s="34"/>
      <c r="H228" s="36"/>
      <c r="I228" s="35"/>
      <c r="J228" s="37"/>
      <c r="K228" s="38"/>
      <c r="L228" s="38"/>
      <c r="M228" s="39"/>
      <c r="N228" s="39">
        <f>SUM(K229:K234)</f>
        <v>20019.849999999999</v>
      </c>
      <c r="O228" s="40">
        <f>SUM(M229:M234)</f>
        <v>25723.82</v>
      </c>
      <c r="P228" s="149" t="s">
        <v>340</v>
      </c>
    </row>
    <row r="229" spans="1:16">
      <c r="A229" s="41" t="s">
        <v>303</v>
      </c>
      <c r="B229" s="42" t="s">
        <v>304</v>
      </c>
      <c r="C229" s="139"/>
      <c r="D229" s="42"/>
      <c r="E229" s="43"/>
      <c r="F229" s="42"/>
      <c r="G229" s="42"/>
      <c r="H229" s="42"/>
      <c r="I229" s="43"/>
      <c r="J229" s="53">
        <f>SUM(I230:I231)/SUM(E230:E231)</f>
        <v>0.23740718342612396</v>
      </c>
      <c r="K229" s="43">
        <f>SUM(E230:E231)</f>
        <v>8019.85</v>
      </c>
      <c r="L229" s="43">
        <f>SUM(I230:I231)</f>
        <v>1903.9700000000003</v>
      </c>
      <c r="M229" s="43">
        <f>K229+L229</f>
        <v>9923.82</v>
      </c>
      <c r="N229" s="43"/>
      <c r="O229" s="44"/>
    </row>
    <row r="230" spans="1:16">
      <c r="A230" s="10"/>
      <c r="B230" s="6"/>
      <c r="C230" s="140" t="s">
        <v>305</v>
      </c>
      <c r="D230" s="6" t="s">
        <v>306</v>
      </c>
      <c r="E230" s="4">
        <v>6519.85</v>
      </c>
      <c r="F230" s="6" t="s">
        <v>1</v>
      </c>
      <c r="G230" s="98" t="s">
        <v>150</v>
      </c>
      <c r="H230" s="6">
        <v>0.2</v>
      </c>
      <c r="I230" s="4">
        <f>H230*E230</f>
        <v>1303.9700000000003</v>
      </c>
      <c r="J230" s="9"/>
      <c r="K230" s="4"/>
      <c r="L230" s="4"/>
      <c r="M230" s="4"/>
      <c r="N230" s="4"/>
      <c r="O230" s="8"/>
    </row>
    <row r="231" spans="1:16" ht="16" thickBot="1">
      <c r="A231" s="47"/>
      <c r="B231" s="48"/>
      <c r="C231" s="141" t="s">
        <v>307</v>
      </c>
      <c r="D231" s="48"/>
      <c r="E231" s="49">
        <v>1500</v>
      </c>
      <c r="F231" s="48" t="s">
        <v>1</v>
      </c>
      <c r="G231" s="48" t="s">
        <v>75</v>
      </c>
      <c r="H231" s="48">
        <v>0.4</v>
      </c>
      <c r="I231" s="12">
        <f>H231*E231</f>
        <v>600</v>
      </c>
      <c r="J231" s="94"/>
      <c r="K231" s="49"/>
      <c r="L231" s="49"/>
      <c r="M231" s="49"/>
      <c r="N231" s="49"/>
      <c r="O231" s="50"/>
    </row>
    <row r="232" spans="1:16">
      <c r="A232" s="41" t="s">
        <v>308</v>
      </c>
      <c r="B232" s="42" t="s">
        <v>309</v>
      </c>
      <c r="C232" s="139"/>
      <c r="D232" s="42"/>
      <c r="E232" s="43"/>
      <c r="F232" s="42"/>
      <c r="G232" s="42"/>
      <c r="H232" s="42"/>
      <c r="I232" s="43"/>
      <c r="J232" s="53">
        <f>SUM(I233:I234)/SUM(E233:E234)</f>
        <v>0.31666666666666665</v>
      </c>
      <c r="K232" s="43">
        <f>SUM(E233:E234)</f>
        <v>12000</v>
      </c>
      <c r="L232" s="43">
        <f>SUM(I233:I234)</f>
        <v>3800</v>
      </c>
      <c r="M232" s="43">
        <f>K232+L232</f>
        <v>15800</v>
      </c>
      <c r="N232" s="43"/>
      <c r="O232" s="44"/>
    </row>
    <row r="233" spans="1:16">
      <c r="A233" s="54"/>
      <c r="B233" s="55"/>
      <c r="C233" s="142" t="s">
        <v>247</v>
      </c>
      <c r="D233" s="55"/>
      <c r="E233" s="72">
        <v>5000</v>
      </c>
      <c r="F233" s="55" t="s">
        <v>1</v>
      </c>
      <c r="G233" s="55" t="s">
        <v>310</v>
      </c>
      <c r="H233" s="55">
        <v>0.2</v>
      </c>
      <c r="I233" s="4">
        <f>H233*E233</f>
        <v>1000</v>
      </c>
      <c r="J233" s="71"/>
      <c r="K233" s="72"/>
      <c r="L233" s="72"/>
      <c r="M233" s="72"/>
      <c r="N233" s="72"/>
      <c r="O233" s="136"/>
    </row>
    <row r="234" spans="1:16" ht="16" thickBot="1">
      <c r="A234" s="47"/>
      <c r="B234" s="48"/>
      <c r="C234" s="48" t="s">
        <v>311</v>
      </c>
      <c r="D234" s="48"/>
      <c r="E234" s="49">
        <v>7000</v>
      </c>
      <c r="F234" s="48" t="s">
        <v>1</v>
      </c>
      <c r="G234" s="48" t="s">
        <v>75</v>
      </c>
      <c r="H234" s="48">
        <v>0.4</v>
      </c>
      <c r="I234" s="12">
        <f>H234*E234</f>
        <v>2800</v>
      </c>
      <c r="J234" s="94"/>
      <c r="K234" s="49"/>
      <c r="L234" s="49"/>
      <c r="M234" s="49"/>
      <c r="N234" s="49"/>
      <c r="O234" s="50"/>
    </row>
    <row r="235" spans="1:16" ht="16" thickBot="1"/>
    <row r="236" spans="1:16">
      <c r="A236" s="31" t="s">
        <v>65</v>
      </c>
      <c r="B236" s="30" t="s">
        <v>64</v>
      </c>
      <c r="C236" s="30" t="s">
        <v>63</v>
      </c>
      <c r="D236" s="30" t="s">
        <v>62</v>
      </c>
      <c r="E236" s="28" t="s">
        <v>57</v>
      </c>
      <c r="F236" s="30" t="s">
        <v>61</v>
      </c>
      <c r="G236" s="30" t="s">
        <v>60</v>
      </c>
      <c r="H236" s="29" t="s">
        <v>56</v>
      </c>
      <c r="I236" s="28" t="s">
        <v>59</v>
      </c>
      <c r="J236" s="29" t="s">
        <v>58</v>
      </c>
      <c r="K236" s="28" t="s">
        <v>57</v>
      </c>
      <c r="L236" s="28" t="s">
        <v>56</v>
      </c>
      <c r="M236" s="32" t="s">
        <v>55</v>
      </c>
      <c r="N236" s="32" t="s">
        <v>54</v>
      </c>
      <c r="O236" s="27" t="s">
        <v>53</v>
      </c>
    </row>
    <row r="237" spans="1:16" ht="19" thickBot="1">
      <c r="A237" s="91" t="s">
        <v>312</v>
      </c>
      <c r="B237" s="90" t="s">
        <v>313</v>
      </c>
      <c r="C237" s="34"/>
      <c r="D237" s="34"/>
      <c r="E237" s="35"/>
      <c r="F237" s="34"/>
      <c r="G237" s="34"/>
      <c r="H237" s="36"/>
      <c r="I237" s="35"/>
      <c r="J237" s="37"/>
      <c r="K237" s="38"/>
      <c r="L237" s="38"/>
      <c r="M237" s="39"/>
      <c r="N237" s="39">
        <f>SUM(K238:K248)</f>
        <v>9418</v>
      </c>
      <c r="O237" s="40">
        <f>SUM(M238:M248)</f>
        <v>12001.6</v>
      </c>
      <c r="P237" s="149" t="s">
        <v>340</v>
      </c>
    </row>
    <row r="238" spans="1:16">
      <c r="A238" s="41" t="s">
        <v>314</v>
      </c>
      <c r="B238" s="42" t="s">
        <v>315</v>
      </c>
      <c r="C238" s="42"/>
      <c r="D238" s="42"/>
      <c r="E238" s="43"/>
      <c r="F238" s="42"/>
      <c r="G238" s="42"/>
      <c r="H238" s="53"/>
      <c r="I238" s="42"/>
      <c r="J238" s="42">
        <f>SUM(I239)/SUM(E239)</f>
        <v>0.2</v>
      </c>
      <c r="K238" s="43">
        <f>SUM(E239)</f>
        <v>1200</v>
      </c>
      <c r="L238" s="43">
        <f>SUM(I239)</f>
        <v>240</v>
      </c>
      <c r="M238" s="43">
        <f>K238+L238</f>
        <v>1440</v>
      </c>
      <c r="N238" s="43"/>
      <c r="O238" s="44"/>
    </row>
    <row r="239" spans="1:16" ht="16" thickBot="1">
      <c r="A239" s="7"/>
      <c r="B239" s="5"/>
      <c r="C239" s="5"/>
      <c r="D239" s="5"/>
      <c r="E239" s="2">
        <v>1200</v>
      </c>
      <c r="F239" s="5" t="s">
        <v>1</v>
      </c>
      <c r="G239" s="2" t="s">
        <v>251</v>
      </c>
      <c r="H239" s="3">
        <v>0.2</v>
      </c>
      <c r="I239" s="2">
        <f>H239*E239</f>
        <v>240</v>
      </c>
      <c r="J239" s="2"/>
      <c r="K239" s="2"/>
      <c r="L239" s="2"/>
      <c r="M239" s="2"/>
      <c r="N239" s="2"/>
      <c r="O239" s="1"/>
    </row>
    <row r="240" spans="1:16">
      <c r="A240" s="41" t="s">
        <v>316</v>
      </c>
      <c r="B240" s="42" t="s">
        <v>317</v>
      </c>
      <c r="C240" s="42"/>
      <c r="D240" s="42"/>
      <c r="E240" s="43"/>
      <c r="F240" s="42"/>
      <c r="G240" s="42"/>
      <c r="H240" s="53"/>
      <c r="I240" s="42"/>
      <c r="J240" s="42">
        <f>SUM(I241)/SUM(E241)</f>
        <v>0.2</v>
      </c>
      <c r="K240" s="43">
        <f>SUM(E241)</f>
        <v>1000</v>
      </c>
      <c r="L240" s="43">
        <f>SUM(I241)</f>
        <v>200</v>
      </c>
      <c r="M240" s="43">
        <f>K240+L240</f>
        <v>1200</v>
      </c>
      <c r="N240" s="43"/>
      <c r="O240" s="44"/>
    </row>
    <row r="241" spans="1:16" ht="16" thickBot="1">
      <c r="A241" s="7"/>
      <c r="B241" s="5"/>
      <c r="C241" s="5"/>
      <c r="D241" s="5"/>
      <c r="E241" s="2">
        <v>1000</v>
      </c>
      <c r="F241" s="5" t="s">
        <v>1</v>
      </c>
      <c r="G241" s="2" t="s">
        <v>254</v>
      </c>
      <c r="H241" s="3">
        <v>0.2</v>
      </c>
      <c r="I241" s="2">
        <f>H241*E241</f>
        <v>200</v>
      </c>
      <c r="J241" s="2"/>
      <c r="K241" s="2"/>
      <c r="L241" s="2"/>
      <c r="M241" s="2"/>
      <c r="N241" s="2"/>
      <c r="O241" s="1"/>
    </row>
    <row r="242" spans="1:16">
      <c r="A242" s="41" t="s">
        <v>318</v>
      </c>
      <c r="B242" s="42" t="s">
        <v>319</v>
      </c>
      <c r="C242" s="42"/>
      <c r="D242" s="42"/>
      <c r="E242" s="43"/>
      <c r="F242" s="42"/>
      <c r="G242" s="42"/>
      <c r="H242" s="53"/>
      <c r="I242" s="42"/>
      <c r="J242" s="42">
        <f>SUM(I243)/SUM(E243)</f>
        <v>0.2</v>
      </c>
      <c r="K242" s="43">
        <f>SUM(E243)</f>
        <v>500</v>
      </c>
      <c r="L242" s="43">
        <f>SUM(I243)</f>
        <v>100</v>
      </c>
      <c r="M242" s="43">
        <f>K242+L242</f>
        <v>600</v>
      </c>
      <c r="N242" s="43"/>
      <c r="O242" s="44"/>
    </row>
    <row r="243" spans="1:16" ht="16" thickBot="1">
      <c r="A243" s="7"/>
      <c r="B243" s="5"/>
      <c r="C243" s="5"/>
      <c r="D243" s="5"/>
      <c r="E243" s="2">
        <v>500</v>
      </c>
      <c r="F243" s="5" t="s">
        <v>1</v>
      </c>
      <c r="G243" s="2" t="s">
        <v>251</v>
      </c>
      <c r="H243" s="3">
        <v>0.2</v>
      </c>
      <c r="I243" s="2">
        <f>H243*E243</f>
        <v>100</v>
      </c>
      <c r="J243" s="2"/>
      <c r="K243" s="2"/>
      <c r="L243" s="2"/>
      <c r="M243" s="2"/>
      <c r="N243" s="2"/>
      <c r="O243" s="1"/>
    </row>
    <row r="244" spans="1:16">
      <c r="A244" s="41" t="s">
        <v>320</v>
      </c>
      <c r="B244" s="42" t="s">
        <v>321</v>
      </c>
      <c r="C244" s="42"/>
      <c r="D244" s="42"/>
      <c r="E244" s="43"/>
      <c r="F244" s="42"/>
      <c r="G244" s="42"/>
      <c r="H244" s="53"/>
      <c r="I244" s="42"/>
      <c r="J244" s="42">
        <f>SUM(I245)/SUM(E245)</f>
        <v>0.2</v>
      </c>
      <c r="K244" s="43">
        <f>SUM(E245)</f>
        <v>1718</v>
      </c>
      <c r="L244" s="43">
        <f>SUM(I245)</f>
        <v>343.6</v>
      </c>
      <c r="M244" s="43">
        <f>K244+L244</f>
        <v>2061.6</v>
      </c>
      <c r="N244" s="43"/>
      <c r="O244" s="44"/>
    </row>
    <row r="245" spans="1:16" ht="16" thickBot="1">
      <c r="A245" s="7"/>
      <c r="B245" s="5"/>
      <c r="C245" s="6" t="s">
        <v>259</v>
      </c>
      <c r="D245" s="6" t="s">
        <v>260</v>
      </c>
      <c r="E245" s="4">
        <v>1718</v>
      </c>
      <c r="F245" s="6" t="s">
        <v>1</v>
      </c>
      <c r="G245" s="138" t="s">
        <v>150</v>
      </c>
      <c r="H245" s="143">
        <v>0.2</v>
      </c>
      <c r="I245" s="2">
        <f>H245*E245</f>
        <v>343.6</v>
      </c>
      <c r="J245" s="76"/>
      <c r="K245" s="2"/>
      <c r="L245" s="2"/>
      <c r="M245" s="2"/>
      <c r="N245" s="2"/>
      <c r="O245" s="1"/>
    </row>
    <row r="246" spans="1:16">
      <c r="A246" s="41" t="s">
        <v>322</v>
      </c>
      <c r="B246" s="42" t="s">
        <v>323</v>
      </c>
      <c r="C246" s="42"/>
      <c r="D246" s="42"/>
      <c r="E246" s="43"/>
      <c r="F246" s="42"/>
      <c r="G246" s="42"/>
      <c r="H246" s="53"/>
      <c r="I246" s="42"/>
      <c r="J246" s="42">
        <f>SUM(I247:I248)/SUM(E247:E248)</f>
        <v>0.34</v>
      </c>
      <c r="K246" s="43">
        <f>SUM(E247:E248)</f>
        <v>5000</v>
      </c>
      <c r="L246" s="43">
        <f>SUM(I247:I248)</f>
        <v>1700</v>
      </c>
      <c r="M246" s="43">
        <f>K246+L246</f>
        <v>6700</v>
      </c>
      <c r="N246" s="43"/>
      <c r="O246" s="44"/>
    </row>
    <row r="247" spans="1:16" ht="16" thickBot="1">
      <c r="A247" s="54"/>
      <c r="B247" s="55"/>
      <c r="C247" s="55" t="s">
        <v>324</v>
      </c>
      <c r="D247" s="55" t="s">
        <v>264</v>
      </c>
      <c r="E247" s="72">
        <v>1500</v>
      </c>
      <c r="F247" s="55" t="s">
        <v>1</v>
      </c>
      <c r="G247" s="55" t="s">
        <v>310</v>
      </c>
      <c r="H247" s="71">
        <v>0.2</v>
      </c>
      <c r="I247" s="2">
        <f>H247*E247</f>
        <v>300</v>
      </c>
      <c r="J247" s="55"/>
      <c r="K247" s="72"/>
      <c r="L247" s="72"/>
      <c r="M247" s="72"/>
      <c r="N247" s="72"/>
      <c r="O247" s="136"/>
    </row>
    <row r="248" spans="1:16" ht="16" thickBot="1">
      <c r="A248" s="47"/>
      <c r="B248" s="48"/>
      <c r="C248" s="48" t="s">
        <v>325</v>
      </c>
      <c r="D248" s="48" t="s">
        <v>264</v>
      </c>
      <c r="E248" s="49">
        <v>3500</v>
      </c>
      <c r="F248" s="48" t="s">
        <v>1</v>
      </c>
      <c r="G248" s="48" t="s">
        <v>75</v>
      </c>
      <c r="H248" s="94">
        <v>0.4</v>
      </c>
      <c r="I248" s="49">
        <f>H248*E248</f>
        <v>1400</v>
      </c>
      <c r="J248" s="48"/>
      <c r="K248" s="49"/>
      <c r="L248" s="49"/>
      <c r="M248" s="49"/>
      <c r="N248" s="49"/>
      <c r="O248" s="50"/>
    </row>
    <row r="249" spans="1:16" ht="16" thickBot="1"/>
    <row r="250" spans="1:16">
      <c r="A250" s="31" t="s">
        <v>65</v>
      </c>
      <c r="B250" s="30" t="s">
        <v>64</v>
      </c>
      <c r="C250" s="30" t="s">
        <v>63</v>
      </c>
      <c r="D250" s="30" t="s">
        <v>62</v>
      </c>
      <c r="E250" s="28" t="s">
        <v>57</v>
      </c>
      <c r="F250" s="30" t="s">
        <v>61</v>
      </c>
      <c r="G250" s="30" t="s">
        <v>60</v>
      </c>
      <c r="H250" s="29" t="s">
        <v>56</v>
      </c>
      <c r="I250" s="28" t="s">
        <v>59</v>
      </c>
      <c r="J250" s="29" t="s">
        <v>58</v>
      </c>
      <c r="K250" s="28" t="s">
        <v>57</v>
      </c>
      <c r="L250" s="28" t="s">
        <v>56</v>
      </c>
      <c r="M250" s="32" t="s">
        <v>55</v>
      </c>
      <c r="N250" s="32" t="s">
        <v>54</v>
      </c>
      <c r="O250" s="27" t="s">
        <v>53</v>
      </c>
    </row>
    <row r="251" spans="1:16" ht="19" thickBot="1">
      <c r="A251" s="91" t="s">
        <v>326</v>
      </c>
      <c r="B251" s="90" t="s">
        <v>327</v>
      </c>
      <c r="C251" s="34"/>
      <c r="D251" s="34"/>
      <c r="E251" s="35"/>
      <c r="F251" s="34"/>
      <c r="G251" s="34"/>
      <c r="H251" s="36"/>
      <c r="I251" s="35"/>
      <c r="J251" s="37"/>
      <c r="K251" s="38"/>
      <c r="L251" s="38"/>
      <c r="M251" s="39"/>
      <c r="N251" s="39">
        <f>SUM(K251:K260)</f>
        <v>52733</v>
      </c>
      <c r="O251" s="40">
        <f>SUM(M251:M260)</f>
        <v>70746.2</v>
      </c>
      <c r="P251" s="149" t="s">
        <v>340</v>
      </c>
    </row>
    <row r="252" spans="1:16">
      <c r="A252" s="41" t="s">
        <v>328</v>
      </c>
      <c r="B252" s="42" t="s">
        <v>329</v>
      </c>
      <c r="C252" s="139"/>
      <c r="D252" s="139"/>
      <c r="E252" s="43"/>
      <c r="F252" s="139"/>
      <c r="G252" s="139"/>
      <c r="H252" s="53"/>
      <c r="I252" s="43"/>
      <c r="J252" s="139">
        <f>SUM(I253)/SUM(E253)</f>
        <v>0.40000000000000008</v>
      </c>
      <c r="K252" s="139">
        <f>SUM(E253)</f>
        <v>13333</v>
      </c>
      <c r="L252" s="139">
        <f>SUM(I253)</f>
        <v>5333.2000000000007</v>
      </c>
      <c r="M252" s="139">
        <f>K252+L252</f>
        <v>18666.2</v>
      </c>
      <c r="N252" s="42"/>
      <c r="O252" s="144"/>
    </row>
    <row r="253" spans="1:16" ht="16" thickBot="1">
      <c r="A253" s="47"/>
      <c r="B253" s="48"/>
      <c r="C253" s="141"/>
      <c r="D253" s="141"/>
      <c r="E253" s="49">
        <v>13333</v>
      </c>
      <c r="F253" s="141" t="s">
        <v>1</v>
      </c>
      <c r="G253" s="141" t="s">
        <v>75</v>
      </c>
      <c r="H253" s="94">
        <v>0.4</v>
      </c>
      <c r="I253" s="49">
        <f>H253*E253</f>
        <v>5333.2000000000007</v>
      </c>
      <c r="J253" s="141"/>
      <c r="K253" s="141"/>
      <c r="L253" s="141"/>
      <c r="M253" s="141"/>
      <c r="N253" s="48"/>
      <c r="O253" s="145"/>
    </row>
    <row r="254" spans="1:16">
      <c r="A254" s="41" t="s">
        <v>330</v>
      </c>
      <c r="B254" s="42" t="s">
        <v>331</v>
      </c>
      <c r="C254" s="139"/>
      <c r="D254" s="139"/>
      <c r="E254" s="43"/>
      <c r="F254" s="139"/>
      <c r="G254" s="139"/>
      <c r="H254" s="53"/>
      <c r="I254" s="43"/>
      <c r="J254" s="139">
        <f>SUM(I255:I256)/SUM(E255:E256)</f>
        <v>0.2</v>
      </c>
      <c r="K254" s="139">
        <f>SUM(E255:E256)</f>
        <v>15400</v>
      </c>
      <c r="L254" s="139">
        <f>SUM(I255:I256)</f>
        <v>3080</v>
      </c>
      <c r="M254" s="139">
        <f>K254+L254</f>
        <v>18480</v>
      </c>
      <c r="N254" s="42"/>
      <c r="O254" s="144"/>
    </row>
    <row r="255" spans="1:16">
      <c r="A255" s="54"/>
      <c r="B255" s="55"/>
      <c r="C255" s="142" t="s">
        <v>332</v>
      </c>
      <c r="D255" s="142" t="s">
        <v>182</v>
      </c>
      <c r="E255" s="72">
        <v>1000</v>
      </c>
      <c r="F255" s="142" t="s">
        <v>1</v>
      </c>
      <c r="G255" s="142" t="s">
        <v>75</v>
      </c>
      <c r="H255" s="71">
        <v>0.2</v>
      </c>
      <c r="I255" s="72">
        <f>H255*E255</f>
        <v>200</v>
      </c>
      <c r="J255" s="142"/>
      <c r="K255" s="142"/>
      <c r="L255" s="142"/>
      <c r="M255" s="142"/>
      <c r="N255" s="55"/>
      <c r="O255" s="146"/>
    </row>
    <row r="256" spans="1:16" ht="16" thickBot="1">
      <c r="A256" s="7"/>
      <c r="B256" s="5"/>
      <c r="C256" s="147" t="s">
        <v>333</v>
      </c>
      <c r="D256" s="147" t="s">
        <v>334</v>
      </c>
      <c r="E256" s="2">
        <v>14400</v>
      </c>
      <c r="F256" s="147" t="s">
        <v>1</v>
      </c>
      <c r="G256" s="147" t="s">
        <v>335</v>
      </c>
      <c r="H256" s="3">
        <v>0.2</v>
      </c>
      <c r="I256" s="2">
        <f>H256*E256</f>
        <v>2880</v>
      </c>
      <c r="J256" s="147"/>
      <c r="K256" s="147"/>
      <c r="L256" s="147"/>
      <c r="M256" s="147"/>
      <c r="N256" s="5"/>
      <c r="O256" s="148"/>
    </row>
    <row r="257" spans="1:15">
      <c r="A257" s="41" t="s">
        <v>336</v>
      </c>
      <c r="B257" s="42" t="s">
        <v>337</v>
      </c>
      <c r="C257" s="139"/>
      <c r="D257" s="139"/>
      <c r="E257" s="43"/>
      <c r="F257" s="139"/>
      <c r="G257" s="139"/>
      <c r="H257" s="53"/>
      <c r="I257" s="43"/>
      <c r="J257" s="139">
        <f>SUM(I258)/SUM(E258)</f>
        <v>0.4</v>
      </c>
      <c r="K257" s="139">
        <f>SUM(E258)</f>
        <v>20000</v>
      </c>
      <c r="L257" s="139">
        <f>SUM(I258)</f>
        <v>8000</v>
      </c>
      <c r="M257" s="139">
        <f>K257+L257</f>
        <v>28000</v>
      </c>
      <c r="N257" s="42"/>
      <c r="O257" s="144"/>
    </row>
    <row r="258" spans="1:15" ht="16" thickBot="1">
      <c r="A258" s="47"/>
      <c r="B258" s="48"/>
      <c r="C258" s="141"/>
      <c r="D258" s="141"/>
      <c r="E258" s="49">
        <v>20000</v>
      </c>
      <c r="F258" s="141" t="s">
        <v>1</v>
      </c>
      <c r="G258" s="141" t="s">
        <v>75</v>
      </c>
      <c r="H258" s="94">
        <v>0.4</v>
      </c>
      <c r="I258" s="49">
        <f>H258*E258</f>
        <v>8000</v>
      </c>
      <c r="J258" s="141"/>
      <c r="K258" s="141"/>
      <c r="L258" s="141"/>
      <c r="M258" s="141"/>
      <c r="N258" s="48"/>
      <c r="O258" s="145"/>
    </row>
    <row r="259" spans="1:15">
      <c r="A259" s="41" t="s">
        <v>338</v>
      </c>
      <c r="B259" s="42" t="s">
        <v>339</v>
      </c>
      <c r="C259" s="139"/>
      <c r="D259" s="139"/>
      <c r="E259" s="43"/>
      <c r="F259" s="139"/>
      <c r="G259" s="139"/>
      <c r="H259" s="53"/>
      <c r="I259" s="43"/>
      <c r="J259" s="139">
        <f>SUM(I260)/SUM(E260)</f>
        <v>0.4</v>
      </c>
      <c r="K259" s="139">
        <f>SUM(E260)</f>
        <v>4000</v>
      </c>
      <c r="L259" s="139">
        <f>SUM(I260)</f>
        <v>1600</v>
      </c>
      <c r="M259" s="139">
        <f>K259+L259</f>
        <v>5600</v>
      </c>
      <c r="N259" s="42"/>
      <c r="O259" s="144"/>
    </row>
    <row r="260" spans="1:15" ht="16" thickBot="1">
      <c r="A260" s="47"/>
      <c r="B260" s="48"/>
      <c r="C260" s="48"/>
      <c r="D260" s="48"/>
      <c r="E260" s="49">
        <v>4000</v>
      </c>
      <c r="F260" s="48" t="s">
        <v>1</v>
      </c>
      <c r="G260" s="48" t="s">
        <v>75</v>
      </c>
      <c r="H260" s="94">
        <v>0.4</v>
      </c>
      <c r="I260" s="49">
        <f>H260*E260</f>
        <v>1600</v>
      </c>
      <c r="J260" s="48"/>
      <c r="K260" s="48"/>
      <c r="L260" s="48"/>
      <c r="M260" s="48"/>
      <c r="N260" s="48"/>
      <c r="O260" s="145"/>
    </row>
    <row r="261" spans="1:15" ht="16" thickBot="1"/>
    <row r="262" spans="1:15">
      <c r="A262" s="31" t="s">
        <v>65</v>
      </c>
      <c r="B262" s="30" t="s">
        <v>64</v>
      </c>
      <c r="C262" s="30" t="s">
        <v>63</v>
      </c>
      <c r="D262" s="30" t="s">
        <v>62</v>
      </c>
      <c r="E262" s="28" t="s">
        <v>57</v>
      </c>
      <c r="F262" s="30" t="s">
        <v>61</v>
      </c>
      <c r="G262" s="30" t="s">
        <v>60</v>
      </c>
      <c r="H262" s="29" t="s">
        <v>56</v>
      </c>
      <c r="I262" s="30" t="s">
        <v>59</v>
      </c>
      <c r="J262" s="29" t="s">
        <v>58</v>
      </c>
      <c r="K262" s="28" t="s">
        <v>57</v>
      </c>
      <c r="L262" s="28" t="s">
        <v>56</v>
      </c>
      <c r="M262" s="32" t="s">
        <v>55</v>
      </c>
      <c r="N262" s="32" t="s">
        <v>54</v>
      </c>
      <c r="O262" s="27" t="s">
        <v>53</v>
      </c>
    </row>
    <row r="263" spans="1:15" ht="16" thickBot="1">
      <c r="A263" s="33" t="s">
        <v>341</v>
      </c>
      <c r="B263" s="34" t="s">
        <v>342</v>
      </c>
      <c r="C263" s="34"/>
      <c r="D263" s="34"/>
      <c r="E263" s="35"/>
      <c r="F263" s="34"/>
      <c r="G263" s="34"/>
      <c r="H263" s="36"/>
      <c r="I263" s="34"/>
      <c r="J263" s="37">
        <f>O263/N263-1</f>
        <v>0.22215404654989213</v>
      </c>
      <c r="K263" s="38"/>
      <c r="L263" s="38"/>
      <c r="M263" s="39"/>
      <c r="N263" s="39">
        <f>SUM(K263:K289)</f>
        <v>58346</v>
      </c>
      <c r="O263" s="40">
        <f>SUM(M263:M289)</f>
        <v>71307.8</v>
      </c>
    </row>
    <row r="264" spans="1:15">
      <c r="A264" s="41" t="s">
        <v>343</v>
      </c>
      <c r="B264" s="42" t="s">
        <v>344</v>
      </c>
      <c r="C264" s="42"/>
      <c r="D264" s="42"/>
      <c r="E264" s="43"/>
      <c r="F264" s="42"/>
      <c r="G264" s="42"/>
      <c r="H264" s="117"/>
      <c r="I264" s="118"/>
      <c r="J264" s="117">
        <f>L264/K264</f>
        <v>0.19528875379939209</v>
      </c>
      <c r="K264" s="116">
        <f>SUM(E265:E269)</f>
        <v>7896</v>
      </c>
      <c r="L264" s="116">
        <f>SUM(I265:I269)</f>
        <v>1542</v>
      </c>
      <c r="M264" s="105">
        <f>SUM(K264:L264)</f>
        <v>9438</v>
      </c>
      <c r="N264" s="105"/>
      <c r="O264" s="115"/>
    </row>
    <row r="265" spans="1:15">
      <c r="A265" s="10"/>
      <c r="B265" s="6"/>
      <c r="C265" s="6" t="s">
        <v>345</v>
      </c>
      <c r="D265" s="6" t="s">
        <v>264</v>
      </c>
      <c r="E265" s="4">
        <f>45*8*12</f>
        <v>4320</v>
      </c>
      <c r="F265" s="6" t="s">
        <v>1</v>
      </c>
      <c r="G265" s="6" t="s">
        <v>346</v>
      </c>
      <c r="H265" s="9">
        <v>0.15</v>
      </c>
      <c r="I265" s="97">
        <f>H265*E265</f>
        <v>648</v>
      </c>
      <c r="J265" s="9"/>
      <c r="K265" s="4"/>
      <c r="L265" s="4"/>
      <c r="M265" s="150"/>
      <c r="N265" s="150"/>
      <c r="O265" s="8"/>
    </row>
    <row r="266" spans="1:15">
      <c r="A266" s="151"/>
      <c r="B266" s="61"/>
      <c r="C266" s="61" t="s">
        <v>347</v>
      </c>
      <c r="D266" s="61" t="s">
        <v>348</v>
      </c>
      <c r="E266" s="76">
        <f>98*12</f>
        <v>1176</v>
      </c>
      <c r="F266" s="6" t="s">
        <v>1</v>
      </c>
      <c r="G266" s="98" t="s">
        <v>349</v>
      </c>
      <c r="H266" s="9">
        <v>0.25</v>
      </c>
      <c r="I266" s="97">
        <f t="shared" ref="I266:I289" si="8">H266*E266</f>
        <v>294</v>
      </c>
      <c r="J266" s="9"/>
      <c r="K266" s="4"/>
      <c r="L266" s="4"/>
      <c r="M266" s="150"/>
      <c r="N266" s="150"/>
      <c r="O266" s="8"/>
    </row>
    <row r="267" spans="1:15">
      <c r="A267" s="151"/>
      <c r="B267" s="61"/>
      <c r="C267" s="61" t="s">
        <v>350</v>
      </c>
      <c r="D267" s="61" t="s">
        <v>351</v>
      </c>
      <c r="E267" s="76">
        <f>50*12</f>
        <v>600</v>
      </c>
      <c r="F267" s="6" t="s">
        <v>1</v>
      </c>
      <c r="G267" s="61" t="s">
        <v>352</v>
      </c>
      <c r="H267" s="9">
        <v>0.25</v>
      </c>
      <c r="I267" s="97">
        <f t="shared" si="8"/>
        <v>150</v>
      </c>
      <c r="J267" s="9"/>
      <c r="K267" s="4"/>
      <c r="L267" s="4"/>
      <c r="M267" s="150"/>
      <c r="N267" s="150"/>
      <c r="O267" s="8"/>
    </row>
    <row r="268" spans="1:15">
      <c r="A268" s="151"/>
      <c r="B268" s="61"/>
      <c r="C268" s="61" t="s">
        <v>353</v>
      </c>
      <c r="D268" s="61" t="s">
        <v>354</v>
      </c>
      <c r="E268" s="76">
        <f>100*12</f>
        <v>1200</v>
      </c>
      <c r="F268" s="6" t="s">
        <v>1</v>
      </c>
      <c r="G268" s="61" t="s">
        <v>352</v>
      </c>
      <c r="H268" s="9">
        <v>0.25</v>
      </c>
      <c r="I268" s="97">
        <f t="shared" si="8"/>
        <v>300</v>
      </c>
      <c r="J268" s="9"/>
      <c r="K268" s="4"/>
      <c r="L268" s="4"/>
      <c r="M268" s="150"/>
      <c r="N268" s="150"/>
      <c r="O268" s="8"/>
    </row>
    <row r="269" spans="1:15" ht="16" thickBot="1">
      <c r="A269" s="151"/>
      <c r="B269" s="61"/>
      <c r="C269" s="61" t="s">
        <v>355</v>
      </c>
      <c r="D269" s="61" t="s">
        <v>356</v>
      </c>
      <c r="E269" s="76">
        <f>50*12</f>
        <v>600</v>
      </c>
      <c r="F269" s="6" t="s">
        <v>1</v>
      </c>
      <c r="G269" s="61" t="s">
        <v>352</v>
      </c>
      <c r="H269" s="143">
        <v>0.25</v>
      </c>
      <c r="I269" s="152">
        <f t="shared" si="8"/>
        <v>150</v>
      </c>
      <c r="J269" s="143"/>
      <c r="K269" s="76"/>
      <c r="L269" s="76"/>
      <c r="M269" s="153"/>
      <c r="N269" s="153"/>
      <c r="O269" s="154"/>
    </row>
    <row r="270" spans="1:15">
      <c r="A270" s="41" t="s">
        <v>357</v>
      </c>
      <c r="B270" s="42" t="s">
        <v>358</v>
      </c>
      <c r="C270" s="42"/>
      <c r="D270" s="42"/>
      <c r="E270" s="43"/>
      <c r="F270" s="42"/>
      <c r="G270" s="42"/>
      <c r="H270" s="155"/>
      <c r="I270" s="156"/>
      <c r="J270" s="117">
        <f>L270/K270</f>
        <v>0.2</v>
      </c>
      <c r="K270" s="157">
        <f>SUM(E271:E273)</f>
        <v>16000</v>
      </c>
      <c r="L270" s="157">
        <f>SUM(I271:I273)</f>
        <v>3200</v>
      </c>
      <c r="M270" s="105">
        <f>SUM(K270:L270)</f>
        <v>19200</v>
      </c>
      <c r="N270" s="158"/>
      <c r="O270" s="159"/>
    </row>
    <row r="271" spans="1:15">
      <c r="A271" s="54"/>
      <c r="B271" s="55"/>
      <c r="C271" s="6" t="s">
        <v>359</v>
      </c>
      <c r="D271" s="6"/>
      <c r="E271" s="72">
        <v>2000</v>
      </c>
      <c r="F271" s="55" t="s">
        <v>1</v>
      </c>
      <c r="G271" s="61" t="s">
        <v>27</v>
      </c>
      <c r="H271" s="9">
        <v>0.2</v>
      </c>
      <c r="I271" s="97">
        <f t="shared" si="8"/>
        <v>400</v>
      </c>
      <c r="J271" s="9"/>
      <c r="K271" s="4"/>
      <c r="L271" s="4"/>
      <c r="M271" s="150"/>
      <c r="N271" s="150"/>
      <c r="O271" s="8"/>
    </row>
    <row r="272" spans="1:15">
      <c r="A272" s="10"/>
      <c r="B272" s="6"/>
      <c r="C272" s="6" t="s">
        <v>360</v>
      </c>
      <c r="D272" s="6"/>
      <c r="E272" s="4">
        <v>10000</v>
      </c>
      <c r="F272" s="6" t="s">
        <v>1</v>
      </c>
      <c r="G272" s="61" t="s">
        <v>27</v>
      </c>
      <c r="H272" s="143">
        <v>0.2</v>
      </c>
      <c r="I272" s="152">
        <f t="shared" si="8"/>
        <v>2000</v>
      </c>
      <c r="J272" s="143"/>
      <c r="K272" s="76"/>
      <c r="L272" s="76"/>
      <c r="M272" s="153"/>
      <c r="N272" s="153"/>
      <c r="O272" s="154"/>
    </row>
    <row r="273" spans="1:15" ht="16" thickBot="1">
      <c r="A273" s="10"/>
      <c r="B273" s="6"/>
      <c r="C273" s="61" t="s">
        <v>361</v>
      </c>
      <c r="D273" s="61"/>
      <c r="E273" s="76">
        <v>4000</v>
      </c>
      <c r="F273" s="6" t="s">
        <v>1</v>
      </c>
      <c r="G273" s="61" t="s">
        <v>352</v>
      </c>
      <c r="H273" s="143">
        <v>0.2</v>
      </c>
      <c r="I273" s="152">
        <f t="shared" si="8"/>
        <v>800</v>
      </c>
      <c r="J273" s="143"/>
      <c r="K273" s="76"/>
      <c r="L273" s="76"/>
      <c r="M273" s="153"/>
      <c r="N273" s="153"/>
      <c r="O273" s="154"/>
    </row>
    <row r="274" spans="1:15">
      <c r="A274" s="41" t="s">
        <v>362</v>
      </c>
      <c r="B274" s="42" t="s">
        <v>363</v>
      </c>
      <c r="C274" s="42"/>
      <c r="D274" s="42"/>
      <c r="E274" s="43"/>
      <c r="F274" s="42"/>
      <c r="G274" s="42"/>
      <c r="H274" s="155"/>
      <c r="I274" s="156"/>
      <c r="J274" s="117">
        <f>L274/K274</f>
        <v>0.15</v>
      </c>
      <c r="K274" s="157">
        <f>SUM(E275)</f>
        <v>5022</v>
      </c>
      <c r="L274" s="157">
        <f>SUM(I275)</f>
        <v>753.3</v>
      </c>
      <c r="M274" s="105">
        <f>SUM(K274:L274)</f>
        <v>5775.3</v>
      </c>
      <c r="N274" s="158"/>
      <c r="O274" s="159"/>
    </row>
    <row r="275" spans="1:15" ht="16" thickBot="1">
      <c r="A275" s="7"/>
      <c r="B275" s="5"/>
      <c r="C275" s="5" t="s">
        <v>364</v>
      </c>
      <c r="D275" s="5" t="s">
        <v>365</v>
      </c>
      <c r="E275" s="2">
        <v>5022</v>
      </c>
      <c r="F275" s="5" t="s">
        <v>1</v>
      </c>
      <c r="G275" s="45" t="s">
        <v>366</v>
      </c>
      <c r="H275" s="143">
        <v>0.15</v>
      </c>
      <c r="I275" s="152">
        <f t="shared" si="8"/>
        <v>753.3</v>
      </c>
      <c r="J275" s="143"/>
      <c r="K275" s="76"/>
      <c r="L275" s="76"/>
      <c r="M275" s="153"/>
      <c r="N275" s="153"/>
      <c r="O275" s="154"/>
    </row>
    <row r="276" spans="1:15">
      <c r="A276" s="41" t="s">
        <v>367</v>
      </c>
      <c r="B276" s="42" t="s">
        <v>368</v>
      </c>
      <c r="C276" s="42"/>
      <c r="D276" s="42"/>
      <c r="E276" s="43"/>
      <c r="F276" s="42"/>
      <c r="G276" s="42"/>
      <c r="H276" s="155"/>
      <c r="I276" s="156"/>
      <c r="J276" s="117">
        <f>L276/K276</f>
        <v>0.2609726936130824</v>
      </c>
      <c r="K276" s="157">
        <f>SUM(E277:E286)</f>
        <v>25928</v>
      </c>
      <c r="L276" s="157">
        <f>SUM(I277:I286)</f>
        <v>6766.5</v>
      </c>
      <c r="M276" s="105">
        <f>SUM(K276:L276)</f>
        <v>32694.5</v>
      </c>
      <c r="N276" s="158"/>
      <c r="O276" s="159"/>
    </row>
    <row r="277" spans="1:15">
      <c r="A277" s="160"/>
      <c r="B277" s="161"/>
      <c r="C277" s="161" t="s">
        <v>369</v>
      </c>
      <c r="D277" s="161" t="s">
        <v>370</v>
      </c>
      <c r="E277" s="79">
        <v>2000</v>
      </c>
      <c r="F277" s="6" t="s">
        <v>1</v>
      </c>
      <c r="G277" s="161" t="s">
        <v>27</v>
      </c>
      <c r="H277" s="9">
        <v>0.2</v>
      </c>
      <c r="I277" s="97">
        <f t="shared" si="8"/>
        <v>400</v>
      </c>
      <c r="J277" s="9"/>
      <c r="K277" s="4"/>
      <c r="L277" s="4"/>
      <c r="M277" s="150"/>
      <c r="N277" s="150"/>
      <c r="O277" s="8"/>
    </row>
    <row r="278" spans="1:15">
      <c r="A278" s="10"/>
      <c r="B278" s="6"/>
      <c r="C278" s="61" t="s">
        <v>353</v>
      </c>
      <c r="D278" s="61" t="s">
        <v>354</v>
      </c>
      <c r="E278" s="76">
        <f>100</f>
        <v>100</v>
      </c>
      <c r="F278" s="6" t="s">
        <v>1</v>
      </c>
      <c r="G278" s="6"/>
      <c r="H278" s="9">
        <v>0.25</v>
      </c>
      <c r="I278" s="97">
        <f t="shared" si="8"/>
        <v>25</v>
      </c>
      <c r="J278" s="9"/>
      <c r="K278" s="4"/>
      <c r="L278" s="4"/>
      <c r="M278" s="150"/>
      <c r="N278" s="150"/>
      <c r="O278" s="8"/>
    </row>
    <row r="279" spans="1:15">
      <c r="A279" s="10"/>
      <c r="B279" s="6"/>
      <c r="C279" s="61" t="s">
        <v>350</v>
      </c>
      <c r="D279" s="61" t="s">
        <v>351</v>
      </c>
      <c r="E279" s="76">
        <f>50</f>
        <v>50</v>
      </c>
      <c r="F279" s="6" t="s">
        <v>1</v>
      </c>
      <c r="G279" s="6"/>
      <c r="H279" s="9">
        <v>0.25</v>
      </c>
      <c r="I279" s="97">
        <f t="shared" si="8"/>
        <v>12.5</v>
      </c>
      <c r="J279" s="9"/>
      <c r="K279" s="4"/>
      <c r="L279" s="4"/>
      <c r="M279" s="150"/>
      <c r="N279" s="150"/>
      <c r="O279" s="8"/>
    </row>
    <row r="280" spans="1:15">
      <c r="A280" s="10"/>
      <c r="B280" s="6"/>
      <c r="C280" s="6" t="s">
        <v>345</v>
      </c>
      <c r="D280" s="6" t="s">
        <v>264</v>
      </c>
      <c r="E280" s="4">
        <f>45*4</f>
        <v>180</v>
      </c>
      <c r="F280" s="6" t="s">
        <v>1</v>
      </c>
      <c r="G280" s="6" t="s">
        <v>371</v>
      </c>
      <c r="H280" s="9">
        <v>0.15</v>
      </c>
      <c r="I280" s="97">
        <f t="shared" si="8"/>
        <v>27</v>
      </c>
      <c r="J280" s="9"/>
      <c r="K280" s="4"/>
      <c r="L280" s="4"/>
      <c r="M280" s="150"/>
      <c r="N280" s="150"/>
      <c r="O280" s="8"/>
    </row>
    <row r="281" spans="1:15">
      <c r="A281" s="10"/>
      <c r="B281" s="6"/>
      <c r="C281" s="61" t="s">
        <v>347</v>
      </c>
      <c r="D281" s="61" t="s">
        <v>348</v>
      </c>
      <c r="E281" s="76">
        <f>98</f>
        <v>98</v>
      </c>
      <c r="F281" s="6" t="s">
        <v>1</v>
      </c>
      <c r="G281" s="98" t="s">
        <v>372</v>
      </c>
      <c r="H281" s="9">
        <v>0.25</v>
      </c>
      <c r="I281" s="97">
        <f t="shared" si="8"/>
        <v>24.5</v>
      </c>
      <c r="J281" s="9"/>
      <c r="K281" s="4"/>
      <c r="L281" s="4"/>
      <c r="M281" s="150"/>
      <c r="N281" s="150"/>
      <c r="O281" s="8"/>
    </row>
    <row r="282" spans="1:15">
      <c r="A282" s="151"/>
      <c r="B282" s="61"/>
      <c r="C282" s="61" t="s">
        <v>355</v>
      </c>
      <c r="D282" s="61" t="s">
        <v>356</v>
      </c>
      <c r="E282" s="76">
        <v>50</v>
      </c>
      <c r="F282" s="6" t="s">
        <v>1</v>
      </c>
      <c r="G282" s="61"/>
      <c r="H282" s="9">
        <v>0.25</v>
      </c>
      <c r="I282" s="97">
        <f t="shared" si="8"/>
        <v>12.5</v>
      </c>
      <c r="J282" s="9"/>
      <c r="K282" s="4"/>
      <c r="L282" s="4"/>
      <c r="M282" s="150"/>
      <c r="N282" s="150"/>
      <c r="O282" s="8"/>
    </row>
    <row r="283" spans="1:15">
      <c r="A283" s="151"/>
      <c r="B283" s="61"/>
      <c r="C283" s="61" t="s">
        <v>373</v>
      </c>
      <c r="D283" s="61" t="s">
        <v>370</v>
      </c>
      <c r="E283" s="76">
        <v>2000</v>
      </c>
      <c r="F283" s="6" t="s">
        <v>1</v>
      </c>
      <c r="G283" s="61"/>
      <c r="H283" s="9">
        <v>0.2</v>
      </c>
      <c r="I283" s="97">
        <f t="shared" si="8"/>
        <v>400</v>
      </c>
      <c r="J283" s="9"/>
      <c r="K283" s="4"/>
      <c r="L283" s="4"/>
      <c r="M283" s="150"/>
      <c r="N283" s="150"/>
      <c r="O283" s="8"/>
    </row>
    <row r="284" spans="1:15">
      <c r="A284" s="151"/>
      <c r="B284" s="61"/>
      <c r="C284" s="61" t="s">
        <v>374</v>
      </c>
      <c r="D284" s="61" t="s">
        <v>370</v>
      </c>
      <c r="E284" s="76">
        <f>300*25</f>
        <v>7500</v>
      </c>
      <c r="F284" s="6" t="s">
        <v>1</v>
      </c>
      <c r="G284" s="61" t="s">
        <v>375</v>
      </c>
      <c r="H284" s="9">
        <v>0.25</v>
      </c>
      <c r="I284" s="97">
        <f t="shared" si="8"/>
        <v>1875</v>
      </c>
      <c r="J284" s="9"/>
      <c r="K284" s="4"/>
      <c r="L284" s="4"/>
      <c r="M284" s="150"/>
      <c r="N284" s="150"/>
      <c r="O284" s="8"/>
    </row>
    <row r="285" spans="1:15">
      <c r="A285" s="151"/>
      <c r="B285" s="61"/>
      <c r="C285" s="61" t="s">
        <v>376</v>
      </c>
      <c r="D285" s="61" t="s">
        <v>377</v>
      </c>
      <c r="E285" s="76">
        <v>7950</v>
      </c>
      <c r="F285" s="6" t="s">
        <v>1</v>
      </c>
      <c r="G285" s="162" t="s">
        <v>378</v>
      </c>
      <c r="H285" s="9">
        <v>0.2</v>
      </c>
      <c r="I285" s="97">
        <f t="shared" si="8"/>
        <v>1590</v>
      </c>
      <c r="J285" s="9"/>
      <c r="K285" s="4"/>
      <c r="L285" s="4"/>
      <c r="M285" s="150"/>
      <c r="N285" s="150"/>
      <c r="O285" s="8"/>
    </row>
    <row r="286" spans="1:15" ht="16" thickBot="1">
      <c r="A286" s="7"/>
      <c r="B286" s="5"/>
      <c r="C286" s="5" t="s">
        <v>379</v>
      </c>
      <c r="D286" s="5" t="s">
        <v>380</v>
      </c>
      <c r="E286" s="2">
        <v>6000</v>
      </c>
      <c r="F286" s="5" t="s">
        <v>1</v>
      </c>
      <c r="G286" s="5" t="s">
        <v>27</v>
      </c>
      <c r="H286" s="143">
        <v>0.4</v>
      </c>
      <c r="I286" s="152">
        <f t="shared" si="8"/>
        <v>2400</v>
      </c>
      <c r="J286" s="143"/>
      <c r="K286" s="76"/>
      <c r="L286" s="76"/>
      <c r="M286" s="153"/>
      <c r="N286" s="153"/>
      <c r="O286" s="154"/>
    </row>
    <row r="287" spans="1:15">
      <c r="A287" s="41" t="s">
        <v>381</v>
      </c>
      <c r="B287" s="42" t="s">
        <v>382</v>
      </c>
      <c r="C287" s="42"/>
      <c r="D287" s="42"/>
      <c r="E287" s="43"/>
      <c r="F287" s="42"/>
      <c r="G287" s="42"/>
      <c r="H287" s="155"/>
      <c r="I287" s="156"/>
      <c r="J287" s="117">
        <f>L287/K287</f>
        <v>0.2</v>
      </c>
      <c r="K287" s="157">
        <f>SUM(E288:E289)</f>
        <v>3500</v>
      </c>
      <c r="L287" s="157">
        <f>SUM(I288:I289)</f>
        <v>700</v>
      </c>
      <c r="M287" s="105">
        <f>SUM(K287:L287)</f>
        <v>4200</v>
      </c>
      <c r="N287" s="158"/>
      <c r="O287" s="159"/>
    </row>
    <row r="288" spans="1:15">
      <c r="A288" s="54"/>
      <c r="B288" s="55"/>
      <c r="C288" s="55" t="s">
        <v>383</v>
      </c>
      <c r="D288" s="55"/>
      <c r="E288" s="72">
        <v>1000</v>
      </c>
      <c r="F288" s="55" t="s">
        <v>1</v>
      </c>
      <c r="G288" s="55" t="s">
        <v>27</v>
      </c>
      <c r="H288" s="9">
        <v>0.2</v>
      </c>
      <c r="I288" s="97">
        <f t="shared" si="8"/>
        <v>200</v>
      </c>
      <c r="J288" s="9"/>
      <c r="K288" s="4"/>
      <c r="L288" s="4"/>
      <c r="M288" s="150"/>
      <c r="N288" s="150"/>
      <c r="O288" s="8"/>
    </row>
    <row r="289" spans="1:15" ht="16" thickBot="1">
      <c r="A289" s="7"/>
      <c r="B289" s="5"/>
      <c r="C289" s="5" t="s">
        <v>384</v>
      </c>
      <c r="D289" s="5"/>
      <c r="E289" s="2">
        <v>2500</v>
      </c>
      <c r="F289" s="5" t="s">
        <v>1</v>
      </c>
      <c r="G289" s="5" t="s">
        <v>27</v>
      </c>
      <c r="H289" s="3">
        <v>0.2</v>
      </c>
      <c r="I289" s="46">
        <f t="shared" si="8"/>
        <v>500</v>
      </c>
      <c r="J289" s="3"/>
      <c r="K289" s="2"/>
      <c r="L289" s="2"/>
      <c r="M289" s="163"/>
      <c r="N289" s="163"/>
      <c r="O289" s="1"/>
    </row>
    <row r="290" spans="1:15" ht="16" thickBot="1"/>
    <row r="291" spans="1:15">
      <c r="A291" s="31" t="s">
        <v>65</v>
      </c>
      <c r="B291" s="30" t="s">
        <v>64</v>
      </c>
      <c r="C291" s="30" t="s">
        <v>63</v>
      </c>
      <c r="D291" s="30" t="s">
        <v>62</v>
      </c>
      <c r="E291" s="28" t="s">
        <v>57</v>
      </c>
      <c r="F291" s="30" t="s">
        <v>61</v>
      </c>
      <c r="G291" s="30" t="s">
        <v>60</v>
      </c>
      <c r="H291" s="29" t="s">
        <v>56</v>
      </c>
      <c r="I291" s="30" t="s">
        <v>59</v>
      </c>
      <c r="J291" s="29" t="s">
        <v>58</v>
      </c>
      <c r="K291" s="28" t="s">
        <v>57</v>
      </c>
      <c r="L291" s="28" t="s">
        <v>56</v>
      </c>
      <c r="M291" s="32" t="s">
        <v>55</v>
      </c>
      <c r="N291" s="32" t="s">
        <v>54</v>
      </c>
      <c r="O291" s="27" t="s">
        <v>53</v>
      </c>
    </row>
    <row r="292" spans="1:15" ht="16" thickBot="1">
      <c r="A292" s="33" t="s">
        <v>385</v>
      </c>
      <c r="B292" s="34" t="s">
        <v>386</v>
      </c>
      <c r="C292" s="34"/>
      <c r="D292" s="34"/>
      <c r="E292" s="35"/>
      <c r="F292" s="34"/>
      <c r="G292" s="34"/>
      <c r="H292" s="36"/>
      <c r="I292" s="34"/>
      <c r="J292" s="37">
        <f>O292/N292-1</f>
        <v>0.24299732381801964</v>
      </c>
      <c r="K292" s="38"/>
      <c r="L292" s="38"/>
      <c r="M292" s="39"/>
      <c r="N292" s="39">
        <f>SUM(K292:K306)</f>
        <v>22420</v>
      </c>
      <c r="O292" s="40">
        <f>SUM(M292:M306)</f>
        <v>27868</v>
      </c>
    </row>
    <row r="293" spans="1:15">
      <c r="A293" s="41" t="s">
        <v>387</v>
      </c>
      <c r="B293" s="42" t="s">
        <v>388</v>
      </c>
      <c r="C293" s="42"/>
      <c r="D293" s="42"/>
      <c r="E293" s="43"/>
      <c r="F293" s="42"/>
      <c r="G293" s="42"/>
      <c r="H293" s="117"/>
      <c r="I293" s="118"/>
      <c r="J293" s="117">
        <f>L293/K293</f>
        <v>0.19545454545454546</v>
      </c>
      <c r="K293" s="116">
        <f>SUM(E294:E298)</f>
        <v>7920</v>
      </c>
      <c r="L293" s="116">
        <f>SUM(I294:I298)</f>
        <v>1548</v>
      </c>
      <c r="M293" s="105">
        <f>SUM(K293:L293)</f>
        <v>9468</v>
      </c>
      <c r="N293" s="105"/>
      <c r="O293" s="115"/>
    </row>
    <row r="294" spans="1:15">
      <c r="A294" s="10"/>
      <c r="B294" s="6"/>
      <c r="C294" s="6" t="s">
        <v>345</v>
      </c>
      <c r="D294" s="6" t="s">
        <v>264</v>
      </c>
      <c r="E294" s="4">
        <f>45*8*12</f>
        <v>4320</v>
      </c>
      <c r="F294" s="6" t="s">
        <v>1</v>
      </c>
      <c r="G294" s="6" t="s">
        <v>346</v>
      </c>
      <c r="H294" s="9">
        <v>0.15</v>
      </c>
      <c r="I294" s="97">
        <f>H294*E294</f>
        <v>648</v>
      </c>
      <c r="J294" s="9"/>
      <c r="K294" s="4"/>
      <c r="L294" s="4"/>
      <c r="M294" s="150"/>
      <c r="N294" s="150"/>
      <c r="O294" s="8"/>
    </row>
    <row r="295" spans="1:15">
      <c r="A295" s="151"/>
      <c r="B295" s="61"/>
      <c r="C295" s="61" t="s">
        <v>347</v>
      </c>
      <c r="D295" s="61" t="s">
        <v>348</v>
      </c>
      <c r="E295" s="76">
        <f>100*12</f>
        <v>1200</v>
      </c>
      <c r="F295" s="6" t="s">
        <v>1</v>
      </c>
      <c r="G295" s="98" t="s">
        <v>349</v>
      </c>
      <c r="H295" s="9">
        <v>0.25</v>
      </c>
      <c r="I295" s="97">
        <f t="shared" ref="I295:I306" si="9">H295*E295</f>
        <v>300</v>
      </c>
      <c r="J295" s="9"/>
      <c r="K295" s="4"/>
      <c r="L295" s="4"/>
      <c r="M295" s="150"/>
      <c r="N295" s="150"/>
      <c r="O295" s="8"/>
    </row>
    <row r="296" spans="1:15">
      <c r="A296" s="151"/>
      <c r="B296" s="61"/>
      <c r="C296" s="61" t="s">
        <v>350</v>
      </c>
      <c r="D296" s="61" t="s">
        <v>351</v>
      </c>
      <c r="E296" s="76">
        <f>50*12</f>
        <v>600</v>
      </c>
      <c r="F296" s="6" t="s">
        <v>1</v>
      </c>
      <c r="G296" s="61" t="s">
        <v>352</v>
      </c>
      <c r="H296" s="9">
        <v>0.25</v>
      </c>
      <c r="I296" s="97">
        <f t="shared" si="9"/>
        <v>150</v>
      </c>
      <c r="J296" s="9"/>
      <c r="K296" s="4"/>
      <c r="L296" s="4"/>
      <c r="M296" s="150"/>
      <c r="N296" s="150"/>
      <c r="O296" s="8"/>
    </row>
    <row r="297" spans="1:15">
      <c r="A297" s="151"/>
      <c r="B297" s="61"/>
      <c r="C297" s="61" t="s">
        <v>353</v>
      </c>
      <c r="D297" s="61" t="s">
        <v>354</v>
      </c>
      <c r="E297" s="76">
        <f>100*12</f>
        <v>1200</v>
      </c>
      <c r="F297" s="6" t="s">
        <v>1</v>
      </c>
      <c r="G297" s="61" t="s">
        <v>352</v>
      </c>
      <c r="H297" s="9">
        <v>0.25</v>
      </c>
      <c r="I297" s="97">
        <f t="shared" si="9"/>
        <v>300</v>
      </c>
      <c r="J297" s="9"/>
      <c r="K297" s="4"/>
      <c r="L297" s="4"/>
      <c r="M297" s="150"/>
      <c r="N297" s="150"/>
      <c r="O297" s="8"/>
    </row>
    <row r="298" spans="1:15" ht="16" thickBot="1">
      <c r="A298" s="151"/>
      <c r="B298" s="61"/>
      <c r="C298" s="61" t="s">
        <v>355</v>
      </c>
      <c r="D298" s="61" t="s">
        <v>356</v>
      </c>
      <c r="E298" s="76">
        <f>50*12</f>
        <v>600</v>
      </c>
      <c r="F298" s="6" t="s">
        <v>1</v>
      </c>
      <c r="G298" s="61" t="s">
        <v>352</v>
      </c>
      <c r="H298" s="143">
        <v>0.25</v>
      </c>
      <c r="I298" s="152">
        <f t="shared" si="9"/>
        <v>150</v>
      </c>
      <c r="J298" s="143"/>
      <c r="K298" s="76"/>
      <c r="L298" s="76"/>
      <c r="M298" s="153"/>
      <c r="N298" s="153"/>
      <c r="O298" s="154"/>
    </row>
    <row r="299" spans="1:15">
      <c r="A299" s="41" t="s">
        <v>389</v>
      </c>
      <c r="B299" s="42" t="s">
        <v>390</v>
      </c>
      <c r="C299" s="42"/>
      <c r="D299" s="42"/>
      <c r="E299" s="43"/>
      <c r="F299" s="42"/>
      <c r="G299" s="42"/>
      <c r="H299" s="155"/>
      <c r="I299" s="156"/>
      <c r="J299" s="117">
        <f>L299/K299</f>
        <v>0.2</v>
      </c>
      <c r="K299" s="157">
        <f>SUM(E300:E301)</f>
        <v>6000</v>
      </c>
      <c r="L299" s="157">
        <f>SUM(I300:I301)</f>
        <v>1200</v>
      </c>
      <c r="M299" s="105">
        <f>SUM(K299:L299)</f>
        <v>7200</v>
      </c>
      <c r="N299" s="158"/>
      <c r="O299" s="159"/>
    </row>
    <row r="300" spans="1:15">
      <c r="A300" s="54"/>
      <c r="B300" s="55"/>
      <c r="C300" s="55" t="s">
        <v>359</v>
      </c>
      <c r="D300" s="55"/>
      <c r="E300" s="72">
        <v>2000</v>
      </c>
      <c r="F300" s="55" t="s">
        <v>1</v>
      </c>
      <c r="G300" s="61" t="s">
        <v>27</v>
      </c>
      <c r="H300" s="9">
        <v>0.2</v>
      </c>
      <c r="I300" s="97">
        <f t="shared" si="9"/>
        <v>400</v>
      </c>
      <c r="J300" s="9"/>
      <c r="K300" s="4"/>
      <c r="L300" s="4"/>
      <c r="M300" s="150"/>
      <c r="N300" s="150"/>
      <c r="O300" s="8"/>
    </row>
    <row r="301" spans="1:15" ht="16" thickBot="1">
      <c r="A301" s="10"/>
      <c r="B301" s="6"/>
      <c r="C301" s="61" t="s">
        <v>361</v>
      </c>
      <c r="D301" s="61"/>
      <c r="E301" s="76">
        <v>4000</v>
      </c>
      <c r="F301" s="61" t="s">
        <v>1</v>
      </c>
      <c r="G301" s="61" t="s">
        <v>27</v>
      </c>
      <c r="H301" s="143">
        <v>0.2</v>
      </c>
      <c r="I301" s="152">
        <f t="shared" si="9"/>
        <v>800</v>
      </c>
      <c r="J301" s="143"/>
      <c r="K301" s="76"/>
      <c r="L301" s="76"/>
      <c r="M301" s="153"/>
      <c r="N301" s="153"/>
      <c r="O301" s="154"/>
    </row>
    <row r="302" spans="1:15">
      <c r="A302" s="41" t="s">
        <v>391</v>
      </c>
      <c r="B302" s="164" t="s">
        <v>392</v>
      </c>
      <c r="C302" s="165"/>
      <c r="D302" s="42"/>
      <c r="E302" s="43"/>
      <c r="F302" s="42"/>
      <c r="G302" s="42"/>
      <c r="H302" s="155"/>
      <c r="I302" s="156"/>
      <c r="J302" s="117">
        <f>L302/K302</f>
        <v>0.4</v>
      </c>
      <c r="K302" s="157">
        <f>SUM(E303)</f>
        <v>5000</v>
      </c>
      <c r="L302" s="157">
        <f>SUM(I303)</f>
        <v>2000</v>
      </c>
      <c r="M302" s="105">
        <f>SUM(K302:L302)</f>
        <v>7000</v>
      </c>
      <c r="N302" s="158"/>
      <c r="O302" s="159"/>
    </row>
    <row r="303" spans="1:15" ht="16" thickBot="1">
      <c r="A303" s="160"/>
      <c r="B303" s="161"/>
      <c r="C303" s="5" t="s">
        <v>393</v>
      </c>
      <c r="D303" s="5"/>
      <c r="E303" s="2">
        <v>5000</v>
      </c>
      <c r="F303" s="5" t="s">
        <v>1</v>
      </c>
      <c r="G303" s="5" t="s">
        <v>27</v>
      </c>
      <c r="H303" s="143">
        <v>0.4</v>
      </c>
      <c r="I303" s="152">
        <f t="shared" si="9"/>
        <v>2000</v>
      </c>
      <c r="J303" s="143"/>
      <c r="K303" s="76"/>
      <c r="L303" s="76"/>
      <c r="M303" s="153"/>
      <c r="N303" s="153"/>
      <c r="O303" s="154"/>
    </row>
    <row r="304" spans="1:15">
      <c r="A304" s="41" t="s">
        <v>394</v>
      </c>
      <c r="B304" s="42" t="s">
        <v>395</v>
      </c>
      <c r="C304" s="42"/>
      <c r="D304" s="42"/>
      <c r="E304" s="43"/>
      <c r="F304" s="42"/>
      <c r="G304" s="42"/>
      <c r="H304" s="155"/>
      <c r="I304" s="156"/>
      <c r="J304" s="117">
        <f>L304/K304</f>
        <v>0.2</v>
      </c>
      <c r="K304" s="157">
        <f>SUM(E305:E306)</f>
        <v>3500</v>
      </c>
      <c r="L304" s="157">
        <f>SUM(I305:I306)</f>
        <v>700</v>
      </c>
      <c r="M304" s="105">
        <f>SUM(K304:L304)</f>
        <v>4200</v>
      </c>
      <c r="N304" s="158"/>
      <c r="O304" s="159"/>
    </row>
    <row r="305" spans="1:15">
      <c r="A305" s="54"/>
      <c r="B305" s="55"/>
      <c r="C305" s="55" t="s">
        <v>383</v>
      </c>
      <c r="D305" s="55"/>
      <c r="E305" s="72">
        <v>1000</v>
      </c>
      <c r="F305" s="55" t="s">
        <v>1</v>
      </c>
      <c r="G305" s="55" t="s">
        <v>27</v>
      </c>
      <c r="H305" s="9">
        <v>0.2</v>
      </c>
      <c r="I305" s="97">
        <f t="shared" si="9"/>
        <v>200</v>
      </c>
      <c r="J305" s="9"/>
      <c r="K305" s="4"/>
      <c r="L305" s="4"/>
      <c r="M305" s="150"/>
      <c r="N305" s="150"/>
      <c r="O305" s="8"/>
    </row>
    <row r="306" spans="1:15" ht="16" thickBot="1">
      <c r="A306" s="7"/>
      <c r="B306" s="5"/>
      <c r="C306" s="5" t="s">
        <v>384</v>
      </c>
      <c r="D306" s="5"/>
      <c r="E306" s="2">
        <v>2500</v>
      </c>
      <c r="F306" s="5" t="s">
        <v>1</v>
      </c>
      <c r="G306" s="5" t="s">
        <v>27</v>
      </c>
      <c r="H306" s="3">
        <v>0.2</v>
      </c>
      <c r="I306" s="46">
        <f t="shared" si="9"/>
        <v>500</v>
      </c>
      <c r="J306" s="3"/>
      <c r="K306" s="2"/>
      <c r="L306" s="2"/>
      <c r="M306" s="163"/>
      <c r="N306" s="163"/>
      <c r="O306" s="1"/>
    </row>
    <row r="307" spans="1:15" ht="16" thickBot="1"/>
    <row r="308" spans="1:15">
      <c r="A308" s="31" t="s">
        <v>65</v>
      </c>
      <c r="B308" s="30" t="s">
        <v>64</v>
      </c>
      <c r="C308" s="30" t="s">
        <v>63</v>
      </c>
      <c r="D308" s="30" t="s">
        <v>62</v>
      </c>
      <c r="E308" s="28" t="s">
        <v>57</v>
      </c>
      <c r="F308" s="30" t="s">
        <v>61</v>
      </c>
      <c r="G308" s="30" t="s">
        <v>60</v>
      </c>
      <c r="H308" s="29" t="s">
        <v>56</v>
      </c>
      <c r="I308" s="30" t="s">
        <v>59</v>
      </c>
      <c r="J308" s="29" t="s">
        <v>58</v>
      </c>
      <c r="K308" s="28" t="s">
        <v>57</v>
      </c>
      <c r="L308" s="28" t="s">
        <v>56</v>
      </c>
      <c r="M308" s="32" t="s">
        <v>55</v>
      </c>
      <c r="N308" s="32" t="s">
        <v>54</v>
      </c>
      <c r="O308" s="27" t="s">
        <v>53</v>
      </c>
    </row>
    <row r="309" spans="1:15" ht="16" thickBot="1">
      <c r="A309" s="33" t="s">
        <v>396</v>
      </c>
      <c r="B309" s="34" t="s">
        <v>397</v>
      </c>
      <c r="C309" s="34"/>
      <c r="D309" s="34"/>
      <c r="E309" s="35"/>
      <c r="F309" s="34"/>
      <c r="G309" s="34"/>
      <c r="H309" s="36"/>
      <c r="I309" s="34"/>
      <c r="J309" s="37">
        <f>O309/N309-1</f>
        <v>0.18573709380383763</v>
      </c>
      <c r="K309" s="38"/>
      <c r="L309" s="38"/>
      <c r="M309" s="39"/>
      <c r="N309" s="39">
        <f>SUM(K309:K323)</f>
        <v>807984</v>
      </c>
      <c r="O309" s="40">
        <f>SUM(M309:M323)</f>
        <v>958056.6</v>
      </c>
    </row>
    <row r="310" spans="1:15">
      <c r="A310" s="41" t="s">
        <v>398</v>
      </c>
      <c r="B310" s="42" t="s">
        <v>399</v>
      </c>
      <c r="C310" s="42"/>
      <c r="D310" s="42"/>
      <c r="E310" s="43"/>
      <c r="F310" s="42"/>
      <c r="G310" s="42"/>
      <c r="H310" s="117"/>
      <c r="I310" s="118"/>
      <c r="J310" s="117">
        <f>L310/K310</f>
        <v>0.18906249999999999</v>
      </c>
      <c r="K310" s="116">
        <f>SUM(E311:E315)</f>
        <v>576000</v>
      </c>
      <c r="L310" s="116">
        <f>SUM(I311:I315)</f>
        <v>108900</v>
      </c>
      <c r="M310" s="105">
        <f>SUM(K310:L310)</f>
        <v>684900</v>
      </c>
      <c r="N310" s="105"/>
      <c r="O310" s="115"/>
    </row>
    <row r="311" spans="1:15">
      <c r="A311" s="10"/>
      <c r="B311" s="6"/>
      <c r="C311" s="6" t="s">
        <v>345</v>
      </c>
      <c r="D311" s="6" t="s">
        <v>264</v>
      </c>
      <c r="E311" s="4">
        <f>45*8*600*1.625</f>
        <v>351000</v>
      </c>
      <c r="F311" s="6" t="s">
        <v>1</v>
      </c>
      <c r="G311" s="6" t="s">
        <v>475</v>
      </c>
      <c r="H311" s="9">
        <v>0.15</v>
      </c>
      <c r="I311" s="97">
        <f>H311*E311</f>
        <v>52650</v>
      </c>
      <c r="J311" s="9"/>
      <c r="K311" s="4"/>
      <c r="L311" s="4"/>
      <c r="M311" s="150"/>
      <c r="N311" s="150"/>
      <c r="O311" s="8"/>
    </row>
    <row r="312" spans="1:15">
      <c r="A312" s="151"/>
      <c r="B312" s="61"/>
      <c r="C312" s="61" t="s">
        <v>347</v>
      </c>
      <c r="D312" s="61" t="s">
        <v>400</v>
      </c>
      <c r="E312" s="76">
        <f>100*600*1.25</f>
        <v>75000</v>
      </c>
      <c r="F312" s="6" t="s">
        <v>1</v>
      </c>
      <c r="G312" s="162" t="s">
        <v>477</v>
      </c>
      <c r="H312" s="9">
        <v>0.25</v>
      </c>
      <c r="I312" s="97">
        <f t="shared" ref="I312:I315" si="10">H312*E312</f>
        <v>18750</v>
      </c>
      <c r="J312" s="4"/>
      <c r="K312" s="4"/>
      <c r="L312" s="4"/>
      <c r="M312" s="150"/>
      <c r="N312" s="150"/>
      <c r="O312" s="8"/>
    </row>
    <row r="313" spans="1:15">
      <c r="A313" s="151"/>
      <c r="B313" s="61"/>
      <c r="C313" s="61" t="s">
        <v>350</v>
      </c>
      <c r="D313" s="61" t="s">
        <v>351</v>
      </c>
      <c r="E313" s="76">
        <f>50*600*1.25</f>
        <v>37500</v>
      </c>
      <c r="F313" s="6" t="s">
        <v>1</v>
      </c>
      <c r="G313" s="61" t="s">
        <v>476</v>
      </c>
      <c r="H313" s="9">
        <v>0.25</v>
      </c>
      <c r="I313" s="97">
        <f t="shared" si="10"/>
        <v>9375</v>
      </c>
      <c r="J313" s="4"/>
      <c r="K313" s="4"/>
      <c r="L313" s="4"/>
      <c r="M313" s="150"/>
      <c r="N313" s="150"/>
      <c r="O313" s="8"/>
    </row>
    <row r="314" spans="1:15">
      <c r="A314" s="151"/>
      <c r="B314" s="61"/>
      <c r="C314" s="61" t="s">
        <v>353</v>
      </c>
      <c r="D314" s="61" t="s">
        <v>354</v>
      </c>
      <c r="E314" s="76">
        <f>100*600*1.25</f>
        <v>75000</v>
      </c>
      <c r="F314" s="6" t="s">
        <v>1</v>
      </c>
      <c r="G314" s="61" t="s">
        <v>478</v>
      </c>
      <c r="H314" s="9">
        <v>0.25</v>
      </c>
      <c r="I314" s="97">
        <f t="shared" si="10"/>
        <v>18750</v>
      </c>
      <c r="J314" s="4"/>
      <c r="K314" s="4"/>
      <c r="L314" s="4"/>
      <c r="M314" s="150"/>
      <c r="N314" s="150"/>
      <c r="O314" s="8"/>
    </row>
    <row r="315" spans="1:15" ht="16" thickBot="1">
      <c r="A315" s="151"/>
      <c r="B315" s="61"/>
      <c r="C315" s="61" t="s">
        <v>355</v>
      </c>
      <c r="D315" s="61" t="s">
        <v>356</v>
      </c>
      <c r="E315" s="76">
        <f>50*600*1.25</f>
        <v>37500</v>
      </c>
      <c r="F315" s="6" t="s">
        <v>1</v>
      </c>
      <c r="G315" s="61" t="s">
        <v>476</v>
      </c>
      <c r="H315" s="9">
        <v>0.25</v>
      </c>
      <c r="I315" s="97">
        <f t="shared" si="10"/>
        <v>9375</v>
      </c>
      <c r="J315" s="76"/>
      <c r="K315" s="76"/>
      <c r="L315" s="76"/>
      <c r="M315" s="153"/>
      <c r="N315" s="153"/>
      <c r="O315" s="154"/>
    </row>
    <row r="316" spans="1:15">
      <c r="A316" s="41" t="s">
        <v>401</v>
      </c>
      <c r="B316" s="42" t="s">
        <v>402</v>
      </c>
      <c r="C316" s="42"/>
      <c r="D316" s="42"/>
      <c r="E316" s="43"/>
      <c r="F316" s="42"/>
      <c r="G316" s="42"/>
      <c r="H316" s="43"/>
      <c r="I316" s="43"/>
      <c r="J316" s="117">
        <f>L316/K316</f>
        <v>0.15515092201504069</v>
      </c>
      <c r="K316" s="43">
        <f>SUM(E317:E318)</f>
        <v>116484</v>
      </c>
      <c r="L316" s="157">
        <f>SUM(I317:I318)</f>
        <v>18072.599999999999</v>
      </c>
      <c r="M316" s="105">
        <f>SUM(K316:L316)</f>
        <v>134556.6</v>
      </c>
      <c r="N316" s="158"/>
      <c r="O316" s="159"/>
    </row>
    <row r="317" spans="1:15">
      <c r="A317" s="54"/>
      <c r="B317" s="55"/>
      <c r="C317" s="166" t="s">
        <v>403</v>
      </c>
      <c r="D317" s="55" t="s">
        <v>404</v>
      </c>
      <c r="E317" s="72">
        <f>1.5*4000</f>
        <v>6000</v>
      </c>
      <c r="F317" s="55" t="s">
        <v>1</v>
      </c>
      <c r="G317" s="61" t="s">
        <v>479</v>
      </c>
      <c r="H317" s="9">
        <v>0.25</v>
      </c>
      <c r="I317" s="97">
        <f t="shared" ref="I317:I318" si="11">H317*E317</f>
        <v>1500</v>
      </c>
      <c r="J317" s="4"/>
      <c r="K317" s="4"/>
      <c r="L317" s="4"/>
      <c r="M317" s="150"/>
      <c r="N317" s="150"/>
      <c r="O317" s="8"/>
    </row>
    <row r="318" spans="1:15" ht="16" thickBot="1">
      <c r="A318" s="10"/>
      <c r="B318" s="6"/>
      <c r="C318" s="61" t="s">
        <v>405</v>
      </c>
      <c r="D318" s="61" t="s">
        <v>365</v>
      </c>
      <c r="E318" s="76">
        <f>5022*22</f>
        <v>110484</v>
      </c>
      <c r="F318" s="6" t="s">
        <v>1</v>
      </c>
      <c r="G318" s="162" t="s">
        <v>406</v>
      </c>
      <c r="H318" s="9">
        <v>0.15</v>
      </c>
      <c r="I318" s="97">
        <f t="shared" si="11"/>
        <v>16572.599999999999</v>
      </c>
      <c r="J318" s="76"/>
      <c r="K318" s="76"/>
      <c r="L318" s="76"/>
      <c r="M318" s="153"/>
      <c r="N318" s="153"/>
      <c r="O318" s="154"/>
    </row>
    <row r="319" spans="1:15">
      <c r="A319" s="41" t="s">
        <v>407</v>
      </c>
      <c r="B319" s="42" t="s">
        <v>408</v>
      </c>
      <c r="C319" s="42"/>
      <c r="D319" s="42"/>
      <c r="E319" s="43"/>
      <c r="F319" s="42"/>
      <c r="G319" s="42"/>
      <c r="H319" s="43"/>
      <c r="I319" s="43"/>
      <c r="J319" s="117">
        <f>L319/K319</f>
        <v>0.2</v>
      </c>
      <c r="K319" s="43">
        <f>SUM(E320:E323)</f>
        <v>115500</v>
      </c>
      <c r="L319" s="157">
        <f>SUM(I320:I323)</f>
        <v>23100</v>
      </c>
      <c r="M319" s="105">
        <f>SUM(K319:L319)</f>
        <v>138600</v>
      </c>
      <c r="N319" s="158"/>
      <c r="O319" s="159"/>
    </row>
    <row r="320" spans="1:15">
      <c r="A320" s="10"/>
      <c r="B320" s="6"/>
      <c r="C320" s="6" t="s">
        <v>359</v>
      </c>
      <c r="D320" s="6"/>
      <c r="E320" s="4">
        <v>2000</v>
      </c>
      <c r="F320" s="6" t="s">
        <v>1</v>
      </c>
      <c r="G320" s="6" t="s">
        <v>14</v>
      </c>
      <c r="H320" s="9">
        <v>0.2</v>
      </c>
      <c r="I320" s="97">
        <f t="shared" ref="I320:I323" si="12">H320*E320</f>
        <v>400</v>
      </c>
      <c r="J320" s="4"/>
      <c r="K320" s="4"/>
      <c r="L320" s="4"/>
      <c r="M320" s="150"/>
      <c r="N320" s="150"/>
      <c r="O320" s="8"/>
    </row>
    <row r="321" spans="1:15">
      <c r="A321" s="10"/>
      <c r="B321" s="6"/>
      <c r="C321" s="6" t="s">
        <v>361</v>
      </c>
      <c r="D321" s="6"/>
      <c r="E321" s="4">
        <f>100*750</f>
        <v>75000</v>
      </c>
      <c r="F321" s="6" t="s">
        <v>1</v>
      </c>
      <c r="G321" s="6" t="s">
        <v>478</v>
      </c>
      <c r="H321" s="9">
        <v>0.2</v>
      </c>
      <c r="I321" s="97">
        <f t="shared" si="12"/>
        <v>15000</v>
      </c>
      <c r="J321" s="4"/>
      <c r="K321" s="4"/>
      <c r="L321" s="4"/>
      <c r="M321" s="150"/>
      <c r="N321" s="150"/>
      <c r="O321" s="8"/>
    </row>
    <row r="322" spans="1:15">
      <c r="A322" s="10"/>
      <c r="B322" s="6"/>
      <c r="C322" s="6" t="s">
        <v>409</v>
      </c>
      <c r="D322" s="6"/>
      <c r="E322" s="4">
        <v>1000</v>
      </c>
      <c r="F322" s="6"/>
      <c r="G322" s="6" t="s">
        <v>14</v>
      </c>
      <c r="H322" s="9">
        <v>0.2</v>
      </c>
      <c r="I322" s="97">
        <f t="shared" si="12"/>
        <v>200</v>
      </c>
      <c r="J322" s="4"/>
      <c r="K322" s="4"/>
      <c r="L322" s="4"/>
      <c r="M322" s="150"/>
      <c r="N322" s="150"/>
      <c r="O322" s="8"/>
    </row>
    <row r="323" spans="1:15" ht="16" thickBot="1">
      <c r="A323" s="7"/>
      <c r="B323" s="5"/>
      <c r="C323" s="5" t="s">
        <v>410</v>
      </c>
      <c r="D323" s="5"/>
      <c r="E323" s="2">
        <f>50*750</f>
        <v>37500</v>
      </c>
      <c r="F323" s="5" t="s">
        <v>1</v>
      </c>
      <c r="G323" s="5" t="s">
        <v>476</v>
      </c>
      <c r="H323" s="3">
        <v>0.2</v>
      </c>
      <c r="I323" s="46">
        <f t="shared" si="12"/>
        <v>7500</v>
      </c>
      <c r="J323" s="2"/>
      <c r="K323" s="2"/>
      <c r="L323" s="2"/>
      <c r="M323" s="163"/>
      <c r="N323" s="163"/>
      <c r="O323" s="1"/>
    </row>
    <row r="324" spans="1:15" ht="16" thickBot="1"/>
    <row r="325" spans="1:15">
      <c r="A325" s="31" t="s">
        <v>65</v>
      </c>
      <c r="B325" s="30" t="s">
        <v>64</v>
      </c>
      <c r="C325" s="30" t="s">
        <v>63</v>
      </c>
      <c r="D325" s="30" t="s">
        <v>62</v>
      </c>
      <c r="E325" s="28" t="s">
        <v>57</v>
      </c>
      <c r="F325" s="30" t="s">
        <v>61</v>
      </c>
      <c r="G325" s="30" t="s">
        <v>60</v>
      </c>
      <c r="H325" s="29" t="s">
        <v>56</v>
      </c>
      <c r="I325" s="30" t="s">
        <v>59</v>
      </c>
      <c r="J325" s="29" t="s">
        <v>58</v>
      </c>
      <c r="K325" s="28" t="s">
        <v>57</v>
      </c>
      <c r="L325" s="28" t="s">
        <v>56</v>
      </c>
      <c r="M325" s="32" t="s">
        <v>55</v>
      </c>
      <c r="N325" s="32" t="s">
        <v>54</v>
      </c>
      <c r="O325" s="27" t="s">
        <v>53</v>
      </c>
    </row>
    <row r="326" spans="1:15" ht="16" thickBot="1">
      <c r="A326" s="33" t="s">
        <v>411</v>
      </c>
      <c r="B326" s="34" t="s">
        <v>412</v>
      </c>
      <c r="C326" s="34"/>
      <c r="D326" s="34"/>
      <c r="E326" s="35"/>
      <c r="F326" s="34"/>
      <c r="G326" s="34"/>
      <c r="H326" s="36"/>
      <c r="I326" s="34"/>
      <c r="J326" s="37"/>
      <c r="K326" s="38"/>
      <c r="L326" s="38"/>
      <c r="M326" s="39"/>
      <c r="N326" s="39">
        <f>SUM(K326:K334)</f>
        <v>1632</v>
      </c>
      <c r="O326" s="40">
        <f>SUM(M326:M334)</f>
        <v>1960.4</v>
      </c>
    </row>
    <row r="327" spans="1:15">
      <c r="A327" s="119" t="s">
        <v>413</v>
      </c>
      <c r="B327" s="118" t="s">
        <v>414</v>
      </c>
      <c r="C327" s="118"/>
      <c r="D327" s="118"/>
      <c r="E327" s="116"/>
      <c r="F327" s="118"/>
      <c r="G327" s="118"/>
      <c r="H327" s="117"/>
      <c r="I327" s="118"/>
      <c r="J327" s="117">
        <f>L327/K327</f>
        <v>0.20122549019607841</v>
      </c>
      <c r="K327" s="116">
        <f>SUM(E328:E334)</f>
        <v>1632</v>
      </c>
      <c r="L327" s="116">
        <f>SUM(I328:I334)</f>
        <v>328.4</v>
      </c>
      <c r="M327" s="105">
        <f>SUM(K327:L327)</f>
        <v>1960.4</v>
      </c>
      <c r="N327" s="105"/>
      <c r="O327" s="115"/>
    </row>
    <row r="328" spans="1:15">
      <c r="A328" s="134"/>
      <c r="B328" s="135"/>
      <c r="C328" s="86" t="s">
        <v>415</v>
      </c>
      <c r="D328" s="86" t="s">
        <v>416</v>
      </c>
      <c r="E328" s="85">
        <v>490</v>
      </c>
      <c r="F328" s="86" t="s">
        <v>199</v>
      </c>
      <c r="G328" s="86"/>
      <c r="H328" s="133">
        <v>0</v>
      </c>
      <c r="I328" s="132">
        <f>H328*E328</f>
        <v>0</v>
      </c>
      <c r="J328" s="131"/>
      <c r="K328" s="130"/>
      <c r="L328" s="130"/>
      <c r="M328" s="129"/>
      <c r="N328" s="129"/>
      <c r="O328" s="128"/>
    </row>
    <row r="329" spans="1:15">
      <c r="A329" s="134"/>
      <c r="B329" s="135"/>
      <c r="C329" s="86" t="s">
        <v>417</v>
      </c>
      <c r="D329" s="86" t="s">
        <v>418</v>
      </c>
      <c r="E329" s="85">
        <v>0</v>
      </c>
      <c r="F329" s="86" t="s">
        <v>199</v>
      </c>
      <c r="G329" s="86" t="s">
        <v>419</v>
      </c>
      <c r="H329" s="133">
        <v>0</v>
      </c>
      <c r="I329" s="132">
        <f t="shared" ref="I329:I334" si="13">H329*E329</f>
        <v>0</v>
      </c>
      <c r="J329" s="131"/>
      <c r="K329" s="130"/>
      <c r="L329" s="130"/>
      <c r="M329" s="129"/>
      <c r="N329" s="129"/>
      <c r="O329" s="128"/>
    </row>
    <row r="330" spans="1:15">
      <c r="A330" s="134"/>
      <c r="B330" s="135"/>
      <c r="C330" s="86" t="s">
        <v>420</v>
      </c>
      <c r="D330" s="86" t="s">
        <v>421</v>
      </c>
      <c r="E330" s="85">
        <v>0</v>
      </c>
      <c r="F330" s="86" t="s">
        <v>199</v>
      </c>
      <c r="G330" s="86" t="s">
        <v>419</v>
      </c>
      <c r="H330" s="133">
        <v>0</v>
      </c>
      <c r="I330" s="132">
        <f t="shared" si="13"/>
        <v>0</v>
      </c>
      <c r="J330" s="131"/>
      <c r="K330" s="130"/>
      <c r="L330" s="130"/>
      <c r="M330" s="129"/>
      <c r="N330" s="129"/>
      <c r="O330" s="128"/>
    </row>
    <row r="331" spans="1:15">
      <c r="A331" s="10"/>
      <c r="B331" s="6"/>
      <c r="C331" s="6" t="s">
        <v>422</v>
      </c>
      <c r="D331" s="6" t="s">
        <v>423</v>
      </c>
      <c r="E331" s="4">
        <v>437</v>
      </c>
      <c r="F331" s="6" t="s">
        <v>424</v>
      </c>
      <c r="G331" s="98" t="s">
        <v>46</v>
      </c>
      <c r="H331" s="9">
        <v>0.2</v>
      </c>
      <c r="I331" s="97">
        <f t="shared" si="13"/>
        <v>87.4</v>
      </c>
      <c r="J331" s="9"/>
      <c r="K331" s="4"/>
      <c r="L331" s="4"/>
      <c r="M331" s="150"/>
      <c r="N331" s="150"/>
      <c r="O331" s="8"/>
    </row>
    <row r="332" spans="1:15">
      <c r="A332" s="10"/>
      <c r="B332" s="6"/>
      <c r="C332" s="6" t="s">
        <v>425</v>
      </c>
      <c r="D332" s="6" t="s">
        <v>423</v>
      </c>
      <c r="E332" s="4">
        <v>137</v>
      </c>
      <c r="F332" s="6" t="s">
        <v>424</v>
      </c>
      <c r="G332" s="98" t="s">
        <v>46</v>
      </c>
      <c r="H332" s="9">
        <v>0.2</v>
      </c>
      <c r="I332" s="97">
        <f t="shared" si="13"/>
        <v>27.400000000000002</v>
      </c>
      <c r="J332" s="9"/>
      <c r="K332" s="4"/>
      <c r="L332" s="4"/>
      <c r="M332" s="150"/>
      <c r="N332" s="150"/>
      <c r="O332" s="8"/>
    </row>
    <row r="333" spans="1:15">
      <c r="A333" s="10"/>
      <c r="B333" s="6"/>
      <c r="C333" s="6" t="s">
        <v>426</v>
      </c>
      <c r="D333" s="6" t="s">
        <v>423</v>
      </c>
      <c r="E333" s="4">
        <v>68</v>
      </c>
      <c r="F333" s="6" t="s">
        <v>424</v>
      </c>
      <c r="G333" s="98" t="s">
        <v>46</v>
      </c>
      <c r="H333" s="9">
        <v>0.2</v>
      </c>
      <c r="I333" s="97">
        <f t="shared" si="13"/>
        <v>13.600000000000001</v>
      </c>
      <c r="J333" s="9"/>
      <c r="K333" s="4"/>
      <c r="L333" s="4"/>
      <c r="M333" s="150"/>
      <c r="N333" s="150"/>
      <c r="O333" s="8"/>
    </row>
    <row r="334" spans="1:15">
      <c r="A334" s="15"/>
      <c r="B334" s="14"/>
      <c r="C334" s="14" t="s">
        <v>427</v>
      </c>
      <c r="D334" s="14" t="s">
        <v>428</v>
      </c>
      <c r="E334" s="12">
        <v>500</v>
      </c>
      <c r="F334" s="14" t="s">
        <v>1</v>
      </c>
      <c r="G334" s="14" t="s">
        <v>75</v>
      </c>
      <c r="H334" s="13">
        <v>0.4</v>
      </c>
      <c r="I334" s="167">
        <f t="shared" si="13"/>
        <v>200</v>
      </c>
      <c r="J334" s="13"/>
      <c r="K334" s="12"/>
      <c r="L334" s="12"/>
      <c r="M334" s="168"/>
      <c r="N334" s="168"/>
      <c r="O334" s="11"/>
    </row>
    <row r="335" spans="1:15" ht="16" thickBot="1"/>
    <row r="336" spans="1:15">
      <c r="A336" s="31" t="s">
        <v>65</v>
      </c>
      <c r="B336" s="30" t="s">
        <v>64</v>
      </c>
      <c r="C336" s="30" t="s">
        <v>63</v>
      </c>
      <c r="D336" s="30" t="s">
        <v>62</v>
      </c>
      <c r="E336" s="28" t="s">
        <v>57</v>
      </c>
      <c r="F336" s="30" t="s">
        <v>61</v>
      </c>
      <c r="G336" s="30" t="s">
        <v>60</v>
      </c>
      <c r="H336" s="29" t="s">
        <v>56</v>
      </c>
      <c r="I336" s="30" t="s">
        <v>59</v>
      </c>
      <c r="J336" s="29" t="s">
        <v>58</v>
      </c>
      <c r="K336" s="28" t="s">
        <v>57</v>
      </c>
      <c r="L336" s="28" t="s">
        <v>56</v>
      </c>
      <c r="M336" s="32" t="s">
        <v>55</v>
      </c>
      <c r="N336" s="32" t="s">
        <v>54</v>
      </c>
      <c r="O336" s="27" t="s">
        <v>53</v>
      </c>
    </row>
    <row r="337" spans="1:15" ht="16" thickBot="1">
      <c r="A337" s="33" t="s">
        <v>429</v>
      </c>
      <c r="B337" s="34" t="s">
        <v>430</v>
      </c>
      <c r="C337" s="34"/>
      <c r="D337" s="34"/>
      <c r="E337" s="35"/>
      <c r="F337" s="34"/>
      <c r="G337" s="34"/>
      <c r="H337" s="36"/>
      <c r="I337" s="34"/>
      <c r="J337" s="37"/>
      <c r="K337" s="38"/>
      <c r="L337" s="38"/>
      <c r="M337" s="39"/>
      <c r="N337" s="39">
        <f>SUM(K338:K349)</f>
        <v>39095.299999999996</v>
      </c>
      <c r="O337" s="40">
        <f>SUM(M338:M349)</f>
        <v>51578.000000000029</v>
      </c>
    </row>
    <row r="338" spans="1:15">
      <c r="A338" s="119" t="s">
        <v>431</v>
      </c>
      <c r="B338" s="118" t="s">
        <v>432</v>
      </c>
      <c r="C338" s="118"/>
      <c r="D338" s="118"/>
      <c r="E338" s="116"/>
      <c r="F338" s="118"/>
      <c r="G338" s="118"/>
      <c r="H338" s="117"/>
      <c r="I338" s="169"/>
      <c r="J338" s="117">
        <f>L338/K338</f>
        <v>0.31986902782812732</v>
      </c>
      <c r="K338" s="116">
        <f>SUM(E339:E344)</f>
        <v>37571.339999999997</v>
      </c>
      <c r="L338" s="116">
        <f>SUM(I339:I344)</f>
        <v>12017.908000000032</v>
      </c>
      <c r="M338" s="105">
        <f>SUM(K338:L338)</f>
        <v>49589.248000000029</v>
      </c>
      <c r="N338" s="105"/>
      <c r="O338" s="115"/>
    </row>
    <row r="339" spans="1:15">
      <c r="A339" s="10"/>
      <c r="B339" s="170"/>
      <c r="C339" s="6" t="s">
        <v>433</v>
      </c>
      <c r="D339" s="6" t="s">
        <v>434</v>
      </c>
      <c r="E339" s="4">
        <f>2*11715.92</f>
        <v>23431.84</v>
      </c>
      <c r="F339" s="6" t="s">
        <v>1</v>
      </c>
      <c r="G339" s="171" t="s">
        <v>435</v>
      </c>
      <c r="H339" s="9">
        <v>0.27697389534923555</v>
      </c>
      <c r="I339" s="97">
        <f>H339*E339</f>
        <v>6490.0080000000316</v>
      </c>
      <c r="J339" s="9"/>
      <c r="K339" s="4"/>
      <c r="L339" s="4"/>
      <c r="M339" s="150"/>
      <c r="N339" s="150"/>
      <c r="O339" s="8"/>
    </row>
    <row r="340" spans="1:15">
      <c r="A340" s="15"/>
      <c r="B340" s="172"/>
      <c r="C340" s="14" t="s">
        <v>436</v>
      </c>
      <c r="D340" s="14" t="s">
        <v>437</v>
      </c>
      <c r="E340" s="12">
        <f>2*6500</f>
        <v>13000</v>
      </c>
      <c r="F340" s="14" t="s">
        <v>1</v>
      </c>
      <c r="G340" s="14" t="s">
        <v>75</v>
      </c>
      <c r="H340" s="13">
        <v>0.4</v>
      </c>
      <c r="I340" s="167">
        <f t="shared" ref="I340:I344" si="14">H340*E340</f>
        <v>5200</v>
      </c>
      <c r="J340" s="13"/>
      <c r="K340" s="12"/>
      <c r="L340" s="12"/>
      <c r="M340" s="168"/>
      <c r="N340" s="168"/>
      <c r="O340" s="11"/>
    </row>
    <row r="341" spans="1:15">
      <c r="A341" s="10"/>
      <c r="B341" s="170"/>
      <c r="C341" s="6" t="s">
        <v>438</v>
      </c>
      <c r="D341" s="6" t="s">
        <v>423</v>
      </c>
      <c r="E341" s="4">
        <f>218*2</f>
        <v>436</v>
      </c>
      <c r="F341" s="6" t="s">
        <v>1</v>
      </c>
      <c r="G341" s="98" t="s">
        <v>46</v>
      </c>
      <c r="H341" s="9">
        <v>0.2</v>
      </c>
      <c r="I341" s="97">
        <f t="shared" si="14"/>
        <v>87.2</v>
      </c>
      <c r="J341" s="9"/>
      <c r="K341" s="4"/>
      <c r="L341" s="4"/>
      <c r="M341" s="150"/>
      <c r="N341" s="150"/>
      <c r="O341" s="8"/>
    </row>
    <row r="342" spans="1:15">
      <c r="A342" s="10"/>
      <c r="B342" s="6"/>
      <c r="C342" s="6" t="s">
        <v>439</v>
      </c>
      <c r="D342" s="6" t="s">
        <v>423</v>
      </c>
      <c r="E342" s="4">
        <v>136</v>
      </c>
      <c r="F342" s="6" t="s">
        <v>1</v>
      </c>
      <c r="G342" s="98" t="s">
        <v>46</v>
      </c>
      <c r="H342" s="9">
        <v>0.2</v>
      </c>
      <c r="I342" s="97">
        <f t="shared" si="14"/>
        <v>27.200000000000003</v>
      </c>
      <c r="J342" s="9"/>
      <c r="K342" s="4"/>
      <c r="L342" s="4"/>
      <c r="M342" s="150"/>
      <c r="N342" s="150"/>
      <c r="O342" s="8"/>
    </row>
    <row r="343" spans="1:15">
      <c r="A343" s="10"/>
      <c r="B343" s="6"/>
      <c r="C343" s="6" t="s">
        <v>440</v>
      </c>
      <c r="D343" s="6" t="s">
        <v>423</v>
      </c>
      <c r="E343" s="4">
        <v>67.5</v>
      </c>
      <c r="F343" s="6" t="s">
        <v>1</v>
      </c>
      <c r="G343" s="98" t="s">
        <v>46</v>
      </c>
      <c r="H343" s="9">
        <v>0.2</v>
      </c>
      <c r="I343" s="97">
        <f t="shared" si="14"/>
        <v>13.5</v>
      </c>
      <c r="J343" s="9"/>
      <c r="K343" s="4"/>
      <c r="L343" s="4"/>
      <c r="M343" s="150"/>
      <c r="N343" s="150"/>
      <c r="O343" s="8"/>
    </row>
    <row r="344" spans="1:15" ht="16" thickBot="1">
      <c r="A344" s="15"/>
      <c r="B344" s="14"/>
      <c r="C344" s="14" t="s">
        <v>427</v>
      </c>
      <c r="D344" s="14" t="s">
        <v>428</v>
      </c>
      <c r="E344" s="12">
        <v>500</v>
      </c>
      <c r="F344" s="14" t="s">
        <v>1</v>
      </c>
      <c r="G344" s="14" t="s">
        <v>75</v>
      </c>
      <c r="H344" s="13">
        <v>0.4</v>
      </c>
      <c r="I344" s="167">
        <f t="shared" si="14"/>
        <v>200</v>
      </c>
      <c r="J344" s="13"/>
      <c r="K344" s="12"/>
      <c r="L344" s="12"/>
      <c r="M344" s="168"/>
      <c r="N344" s="168"/>
      <c r="O344" s="11"/>
    </row>
    <row r="345" spans="1:15">
      <c r="A345" s="119" t="s">
        <v>441</v>
      </c>
      <c r="B345" s="118" t="s">
        <v>442</v>
      </c>
      <c r="C345" s="118"/>
      <c r="D345" s="118"/>
      <c r="E345" s="116"/>
      <c r="F345" s="118"/>
      <c r="G345" s="118"/>
      <c r="H345" s="117"/>
      <c r="I345" s="169"/>
      <c r="J345" s="117">
        <f>L345/K345</f>
        <v>0.30498963227381298</v>
      </c>
      <c r="K345" s="116">
        <f>SUM(E346:E349)</f>
        <v>1523.96</v>
      </c>
      <c r="L345" s="116">
        <f>SUM(I346:I349)</f>
        <v>464.79200000000003</v>
      </c>
      <c r="M345" s="105">
        <f>SUM(K345:L345)</f>
        <v>1988.752</v>
      </c>
      <c r="N345" s="105"/>
      <c r="O345" s="115"/>
    </row>
    <row r="346" spans="1:15">
      <c r="A346" s="15"/>
      <c r="B346" s="14"/>
      <c r="C346" s="14" t="s">
        <v>443</v>
      </c>
      <c r="D346" s="14" t="s">
        <v>428</v>
      </c>
      <c r="E346" s="12">
        <v>200</v>
      </c>
      <c r="F346" s="14" t="s">
        <v>1</v>
      </c>
      <c r="G346" s="14" t="s">
        <v>75</v>
      </c>
      <c r="H346" s="13">
        <v>0.4</v>
      </c>
      <c r="I346" s="167">
        <f>H346*E346</f>
        <v>80</v>
      </c>
      <c r="J346" s="13"/>
      <c r="K346" s="12"/>
      <c r="L346" s="12"/>
      <c r="M346" s="168"/>
      <c r="N346" s="168"/>
      <c r="O346" s="11"/>
    </row>
    <row r="347" spans="1:15">
      <c r="A347" s="15"/>
      <c r="B347" s="14"/>
      <c r="C347" s="14" t="s">
        <v>444</v>
      </c>
      <c r="D347" s="14" t="s">
        <v>428</v>
      </c>
      <c r="E347" s="12">
        <v>100</v>
      </c>
      <c r="F347" s="14" t="s">
        <v>1</v>
      </c>
      <c r="G347" s="14" t="s">
        <v>75</v>
      </c>
      <c r="H347" s="13">
        <v>0.4</v>
      </c>
      <c r="I347" s="167">
        <f t="shared" ref="I347:I349" si="15">H347*E347</f>
        <v>40</v>
      </c>
      <c r="J347" s="13"/>
      <c r="K347" s="12"/>
      <c r="L347" s="12"/>
      <c r="M347" s="168"/>
      <c r="N347" s="168"/>
      <c r="O347" s="11"/>
    </row>
    <row r="348" spans="1:15">
      <c r="A348" s="10"/>
      <c r="B348" s="6"/>
      <c r="C348" s="6" t="s">
        <v>445</v>
      </c>
      <c r="D348" s="6" t="s">
        <v>446</v>
      </c>
      <c r="E348" s="4">
        <f>(2+2)*2*90.495</f>
        <v>723.96</v>
      </c>
      <c r="F348" s="6" t="s">
        <v>1</v>
      </c>
      <c r="G348" s="98" t="s">
        <v>447</v>
      </c>
      <c r="H348" s="9">
        <v>0.2</v>
      </c>
      <c r="I348" s="97">
        <f t="shared" si="15"/>
        <v>144.792</v>
      </c>
      <c r="J348" s="9"/>
      <c r="K348" s="4"/>
      <c r="L348" s="4"/>
      <c r="M348" s="150"/>
      <c r="N348" s="150"/>
      <c r="O348" s="8"/>
    </row>
    <row r="349" spans="1:15">
      <c r="A349" s="15"/>
      <c r="B349" s="14"/>
      <c r="C349" s="14" t="s">
        <v>448</v>
      </c>
      <c r="D349" s="14" t="s">
        <v>354</v>
      </c>
      <c r="E349" s="12">
        <v>500</v>
      </c>
      <c r="F349" s="14" t="s">
        <v>1</v>
      </c>
      <c r="G349" s="14" t="s">
        <v>75</v>
      </c>
      <c r="H349" s="13">
        <v>0.4</v>
      </c>
      <c r="I349" s="167">
        <f t="shared" si="15"/>
        <v>200</v>
      </c>
      <c r="J349" s="13"/>
      <c r="K349" s="12"/>
      <c r="L349" s="12"/>
      <c r="M349" s="168"/>
      <c r="N349" s="168"/>
      <c r="O349" s="11"/>
    </row>
    <row r="350" spans="1:15" ht="16" thickBot="1"/>
    <row r="351" spans="1:15">
      <c r="A351" s="31" t="s">
        <v>65</v>
      </c>
      <c r="B351" s="30" t="s">
        <v>64</v>
      </c>
      <c r="C351" s="30" t="s">
        <v>63</v>
      </c>
      <c r="D351" s="30" t="s">
        <v>62</v>
      </c>
      <c r="E351" s="28" t="s">
        <v>57</v>
      </c>
      <c r="F351" s="30" t="s">
        <v>61</v>
      </c>
      <c r="G351" s="30" t="s">
        <v>60</v>
      </c>
      <c r="H351" s="29" t="s">
        <v>56</v>
      </c>
      <c r="I351" s="30" t="s">
        <v>59</v>
      </c>
      <c r="J351" s="29" t="s">
        <v>58</v>
      </c>
      <c r="K351" s="28" t="s">
        <v>57</v>
      </c>
      <c r="L351" s="28" t="s">
        <v>56</v>
      </c>
      <c r="M351" s="32" t="s">
        <v>55</v>
      </c>
      <c r="N351" s="32" t="s">
        <v>54</v>
      </c>
      <c r="O351" s="27" t="s">
        <v>53</v>
      </c>
    </row>
    <row r="352" spans="1:15" ht="16" thickBot="1">
      <c r="A352" s="33" t="s">
        <v>467</v>
      </c>
      <c r="B352" s="34" t="s">
        <v>468</v>
      </c>
      <c r="C352" s="34"/>
      <c r="D352" s="34"/>
      <c r="E352" s="35"/>
      <c r="F352" s="34"/>
      <c r="G352" s="34"/>
      <c r="H352" s="36"/>
      <c r="I352" s="34"/>
      <c r="J352" s="37"/>
      <c r="K352" s="38"/>
      <c r="L352" s="38"/>
      <c r="M352" s="39"/>
      <c r="N352" s="39">
        <f>SUM(K353:K367)</f>
        <v>511901.08799999987</v>
      </c>
      <c r="O352" s="40">
        <f>SUM(M353:M367)</f>
        <v>655826.88</v>
      </c>
    </row>
    <row r="353" spans="1:15">
      <c r="A353" s="119" t="s">
        <v>469</v>
      </c>
      <c r="B353" s="118" t="s">
        <v>470</v>
      </c>
      <c r="C353" s="118"/>
      <c r="D353" s="118"/>
      <c r="E353" s="116"/>
      <c r="F353" s="118"/>
      <c r="G353" s="118"/>
      <c r="H353" s="117"/>
      <c r="I353" s="169"/>
      <c r="J353" s="117">
        <f>L353/K353</f>
        <v>0.20502474348283617</v>
      </c>
      <c r="K353" s="116">
        <f>SUM(E354:E359)</f>
        <v>306000.57599999994</v>
      </c>
      <c r="L353" s="116">
        <f>SUM(I354:I359)</f>
        <v>62737.6896000001</v>
      </c>
      <c r="M353" s="105">
        <f>SUM(K353:L353)</f>
        <v>368738.26560000004</v>
      </c>
      <c r="N353" s="105"/>
      <c r="O353" s="115"/>
    </row>
    <row r="354" spans="1:15">
      <c r="A354" s="10"/>
      <c r="B354" s="170"/>
      <c r="C354" s="6" t="s">
        <v>449</v>
      </c>
      <c r="D354" s="6" t="s">
        <v>434</v>
      </c>
      <c r="E354" s="4">
        <f>(24*1.2)*7981.92</f>
        <v>229879.29599999997</v>
      </c>
      <c r="F354" s="6" t="s">
        <v>1</v>
      </c>
      <c r="G354" s="6" t="s">
        <v>435</v>
      </c>
      <c r="H354" s="9">
        <v>0.20668861627277693</v>
      </c>
      <c r="I354" s="97">
        <f>H354*E354</f>
        <v>47513.433600000099</v>
      </c>
      <c r="J354" s="9"/>
      <c r="K354" s="4"/>
      <c r="L354" s="4"/>
      <c r="M354" s="150"/>
      <c r="N354" s="150"/>
      <c r="O354" s="8"/>
    </row>
    <row r="355" spans="1:15">
      <c r="A355" s="10"/>
      <c r="B355" s="170"/>
      <c r="C355" s="6" t="s">
        <v>450</v>
      </c>
      <c r="D355" s="6" t="s">
        <v>423</v>
      </c>
      <c r="E355" s="4">
        <f>(48*1.2)*2*278</f>
        <v>32025.599999999999</v>
      </c>
      <c r="F355" s="6" t="s">
        <v>1</v>
      </c>
      <c r="G355" s="98" t="s">
        <v>451</v>
      </c>
      <c r="H355" s="9">
        <v>0.2</v>
      </c>
      <c r="I355" s="97">
        <f t="shared" ref="I355:I359" si="16">H355*E355</f>
        <v>6405.12</v>
      </c>
      <c r="J355" s="9"/>
      <c r="K355" s="4"/>
      <c r="L355" s="4"/>
      <c r="M355" s="150"/>
      <c r="N355" s="150"/>
      <c r="O355" s="8"/>
    </row>
    <row r="356" spans="1:15">
      <c r="A356" s="10"/>
      <c r="B356" s="170"/>
      <c r="C356" s="6" t="s">
        <v>452</v>
      </c>
      <c r="D356" s="6" t="s">
        <v>423</v>
      </c>
      <c r="E356" s="4">
        <f>(48*1.2)*615</f>
        <v>35424</v>
      </c>
      <c r="F356" s="6" t="s">
        <v>1</v>
      </c>
      <c r="G356" s="98" t="s">
        <v>453</v>
      </c>
      <c r="H356" s="9">
        <v>0.2</v>
      </c>
      <c r="I356" s="97">
        <f t="shared" si="16"/>
        <v>7084.8</v>
      </c>
      <c r="J356" s="9"/>
      <c r="K356" s="4"/>
      <c r="L356" s="4"/>
      <c r="M356" s="150"/>
      <c r="N356" s="150"/>
      <c r="O356" s="8"/>
    </row>
    <row r="357" spans="1:15">
      <c r="A357" s="10"/>
      <c r="B357" s="170"/>
      <c r="C357" s="6" t="s">
        <v>454</v>
      </c>
      <c r="D357" s="6" t="s">
        <v>423</v>
      </c>
      <c r="E357" s="4">
        <f>(2*4)*1.25*72</f>
        <v>720</v>
      </c>
      <c r="F357" s="6" t="s">
        <v>1</v>
      </c>
      <c r="G357" s="98" t="s">
        <v>455</v>
      </c>
      <c r="H357" s="9">
        <v>0.2</v>
      </c>
      <c r="I357" s="97">
        <f t="shared" si="16"/>
        <v>144</v>
      </c>
      <c r="J357" s="9"/>
      <c r="K357" s="4"/>
      <c r="L357" s="4"/>
      <c r="M357" s="150"/>
      <c r="N357" s="150"/>
      <c r="O357" s="8"/>
    </row>
    <row r="358" spans="1:15">
      <c r="A358" s="10"/>
      <c r="B358" s="170"/>
      <c r="C358" s="6" t="s">
        <v>456</v>
      </c>
      <c r="D358" s="6" t="s">
        <v>423</v>
      </c>
      <c r="E358" s="4">
        <f>(48*1.2)*135.8</f>
        <v>7822.08</v>
      </c>
      <c r="F358" s="6" t="s">
        <v>1</v>
      </c>
      <c r="G358" s="98" t="s">
        <v>457</v>
      </c>
      <c r="H358" s="9">
        <v>0.2</v>
      </c>
      <c r="I358" s="97">
        <f t="shared" si="16"/>
        <v>1564.4160000000002</v>
      </c>
      <c r="J358" s="9"/>
      <c r="K358" s="4"/>
      <c r="L358" s="4"/>
      <c r="M358" s="150"/>
      <c r="N358" s="150"/>
      <c r="O358" s="8"/>
    </row>
    <row r="359" spans="1:15" ht="16" thickBot="1">
      <c r="A359" s="10"/>
      <c r="B359" s="6"/>
      <c r="C359" s="6" t="s">
        <v>458</v>
      </c>
      <c r="D359" s="6" t="s">
        <v>423</v>
      </c>
      <c r="E359" s="4">
        <f>(48*1.2)*2.25</f>
        <v>129.6</v>
      </c>
      <c r="F359" s="6" t="s">
        <v>1</v>
      </c>
      <c r="G359" s="98" t="s">
        <v>459</v>
      </c>
      <c r="H359" s="9">
        <v>0.2</v>
      </c>
      <c r="I359" s="97">
        <f t="shared" si="16"/>
        <v>25.92</v>
      </c>
      <c r="J359" s="9"/>
      <c r="K359" s="4"/>
      <c r="L359" s="4"/>
      <c r="M359" s="150"/>
      <c r="N359" s="150"/>
      <c r="O359" s="8"/>
    </row>
    <row r="360" spans="1:15" ht="16" thickBot="1">
      <c r="A360" s="119" t="s">
        <v>471</v>
      </c>
      <c r="B360" s="118" t="s">
        <v>472</v>
      </c>
      <c r="C360" s="118"/>
      <c r="D360" s="118"/>
      <c r="E360" s="116"/>
      <c r="F360" s="118"/>
      <c r="G360" s="118"/>
      <c r="H360" s="117"/>
      <c r="I360" s="169"/>
      <c r="J360" s="117">
        <f>L360/K360</f>
        <v>0.39430743329088958</v>
      </c>
      <c r="K360" s="116">
        <f>SUM(E361:E367)</f>
        <v>205900.51199999996</v>
      </c>
      <c r="L360" s="116">
        <f>SUM(I361:I367)</f>
        <v>81188.102399999989</v>
      </c>
      <c r="M360" s="105">
        <f>SUM(K360:L360)</f>
        <v>287088.61439999996</v>
      </c>
      <c r="N360" s="105"/>
      <c r="O360" s="115"/>
    </row>
    <row r="361" spans="1:15">
      <c r="A361" s="177"/>
      <c r="B361" s="173"/>
      <c r="C361" s="173" t="s">
        <v>460</v>
      </c>
      <c r="D361" s="173" t="s">
        <v>437</v>
      </c>
      <c r="E361" s="67">
        <f>(24*1.2)*6500</f>
        <v>187199.99999999997</v>
      </c>
      <c r="F361" s="173" t="s">
        <v>1</v>
      </c>
      <c r="G361" s="173" t="s">
        <v>461</v>
      </c>
      <c r="H361" s="174">
        <v>0.4</v>
      </c>
      <c r="I361" s="167">
        <f>H361*E361</f>
        <v>74879.999999999985</v>
      </c>
      <c r="J361" s="174"/>
      <c r="K361" s="67"/>
      <c r="L361" s="67"/>
      <c r="M361" s="175"/>
      <c r="N361" s="175"/>
      <c r="O361" s="176"/>
    </row>
    <row r="362" spans="1:15">
      <c r="A362" s="15"/>
      <c r="B362" s="14"/>
      <c r="C362" s="14" t="s">
        <v>462</v>
      </c>
      <c r="D362" s="14" t="s">
        <v>428</v>
      </c>
      <c r="E362" s="12">
        <f>2*200</f>
        <v>400</v>
      </c>
      <c r="F362" s="14" t="s">
        <v>1</v>
      </c>
      <c r="G362" s="14" t="s">
        <v>75</v>
      </c>
      <c r="H362" s="13">
        <v>0.4</v>
      </c>
      <c r="I362" s="167">
        <f>H362*E362</f>
        <v>160</v>
      </c>
      <c r="J362" s="13"/>
      <c r="K362" s="12"/>
      <c r="L362" s="12"/>
      <c r="M362" s="168"/>
      <c r="N362" s="168"/>
      <c r="O362" s="11"/>
    </row>
    <row r="363" spans="1:15">
      <c r="A363" s="15"/>
      <c r="B363" s="14"/>
      <c r="C363" s="14" t="s">
        <v>463</v>
      </c>
      <c r="D363" s="14" t="s">
        <v>428</v>
      </c>
      <c r="E363" s="12">
        <f>(24*1.2)*50</f>
        <v>1439.9999999999998</v>
      </c>
      <c r="F363" s="14" t="s">
        <v>1</v>
      </c>
      <c r="G363" s="14" t="s">
        <v>75</v>
      </c>
      <c r="H363" s="13">
        <v>0.4</v>
      </c>
      <c r="I363" s="167">
        <f t="shared" ref="I363:I367" si="17">H363*E363</f>
        <v>575.99999999999989</v>
      </c>
      <c r="J363" s="13"/>
      <c r="K363" s="12"/>
      <c r="L363" s="12"/>
      <c r="M363" s="168"/>
      <c r="N363" s="168"/>
      <c r="O363" s="11"/>
    </row>
    <row r="364" spans="1:15">
      <c r="A364" s="10"/>
      <c r="B364" s="6"/>
      <c r="C364" s="6" t="s">
        <v>464</v>
      </c>
      <c r="D364" s="6" t="s">
        <v>446</v>
      </c>
      <c r="E364" s="4">
        <f>(24+24)*1.2*90.495</f>
        <v>5212.5119999999997</v>
      </c>
      <c r="F364" s="6" t="s">
        <v>1</v>
      </c>
      <c r="G364" s="98" t="s">
        <v>447</v>
      </c>
      <c r="H364" s="9">
        <v>0.2</v>
      </c>
      <c r="I364" s="97">
        <f t="shared" si="17"/>
        <v>1042.5024000000001</v>
      </c>
      <c r="J364" s="9"/>
      <c r="K364" s="4"/>
      <c r="L364" s="4"/>
      <c r="M364" s="150"/>
      <c r="N364" s="150"/>
      <c r="O364" s="8"/>
    </row>
    <row r="365" spans="1:15">
      <c r="A365" s="10"/>
      <c r="B365" s="6"/>
      <c r="C365" s="6" t="s">
        <v>465</v>
      </c>
      <c r="D365" s="6" t="s">
        <v>423</v>
      </c>
      <c r="E365" s="4">
        <f>11.25*48*1.2</f>
        <v>648</v>
      </c>
      <c r="F365" s="6" t="s">
        <v>1</v>
      </c>
      <c r="G365" s="98" t="s">
        <v>466</v>
      </c>
      <c r="H365" s="9">
        <v>0.2</v>
      </c>
      <c r="I365" s="97">
        <f t="shared" si="17"/>
        <v>129.6</v>
      </c>
      <c r="J365" s="9"/>
      <c r="K365" s="4"/>
      <c r="L365" s="4"/>
      <c r="M365" s="150"/>
      <c r="N365" s="150"/>
      <c r="O365" s="8"/>
    </row>
    <row r="366" spans="1:15">
      <c r="A366" s="15"/>
      <c r="B366" s="14"/>
      <c r="C366" s="14" t="s">
        <v>448</v>
      </c>
      <c r="D366" s="14" t="s">
        <v>354</v>
      </c>
      <c r="E366" s="12">
        <v>1000</v>
      </c>
      <c r="F366" s="14" t="s">
        <v>1</v>
      </c>
      <c r="G366" s="14" t="s">
        <v>75</v>
      </c>
      <c r="H366" s="13">
        <v>0.4</v>
      </c>
      <c r="I366" s="167">
        <f t="shared" si="17"/>
        <v>400</v>
      </c>
      <c r="J366" s="13"/>
      <c r="K366" s="12"/>
      <c r="L366" s="12"/>
      <c r="M366" s="168"/>
      <c r="N366" s="168"/>
      <c r="O366" s="11"/>
    </row>
    <row r="367" spans="1:15">
      <c r="A367" s="15"/>
      <c r="B367" s="14"/>
      <c r="C367" s="14" t="s">
        <v>427</v>
      </c>
      <c r="D367" s="14" t="s">
        <v>428</v>
      </c>
      <c r="E367" s="12">
        <f>10000</f>
        <v>10000</v>
      </c>
      <c r="F367" s="14" t="s">
        <v>1</v>
      </c>
      <c r="G367" s="14" t="s">
        <v>75</v>
      </c>
      <c r="H367" s="13">
        <v>0.4</v>
      </c>
      <c r="I367" s="167">
        <f t="shared" si="17"/>
        <v>4000</v>
      </c>
      <c r="J367" s="13"/>
      <c r="K367" s="12"/>
      <c r="L367" s="12"/>
      <c r="M367" s="168"/>
      <c r="N367" s="168"/>
      <c r="O367" s="11"/>
    </row>
  </sheetData>
  <hyperlinks>
    <hyperlink ref="G36" location="Quotations!A1" display="Manufacturer Quote"/>
    <hyperlink ref="G114" location="Quotations!A1" display="Manufacturer Quote"/>
    <hyperlink ref="G117" location="Quotations!G1" display="Manufacturer Quote"/>
    <hyperlink ref="G124" location="Quotations!G1" display="Manufacturer Quote"/>
    <hyperlink ref="G127" location="Quotations!O1" display="Manufacturer Quote"/>
    <hyperlink ref="G120" location="Quotations!O1" display="Manufacturer Quote"/>
    <hyperlink ref="G128" location="Quotations!A11" display="Manufacturer Quote"/>
    <hyperlink ref="G121" location="Quotations!A11" display="Manufacturer Quote"/>
    <hyperlink ref="G122" location="Quotations!A22" display="Web Search"/>
    <hyperlink ref="G132" location="Quotations!E22" display="Vendor Quote"/>
    <hyperlink ref="G142" location="Quotations!A35" display="Existing PO"/>
    <hyperlink ref="G147" location="Quotations!A44" display="Existing PO"/>
    <hyperlink ref="G149:G152" location="Quotations!A1" display="Manufacturer Quote"/>
    <hyperlink ref="G148:G150" location="Quotations!A35" display="Existing PO"/>
    <hyperlink ref="G148" location="Quotations!G1" display="Manufacturer Quote"/>
    <hyperlink ref="G149" location="Quotations!A52" display="Existing PO"/>
    <hyperlink ref="G150" location="Quotations!A52" display="Existing PO"/>
    <hyperlink ref="G152" location="Quotations!A12" display="Manufacturer Quote"/>
    <hyperlink ref="G153" location="Quotations!A32" display="Manufacturer Quote"/>
    <hyperlink ref="G155" location="Quotations!A12" display="Manufacturer Quote"/>
    <hyperlink ref="G156:G159" location="Quotations!A12" display="Manufacturer Quote"/>
    <hyperlink ref="G163" location="Quotations!A12" display="Vendor Quote"/>
    <hyperlink ref="G185" location="Quotations!A63" display="Vendor Quote"/>
    <hyperlink ref="G190" location="Quotations!A63" display="Vendor Quote"/>
    <hyperlink ref="G207" location="Quotations!A63" display="Vendor Quote"/>
    <hyperlink ref="G215" location="Quotations!J63" display="ALICE Contract"/>
    <hyperlink ref="G217" location="Quotations!J63" display="ALICE Contract"/>
    <hyperlink ref="G230" location="Quotations!A1" display="Vendor Quote"/>
    <hyperlink ref="G245" location="Quotations!H1" display="Vendor Quote"/>
    <hyperlink ref="G285" location="Quotations!A1" display="Web quote (3 pulsers)"/>
    <hyperlink ref="G281" location="Quotations!A28" display="Web quote"/>
    <hyperlink ref="G266" location="Quotations!A28" display="Web quote"/>
    <hyperlink ref="G275" location="Quotations!A54" display="Manifacture quote (Jan, 2016), 1 module"/>
    <hyperlink ref="G295" location="Quotations!A28" display="Web quote"/>
    <hyperlink ref="G312" location="Quotations!A28" display="Weq quote (98 * 600 +25% spare)"/>
    <hyperlink ref="G318" location="Quotations!A54" display="manufacture quote (5022 * 20 + 2 spare)"/>
    <hyperlink ref="G331" location="'Quotations - v1.5 Peripheral'!A1" display="Quote"/>
    <hyperlink ref="G332" location="'Quotations - v1.5 Peripheral'!A1" display="Quote"/>
    <hyperlink ref="G333" location="'Quotations - v1.5 Peripheral'!A1" display="Quote"/>
    <hyperlink ref="G341" location="'Quotations - v1.5 Peripheral'!A1" display="Quote"/>
    <hyperlink ref="G342" location="'Quotations - v1.5 Peripheral'!A1" display="Quote"/>
    <hyperlink ref="G343" location="'Quotations - v1.5 Peripheral'!A1" display="Quote"/>
    <hyperlink ref="G348" location="'Quote - Clock Distribution'!A1" display="Catalog: AFBR-709DMZ"/>
    <hyperlink ref="G365" location="'Quotations - Fibers'!A1" display="Quote: CCI/F26268P302-001"/>
    <hyperlink ref="G356" location="'Quotations - Fibers'!A1" display="Quote: CCI/T40408PF48-058"/>
    <hyperlink ref="G355" location="'Quotations - Fibers'!A1" display="Quote: CCI/T40418PF48-005"/>
    <hyperlink ref="G357" location="'Quotations - Fibers'!A1" display="Quote: CCI/56348-MT"/>
    <hyperlink ref="G358" location="'Quotations - Fibers'!A1" display="Quote: CCI/1000450-18I-48F"/>
    <hyperlink ref="G359" location="'Quotations - Fibers'!A1" display="Quote: CCI/100106"/>
    <hyperlink ref="G364" location="'Quote - Clock Distribution'!A1" display="Catalog: AFBR-709DMZ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0"/>
  <sheetViews>
    <sheetView tabSelected="1" topLeftCell="B2" workbookViewId="0">
      <selection activeCell="S24" sqref="S24"/>
    </sheetView>
  </sheetViews>
  <sheetFormatPr baseColWidth="10" defaultRowHeight="15" x14ac:dyDescent="0"/>
  <cols>
    <col min="2" max="2" width="13" customWidth="1"/>
    <col min="3" max="3" width="28.6640625" customWidth="1"/>
    <col min="4" max="4" width="18.33203125" customWidth="1"/>
    <col min="7" max="7" width="19.5" customWidth="1"/>
    <col min="14" max="14" width="12.6640625" customWidth="1"/>
    <col min="15" max="15" width="17.6640625" customWidth="1"/>
    <col min="16" max="16" width="17.33203125" customWidth="1"/>
    <col min="18" max="18" width="23.6640625" customWidth="1"/>
    <col min="19" max="19" width="13.1640625" bestFit="1" customWidth="1"/>
  </cols>
  <sheetData>
    <row r="1" spans="1:19">
      <c r="A1" s="31" t="s">
        <v>65</v>
      </c>
      <c r="B1" s="30" t="s">
        <v>64</v>
      </c>
      <c r="C1" s="30" t="s">
        <v>63</v>
      </c>
      <c r="D1" s="30" t="s">
        <v>62</v>
      </c>
      <c r="E1" s="28" t="s">
        <v>57</v>
      </c>
      <c r="F1" s="30" t="s">
        <v>61</v>
      </c>
      <c r="G1" s="30" t="s">
        <v>60</v>
      </c>
      <c r="H1" s="29" t="s">
        <v>56</v>
      </c>
      <c r="I1" s="30" t="s">
        <v>59</v>
      </c>
      <c r="J1" s="29" t="s">
        <v>58</v>
      </c>
      <c r="K1" s="28" t="s">
        <v>57</v>
      </c>
      <c r="L1" s="28" t="s">
        <v>56</v>
      </c>
      <c r="M1" s="28" t="s">
        <v>55</v>
      </c>
      <c r="N1" s="28" t="s">
        <v>54</v>
      </c>
      <c r="O1" s="32" t="s">
        <v>56</v>
      </c>
      <c r="P1" s="27" t="s">
        <v>53</v>
      </c>
    </row>
    <row r="2" spans="1:19">
      <c r="A2" s="187" t="s">
        <v>57</v>
      </c>
      <c r="B2" s="190"/>
      <c r="C2" s="191"/>
      <c r="D2" s="181"/>
      <c r="E2" s="182"/>
      <c r="F2" s="181"/>
      <c r="G2" s="181"/>
      <c r="H2" s="213">
        <f>O2/N2</f>
        <v>0.2462022487884464</v>
      </c>
      <c r="I2" s="181"/>
      <c r="J2" s="183"/>
      <c r="K2" s="182"/>
      <c r="L2" s="182"/>
      <c r="M2" s="182"/>
      <c r="N2" s="210">
        <f>N4+N7+N17+N123+N147+N159</f>
        <v>2550605.5980000002</v>
      </c>
      <c r="O2" s="210">
        <f>O4+O7+O17+O123+O147+O159</f>
        <v>627964.83400000015</v>
      </c>
      <c r="P2" s="210">
        <f>P4+P7+P17+P123+P147+P159</f>
        <v>3178570.4320000005</v>
      </c>
      <c r="R2" t="s">
        <v>484</v>
      </c>
      <c r="S2" s="212">
        <v>20893.400000000001</v>
      </c>
    </row>
    <row r="3" spans="1:19">
      <c r="A3" s="178"/>
      <c r="B3" s="179"/>
      <c r="C3" s="180"/>
      <c r="D3" s="181"/>
      <c r="E3" s="182"/>
      <c r="F3" s="181"/>
      <c r="G3" s="181"/>
      <c r="H3" s="183"/>
      <c r="I3" s="181"/>
      <c r="J3" s="183"/>
      <c r="K3" s="182"/>
      <c r="L3" s="182"/>
      <c r="M3" s="182"/>
      <c r="N3" s="182"/>
      <c r="O3" s="193"/>
      <c r="P3" s="184"/>
      <c r="R3" t="s">
        <v>483</v>
      </c>
      <c r="S3" s="212">
        <v>546624.9</v>
      </c>
    </row>
    <row r="4" spans="1:19">
      <c r="A4" s="187" t="s">
        <v>474</v>
      </c>
      <c r="B4" s="190"/>
      <c r="C4" s="191"/>
      <c r="D4" s="181"/>
      <c r="E4" s="182"/>
      <c r="F4" s="181"/>
      <c r="G4" s="181"/>
      <c r="H4" s="183"/>
      <c r="I4" s="181"/>
      <c r="J4" s="183"/>
      <c r="K4" s="182"/>
      <c r="L4" s="182"/>
      <c r="M4" s="182"/>
      <c r="N4" s="25">
        <f>E5</f>
        <v>18994</v>
      </c>
      <c r="O4" s="194">
        <f>I5</f>
        <v>1899.4</v>
      </c>
      <c r="P4" s="24">
        <f>N4+O4</f>
        <v>20893.400000000001</v>
      </c>
      <c r="R4" t="s">
        <v>473</v>
      </c>
      <c r="S4" s="212">
        <v>1319109.6840000004</v>
      </c>
    </row>
    <row r="5" spans="1:19" ht="16" thickBot="1">
      <c r="A5" s="7"/>
      <c r="B5" s="5"/>
      <c r="C5" s="5" t="s">
        <v>206</v>
      </c>
      <c r="D5" s="5" t="s">
        <v>205</v>
      </c>
      <c r="E5" s="2">
        <v>18994</v>
      </c>
      <c r="F5" s="5" t="s">
        <v>1</v>
      </c>
      <c r="G5" s="45" t="s">
        <v>72</v>
      </c>
      <c r="H5" s="3">
        <v>0.1</v>
      </c>
      <c r="I5" s="5">
        <f t="shared" ref="I5" si="0">H5*E5</f>
        <v>1899.4</v>
      </c>
      <c r="J5" s="123"/>
      <c r="K5" s="122"/>
      <c r="L5" s="122"/>
      <c r="M5" s="121"/>
      <c r="N5" s="121"/>
      <c r="O5" s="121"/>
      <c r="P5" s="120"/>
      <c r="R5" t="s">
        <v>485</v>
      </c>
      <c r="S5" s="212">
        <v>404356.84800000006</v>
      </c>
    </row>
    <row r="6" spans="1:19">
      <c r="R6" t="s">
        <v>486</v>
      </c>
      <c r="S6" s="212">
        <v>15625</v>
      </c>
    </row>
    <row r="7" spans="1:19">
      <c r="A7" s="192" t="s">
        <v>483</v>
      </c>
      <c r="B7" s="189"/>
      <c r="C7" s="209"/>
      <c r="D7" s="181"/>
      <c r="E7" s="182"/>
      <c r="F7" s="181"/>
      <c r="G7" s="181"/>
      <c r="H7" s="183"/>
      <c r="I7" s="181"/>
      <c r="J7" s="183"/>
      <c r="K7" s="182"/>
      <c r="L7" s="182"/>
      <c r="M7" s="182"/>
      <c r="N7" s="210">
        <f>SUM(E8:E13)</f>
        <v>475326</v>
      </c>
      <c r="O7" s="211">
        <f>SUM(I8:I13)</f>
        <v>71298.899999999994</v>
      </c>
      <c r="P7" s="24">
        <f>N7+O7</f>
        <v>546624.9</v>
      </c>
      <c r="R7" t="s">
        <v>487</v>
      </c>
      <c r="S7" s="212">
        <v>871960.6</v>
      </c>
    </row>
    <row r="8" spans="1:19">
      <c r="A8" s="10"/>
      <c r="B8" s="6"/>
      <c r="C8" s="6" t="s">
        <v>345</v>
      </c>
      <c r="D8" s="6" t="s">
        <v>264</v>
      </c>
      <c r="E8" s="4">
        <f>45*8*12</f>
        <v>4320</v>
      </c>
      <c r="F8" s="6" t="s">
        <v>1</v>
      </c>
      <c r="G8" s="6" t="s">
        <v>346</v>
      </c>
      <c r="H8" s="9">
        <v>0.15</v>
      </c>
      <c r="I8" s="97">
        <f>H8*E8</f>
        <v>648</v>
      </c>
      <c r="J8" s="9"/>
      <c r="K8" s="4"/>
      <c r="L8" s="4"/>
      <c r="M8" s="150"/>
      <c r="N8" s="150"/>
      <c r="O8" s="150"/>
      <c r="P8" s="6"/>
    </row>
    <row r="9" spans="1:19" ht="16" thickBot="1">
      <c r="A9" s="7"/>
      <c r="B9" s="5"/>
      <c r="C9" s="5" t="s">
        <v>364</v>
      </c>
      <c r="D9" s="5" t="s">
        <v>365</v>
      </c>
      <c r="E9" s="2">
        <v>5022</v>
      </c>
      <c r="F9" s="5" t="s">
        <v>1</v>
      </c>
      <c r="G9" s="45" t="s">
        <v>366</v>
      </c>
      <c r="H9" s="143">
        <v>0.15</v>
      </c>
      <c r="I9" s="152">
        <f t="shared" ref="I9:I10" si="1">H9*E9</f>
        <v>753.3</v>
      </c>
      <c r="J9" s="143"/>
      <c r="K9" s="76"/>
      <c r="L9" s="76"/>
      <c r="M9" s="153"/>
      <c r="N9" s="153"/>
      <c r="O9" s="153"/>
      <c r="P9" s="6"/>
    </row>
    <row r="10" spans="1:19">
      <c r="A10" s="10"/>
      <c r="B10" s="6"/>
      <c r="C10" s="6" t="s">
        <v>345</v>
      </c>
      <c r="D10" s="6" t="s">
        <v>264</v>
      </c>
      <c r="E10" s="4">
        <f>45*4</f>
        <v>180</v>
      </c>
      <c r="F10" s="6" t="s">
        <v>1</v>
      </c>
      <c r="G10" s="6" t="s">
        <v>371</v>
      </c>
      <c r="H10" s="9">
        <v>0.15</v>
      </c>
      <c r="I10" s="97">
        <f t="shared" si="1"/>
        <v>27</v>
      </c>
      <c r="J10" s="9"/>
      <c r="K10" s="4"/>
      <c r="L10" s="4"/>
      <c r="M10" s="150"/>
      <c r="N10" s="150"/>
      <c r="O10" s="150"/>
      <c r="P10" s="6"/>
    </row>
    <row r="11" spans="1:19">
      <c r="A11" s="10"/>
      <c r="B11" s="6"/>
      <c r="C11" s="6" t="s">
        <v>345</v>
      </c>
      <c r="D11" s="6" t="s">
        <v>264</v>
      </c>
      <c r="E11" s="4">
        <f>45*8*12</f>
        <v>4320</v>
      </c>
      <c r="F11" s="6" t="s">
        <v>1</v>
      </c>
      <c r="G11" s="6" t="s">
        <v>346</v>
      </c>
      <c r="H11" s="9">
        <v>0.15</v>
      </c>
      <c r="I11" s="97">
        <f>H11*E11</f>
        <v>648</v>
      </c>
      <c r="J11" s="9"/>
      <c r="K11" s="4"/>
      <c r="L11" s="4"/>
      <c r="M11" s="150"/>
      <c r="N11" s="150"/>
      <c r="O11" s="150"/>
      <c r="P11" s="6"/>
    </row>
    <row r="12" spans="1:19">
      <c r="A12" s="10"/>
      <c r="B12" s="6"/>
      <c r="C12" s="6" t="s">
        <v>345</v>
      </c>
      <c r="D12" s="6" t="s">
        <v>264</v>
      </c>
      <c r="E12" s="4">
        <f>45*8*600*1.625</f>
        <v>351000</v>
      </c>
      <c r="F12" s="6" t="s">
        <v>1</v>
      </c>
      <c r="G12" s="6" t="s">
        <v>475</v>
      </c>
      <c r="H12" s="9">
        <v>0.15</v>
      </c>
      <c r="I12" s="97">
        <f>H12*E12</f>
        <v>52650</v>
      </c>
      <c r="J12" s="9"/>
      <c r="K12" s="4"/>
      <c r="L12" s="4"/>
      <c r="M12" s="150"/>
      <c r="N12" s="150"/>
      <c r="O12" s="150"/>
      <c r="P12" s="6"/>
    </row>
    <row r="13" spans="1:19">
      <c r="A13" s="10"/>
      <c r="B13" s="6"/>
      <c r="C13" s="61" t="s">
        <v>405</v>
      </c>
      <c r="D13" s="61" t="s">
        <v>365</v>
      </c>
      <c r="E13" s="76">
        <f>5022*22</f>
        <v>110484</v>
      </c>
      <c r="F13" s="6" t="s">
        <v>1</v>
      </c>
      <c r="G13" s="162" t="s">
        <v>406</v>
      </c>
      <c r="H13" s="9">
        <v>0.15</v>
      </c>
      <c r="I13" s="97">
        <f t="shared" ref="I13" si="2">H13*E13</f>
        <v>16572.599999999999</v>
      </c>
      <c r="J13" s="76"/>
      <c r="K13" s="76"/>
      <c r="L13" s="76"/>
      <c r="M13" s="153"/>
      <c r="N13" s="153"/>
      <c r="O13" s="153"/>
      <c r="P13" s="6"/>
    </row>
    <row r="17" spans="1:16">
      <c r="A17" s="187" t="s">
        <v>473</v>
      </c>
      <c r="B17" s="185"/>
      <c r="C17" s="186"/>
      <c r="D17" s="181"/>
      <c r="E17" s="182"/>
      <c r="F17" s="181"/>
      <c r="G17" s="181"/>
      <c r="H17" s="183"/>
      <c r="I17" s="181"/>
      <c r="J17" s="183"/>
      <c r="K17" s="182"/>
      <c r="L17" s="182"/>
      <c r="M17" s="182"/>
      <c r="N17" s="25">
        <f>SUM(E18:E121)</f>
        <v>1097976.7580000001</v>
      </c>
      <c r="O17" s="194">
        <f>SUM(I18:I121)</f>
        <v>221132.92600000015</v>
      </c>
      <c r="P17" s="24">
        <f>N17+O17</f>
        <v>1319109.6840000004</v>
      </c>
    </row>
    <row r="18" spans="1:16" ht="30">
      <c r="A18" s="10"/>
      <c r="B18" s="6"/>
      <c r="C18" s="22" t="s">
        <v>48</v>
      </c>
      <c r="D18" s="22" t="s">
        <v>47</v>
      </c>
      <c r="E18" s="4">
        <v>32000</v>
      </c>
      <c r="F18" s="6" t="s">
        <v>1</v>
      </c>
      <c r="G18" s="6" t="s">
        <v>46</v>
      </c>
      <c r="H18" s="6">
        <v>0.2</v>
      </c>
      <c r="I18" s="4">
        <f t="shared" ref="I18:I27" si="3">H18*E18</f>
        <v>6400</v>
      </c>
      <c r="J18" s="9"/>
      <c r="K18" s="4"/>
      <c r="L18" s="4"/>
      <c r="M18" s="4"/>
      <c r="N18" s="4"/>
      <c r="O18" s="150"/>
      <c r="P18" s="8"/>
    </row>
    <row r="19" spans="1:16">
      <c r="A19" s="10"/>
      <c r="B19" s="6"/>
      <c r="C19" s="6" t="s">
        <v>45</v>
      </c>
      <c r="D19" s="6" t="s">
        <v>19</v>
      </c>
      <c r="E19" s="4">
        <v>1644</v>
      </c>
      <c r="F19" s="6" t="s">
        <v>1</v>
      </c>
      <c r="G19" s="6" t="s">
        <v>21</v>
      </c>
      <c r="H19" s="6">
        <v>0.2</v>
      </c>
      <c r="I19" s="4">
        <f t="shared" si="3"/>
        <v>328.8</v>
      </c>
      <c r="J19" s="9"/>
      <c r="K19" s="4"/>
      <c r="L19" s="4"/>
      <c r="M19" s="4"/>
      <c r="N19" s="4"/>
      <c r="O19" s="150"/>
      <c r="P19" s="8"/>
    </row>
    <row r="20" spans="1:16">
      <c r="A20" s="10"/>
      <c r="B20" s="6"/>
      <c r="C20" s="6" t="s">
        <v>44</v>
      </c>
      <c r="D20" s="6" t="s">
        <v>19</v>
      </c>
      <c r="E20" s="4">
        <v>720</v>
      </c>
      <c r="F20" s="6" t="s">
        <v>1</v>
      </c>
      <c r="G20" s="6" t="s">
        <v>21</v>
      </c>
      <c r="H20" s="6">
        <v>0.2</v>
      </c>
      <c r="I20" s="4">
        <f t="shared" si="3"/>
        <v>144</v>
      </c>
      <c r="J20" s="9"/>
      <c r="K20" s="4"/>
      <c r="L20" s="4"/>
      <c r="M20" s="4"/>
      <c r="N20" s="4"/>
      <c r="O20" s="150"/>
      <c r="P20" s="8"/>
    </row>
    <row r="21" spans="1:16">
      <c r="A21" s="10"/>
      <c r="B21" s="6"/>
      <c r="C21" s="6" t="s">
        <v>43</v>
      </c>
      <c r="D21" s="6" t="s">
        <v>19</v>
      </c>
      <c r="E21" s="4">
        <v>825</v>
      </c>
      <c r="F21" s="6" t="s">
        <v>1</v>
      </c>
      <c r="G21" s="6" t="s">
        <v>4</v>
      </c>
      <c r="H21" s="6">
        <v>0.2</v>
      </c>
      <c r="I21" s="4">
        <f t="shared" si="3"/>
        <v>165</v>
      </c>
      <c r="J21" s="9"/>
      <c r="K21" s="4"/>
      <c r="L21" s="4"/>
      <c r="M21" s="4"/>
      <c r="N21" s="4"/>
      <c r="O21" s="150"/>
      <c r="P21" s="8"/>
    </row>
    <row r="22" spans="1:16">
      <c r="A22" s="10"/>
      <c r="B22" s="6"/>
      <c r="C22" s="6" t="s">
        <v>42</v>
      </c>
      <c r="D22" s="6" t="s">
        <v>22</v>
      </c>
      <c r="E22" s="4">
        <v>1110</v>
      </c>
      <c r="F22" s="6" t="s">
        <v>1</v>
      </c>
      <c r="G22" s="6" t="s">
        <v>0</v>
      </c>
      <c r="H22" s="6">
        <v>0.2</v>
      </c>
      <c r="I22" s="4">
        <f t="shared" si="3"/>
        <v>222</v>
      </c>
      <c r="J22" s="9"/>
      <c r="K22" s="4"/>
      <c r="L22" s="4"/>
      <c r="M22" s="4"/>
      <c r="N22" s="4"/>
      <c r="O22" s="150"/>
      <c r="P22" s="8"/>
    </row>
    <row r="23" spans="1:16">
      <c r="A23" s="10"/>
      <c r="B23" s="6"/>
      <c r="C23" s="6" t="s">
        <v>41</v>
      </c>
      <c r="D23" s="6" t="s">
        <v>2</v>
      </c>
      <c r="E23" s="4">
        <v>650</v>
      </c>
      <c r="F23" s="6" t="s">
        <v>1</v>
      </c>
      <c r="G23" s="6" t="s">
        <v>21</v>
      </c>
      <c r="H23" s="6">
        <v>0.2</v>
      </c>
      <c r="I23" s="4">
        <f t="shared" si="3"/>
        <v>130</v>
      </c>
      <c r="J23" s="9"/>
      <c r="K23" s="4"/>
      <c r="L23" s="4"/>
      <c r="M23" s="4"/>
      <c r="N23" s="4"/>
      <c r="O23" s="150"/>
      <c r="P23" s="8"/>
    </row>
    <row r="24" spans="1:16">
      <c r="A24" s="10"/>
      <c r="B24" s="6"/>
      <c r="C24" s="6" t="s">
        <v>40</v>
      </c>
      <c r="D24" s="6" t="s">
        <v>15</v>
      </c>
      <c r="E24" s="4">
        <v>1315</v>
      </c>
      <c r="F24" s="6" t="s">
        <v>1</v>
      </c>
      <c r="G24" s="6" t="s">
        <v>21</v>
      </c>
      <c r="H24" s="6">
        <v>0.2</v>
      </c>
      <c r="I24" s="4">
        <f t="shared" si="3"/>
        <v>263</v>
      </c>
      <c r="J24" s="9"/>
      <c r="K24" s="4"/>
      <c r="L24" s="4"/>
      <c r="M24" s="4"/>
      <c r="N24" s="4"/>
      <c r="O24" s="150"/>
      <c r="P24" s="8"/>
    </row>
    <row r="25" spans="1:16">
      <c r="A25" s="10"/>
      <c r="B25" s="6"/>
      <c r="C25" s="6" t="s">
        <v>37</v>
      </c>
      <c r="D25" s="6" t="s">
        <v>19</v>
      </c>
      <c r="E25" s="4">
        <v>1550</v>
      </c>
      <c r="F25" s="6" t="s">
        <v>1</v>
      </c>
      <c r="G25" s="6" t="s">
        <v>21</v>
      </c>
      <c r="H25" s="6">
        <v>0.2</v>
      </c>
      <c r="I25" s="4">
        <f t="shared" si="3"/>
        <v>310</v>
      </c>
      <c r="J25" s="9"/>
      <c r="K25" s="4"/>
      <c r="L25" s="4"/>
      <c r="M25" s="4"/>
      <c r="N25" s="4"/>
      <c r="O25" s="150"/>
      <c r="P25" s="8"/>
    </row>
    <row r="26" spans="1:16">
      <c r="A26" s="10"/>
      <c r="B26" s="6"/>
      <c r="C26" s="6" t="s">
        <v>36</v>
      </c>
      <c r="D26" s="6" t="s">
        <v>15</v>
      </c>
      <c r="E26" s="4">
        <v>450</v>
      </c>
      <c r="F26" s="6" t="s">
        <v>1</v>
      </c>
      <c r="G26" s="6" t="s">
        <v>4</v>
      </c>
      <c r="H26" s="6">
        <v>0.2</v>
      </c>
      <c r="I26" s="4">
        <f t="shared" si="3"/>
        <v>90</v>
      </c>
      <c r="J26" s="9"/>
      <c r="K26" s="4"/>
      <c r="L26" s="4"/>
      <c r="M26" s="4"/>
      <c r="N26" s="4"/>
      <c r="O26" s="150"/>
      <c r="P26" s="8"/>
    </row>
    <row r="27" spans="1:16">
      <c r="A27" s="10"/>
      <c r="B27" s="6"/>
      <c r="C27" s="6" t="s">
        <v>35</v>
      </c>
      <c r="D27" s="6" t="s">
        <v>24</v>
      </c>
      <c r="E27" s="4">
        <v>1575</v>
      </c>
      <c r="F27" s="6" t="s">
        <v>1</v>
      </c>
      <c r="G27" s="6" t="s">
        <v>21</v>
      </c>
      <c r="H27" s="6">
        <v>0.2</v>
      </c>
      <c r="I27" s="4">
        <f t="shared" si="3"/>
        <v>315</v>
      </c>
      <c r="J27" s="9"/>
      <c r="K27" s="4"/>
      <c r="L27" s="4"/>
      <c r="M27" s="4"/>
      <c r="N27" s="4"/>
      <c r="O27" s="150"/>
      <c r="P27" s="8"/>
    </row>
    <row r="28" spans="1:16">
      <c r="A28" s="10"/>
      <c r="B28" s="6"/>
      <c r="C28" s="6" t="s">
        <v>29</v>
      </c>
      <c r="D28" s="6" t="s">
        <v>19</v>
      </c>
      <c r="E28" s="4">
        <v>1200</v>
      </c>
      <c r="F28" s="6" t="s">
        <v>1</v>
      </c>
      <c r="G28" s="6" t="s">
        <v>0</v>
      </c>
      <c r="H28" s="6">
        <v>0.2</v>
      </c>
      <c r="I28" s="4">
        <f t="shared" ref="I28:I32" si="4">H28*E28</f>
        <v>240</v>
      </c>
      <c r="J28" s="9"/>
      <c r="K28" s="4"/>
      <c r="L28" s="4"/>
      <c r="M28" s="4"/>
      <c r="N28" s="4"/>
      <c r="O28" s="150"/>
      <c r="P28" s="8"/>
    </row>
    <row r="29" spans="1:16">
      <c r="A29" s="10"/>
      <c r="B29" s="6"/>
      <c r="C29" s="6" t="s">
        <v>26</v>
      </c>
      <c r="D29" s="6" t="s">
        <v>19</v>
      </c>
      <c r="E29" s="4">
        <v>946</v>
      </c>
      <c r="F29" s="6" t="s">
        <v>1</v>
      </c>
      <c r="G29" s="6" t="s">
        <v>0</v>
      </c>
      <c r="H29" s="6">
        <v>0.2</v>
      </c>
      <c r="I29" s="4">
        <f t="shared" si="4"/>
        <v>189.20000000000002</v>
      </c>
      <c r="J29" s="9"/>
      <c r="K29" s="4"/>
      <c r="L29" s="4"/>
      <c r="M29" s="4"/>
      <c r="N29" s="4"/>
      <c r="O29" s="150"/>
      <c r="P29" s="8"/>
    </row>
    <row r="30" spans="1:16">
      <c r="A30" s="10"/>
      <c r="B30" s="6"/>
      <c r="C30" s="6" t="s">
        <v>25</v>
      </c>
      <c r="D30" s="6" t="s">
        <v>24</v>
      </c>
      <c r="E30" s="4">
        <v>3750</v>
      </c>
      <c r="F30" s="6" t="s">
        <v>1</v>
      </c>
      <c r="G30" s="6" t="s">
        <v>0</v>
      </c>
      <c r="H30" s="6">
        <v>0.2</v>
      </c>
      <c r="I30" s="4">
        <f t="shared" si="4"/>
        <v>750</v>
      </c>
      <c r="J30" s="9"/>
      <c r="K30" s="4"/>
      <c r="L30" s="4"/>
      <c r="M30" s="4"/>
      <c r="N30" s="4"/>
      <c r="O30" s="150"/>
      <c r="P30" s="8"/>
    </row>
    <row r="31" spans="1:16">
      <c r="A31" s="10"/>
      <c r="B31" s="6"/>
      <c r="C31" s="6" t="s">
        <v>23</v>
      </c>
      <c r="D31" s="6" t="s">
        <v>22</v>
      </c>
      <c r="E31" s="4">
        <v>924</v>
      </c>
      <c r="F31" s="6" t="s">
        <v>1</v>
      </c>
      <c r="G31" s="6" t="s">
        <v>21</v>
      </c>
      <c r="H31" s="6">
        <v>0.2</v>
      </c>
      <c r="I31" s="4">
        <f t="shared" si="4"/>
        <v>184.8</v>
      </c>
      <c r="J31" s="9"/>
      <c r="K31" s="4"/>
      <c r="L31" s="4"/>
      <c r="M31" s="4"/>
      <c r="N31" s="4"/>
      <c r="O31" s="150"/>
      <c r="P31" s="8"/>
    </row>
    <row r="32" spans="1:16">
      <c r="A32" s="10"/>
      <c r="B32" s="6"/>
      <c r="C32" s="6" t="s">
        <v>20</v>
      </c>
      <c r="D32" s="6" t="s">
        <v>19</v>
      </c>
      <c r="E32" s="4">
        <v>1097</v>
      </c>
      <c r="F32" s="6" t="s">
        <v>1</v>
      </c>
      <c r="G32" s="6" t="s">
        <v>4</v>
      </c>
      <c r="H32" s="6">
        <v>0.2</v>
      </c>
      <c r="I32" s="4">
        <f t="shared" si="4"/>
        <v>219.4</v>
      </c>
      <c r="J32" s="9"/>
      <c r="K32" s="4"/>
      <c r="L32" s="4"/>
      <c r="M32" s="4"/>
      <c r="N32" s="4"/>
      <c r="O32" s="150"/>
      <c r="P32" s="8"/>
    </row>
    <row r="33" spans="1:16">
      <c r="A33" s="10"/>
      <c r="B33" s="6"/>
      <c r="C33" s="6" t="s">
        <v>16</v>
      </c>
      <c r="D33" s="6" t="s">
        <v>15</v>
      </c>
      <c r="E33" s="4">
        <v>1625</v>
      </c>
      <c r="F33" s="6" t="s">
        <v>1</v>
      </c>
      <c r="G33" s="6" t="s">
        <v>14</v>
      </c>
      <c r="H33" s="6">
        <v>0.2</v>
      </c>
      <c r="I33" s="4">
        <f t="shared" ref="I33:I38" si="5">H33*E33</f>
        <v>325</v>
      </c>
      <c r="J33" s="9"/>
      <c r="K33" s="4"/>
      <c r="L33" s="4"/>
      <c r="M33" s="4"/>
      <c r="N33" s="4"/>
      <c r="O33" s="150"/>
      <c r="P33" s="8"/>
    </row>
    <row r="34" spans="1:16">
      <c r="A34" s="10"/>
      <c r="B34" s="6"/>
      <c r="C34" s="6" t="s">
        <v>13</v>
      </c>
      <c r="D34" s="6" t="s">
        <v>2</v>
      </c>
      <c r="E34" s="4">
        <v>2050</v>
      </c>
      <c r="F34" s="6" t="s">
        <v>1</v>
      </c>
      <c r="G34" s="6" t="s">
        <v>4</v>
      </c>
      <c r="H34" s="6">
        <v>0.2</v>
      </c>
      <c r="I34" s="4">
        <f t="shared" si="5"/>
        <v>410</v>
      </c>
      <c r="J34" s="9"/>
      <c r="K34" s="4"/>
      <c r="L34" s="4"/>
      <c r="M34" s="4"/>
      <c r="N34" s="4"/>
      <c r="O34" s="150"/>
      <c r="P34" s="8"/>
    </row>
    <row r="35" spans="1:16">
      <c r="A35" s="10"/>
      <c r="B35" s="6"/>
      <c r="C35" s="6" t="s">
        <v>12</v>
      </c>
      <c r="D35" s="6" t="s">
        <v>10</v>
      </c>
      <c r="E35" s="4">
        <v>550</v>
      </c>
      <c r="F35" s="6" t="s">
        <v>1</v>
      </c>
      <c r="G35" s="6" t="s">
        <v>4</v>
      </c>
      <c r="H35" s="6">
        <v>0.2</v>
      </c>
      <c r="I35" s="4">
        <f t="shared" si="5"/>
        <v>110</v>
      </c>
      <c r="J35" s="9"/>
      <c r="K35" s="4"/>
      <c r="L35" s="4"/>
      <c r="M35" s="4"/>
      <c r="N35" s="4"/>
      <c r="O35" s="150"/>
      <c r="P35" s="8"/>
    </row>
    <row r="36" spans="1:16">
      <c r="A36" s="10"/>
      <c r="B36" s="6"/>
      <c r="C36" s="6" t="s">
        <v>11</v>
      </c>
      <c r="D36" s="6" t="s">
        <v>10</v>
      </c>
      <c r="E36" s="4">
        <v>2986</v>
      </c>
      <c r="F36" s="6" t="s">
        <v>1</v>
      </c>
      <c r="G36" s="6" t="s">
        <v>4</v>
      </c>
      <c r="H36" s="6">
        <v>0.2</v>
      </c>
      <c r="I36" s="4">
        <f t="shared" si="5"/>
        <v>597.20000000000005</v>
      </c>
      <c r="J36" s="9"/>
      <c r="K36" s="4"/>
      <c r="L36" s="4"/>
      <c r="M36" s="4"/>
      <c r="N36" s="4"/>
      <c r="O36" s="150"/>
      <c r="P36" s="8"/>
    </row>
    <row r="37" spans="1:16">
      <c r="A37" s="10"/>
      <c r="B37" s="6"/>
      <c r="C37" s="6" t="s">
        <v>6</v>
      </c>
      <c r="D37" s="6" t="s">
        <v>5</v>
      </c>
      <c r="E37" s="4">
        <v>650</v>
      </c>
      <c r="F37" s="6" t="s">
        <v>1</v>
      </c>
      <c r="G37" s="6" t="s">
        <v>4</v>
      </c>
      <c r="H37" s="6">
        <v>0.2</v>
      </c>
      <c r="I37" s="4">
        <f t="shared" si="5"/>
        <v>130</v>
      </c>
      <c r="J37" s="9"/>
      <c r="K37" s="4"/>
      <c r="L37" s="4"/>
      <c r="M37" s="4"/>
      <c r="N37" s="4"/>
      <c r="O37" s="150"/>
      <c r="P37" s="8"/>
    </row>
    <row r="38" spans="1:16" ht="16" thickBot="1">
      <c r="A38" s="7"/>
      <c r="B38" s="5"/>
      <c r="C38" s="5" t="s">
        <v>3</v>
      </c>
      <c r="D38" s="5" t="s">
        <v>2</v>
      </c>
      <c r="E38" s="2">
        <v>882</v>
      </c>
      <c r="F38" s="6" t="s">
        <v>1</v>
      </c>
      <c r="G38" s="5" t="s">
        <v>0</v>
      </c>
      <c r="H38" s="5">
        <v>0.2</v>
      </c>
      <c r="I38" s="4">
        <f t="shared" si="5"/>
        <v>176.4</v>
      </c>
      <c r="J38" s="3"/>
      <c r="K38" s="2"/>
      <c r="L38" s="2"/>
      <c r="M38" s="2"/>
      <c r="N38" s="2"/>
      <c r="O38" s="163"/>
      <c r="P38" s="1"/>
    </row>
    <row r="39" spans="1:16" ht="16" thickBot="1">
      <c r="A39" s="7"/>
      <c r="B39" s="5"/>
      <c r="C39" s="5" t="s">
        <v>70</v>
      </c>
      <c r="D39" s="5" t="s">
        <v>71</v>
      </c>
      <c r="E39" s="2">
        <v>77177</v>
      </c>
      <c r="F39" s="5" t="s">
        <v>1</v>
      </c>
      <c r="G39" s="45" t="s">
        <v>72</v>
      </c>
      <c r="H39" s="5">
        <v>0.2</v>
      </c>
      <c r="I39" s="46">
        <f>H39*E39</f>
        <v>15435.400000000001</v>
      </c>
      <c r="J39" s="5"/>
      <c r="K39" s="2"/>
      <c r="L39" s="2"/>
      <c r="M39" s="2"/>
      <c r="N39" s="2"/>
      <c r="O39" s="163"/>
      <c r="P39" s="1"/>
    </row>
    <row r="40" spans="1:16" ht="16" thickBot="1">
      <c r="A40" s="54"/>
      <c r="B40" s="55"/>
      <c r="C40" s="6" t="s">
        <v>80</v>
      </c>
      <c r="D40" s="56"/>
      <c r="E40" s="57">
        <v>4500</v>
      </c>
      <c r="F40" s="56" t="s">
        <v>1</v>
      </c>
      <c r="G40" s="56" t="s">
        <v>46</v>
      </c>
      <c r="H40" s="58">
        <v>0.2</v>
      </c>
      <c r="I40" s="57">
        <f>H40*E40</f>
        <v>900</v>
      </c>
      <c r="J40" s="58"/>
      <c r="K40" s="57"/>
      <c r="L40" s="57"/>
      <c r="M40" s="4"/>
      <c r="N40" s="4"/>
      <c r="O40" s="4"/>
      <c r="P40" s="6"/>
    </row>
    <row r="41" spans="1:16" ht="16" thickBot="1">
      <c r="A41" s="54"/>
      <c r="B41" s="55"/>
      <c r="C41" s="6" t="s">
        <v>81</v>
      </c>
      <c r="D41" s="6"/>
      <c r="E41" s="4">
        <v>3975</v>
      </c>
      <c r="F41" s="56" t="s">
        <v>1</v>
      </c>
      <c r="G41" s="6" t="s">
        <v>82</v>
      </c>
      <c r="H41" s="9">
        <v>0.2</v>
      </c>
      <c r="I41" s="57">
        <f t="shared" ref="I41:I50" si="6">H41*E41</f>
        <v>795</v>
      </c>
      <c r="J41" s="9"/>
      <c r="K41" s="4"/>
      <c r="L41" s="4"/>
      <c r="M41" s="4"/>
      <c r="N41" s="4"/>
      <c r="O41" s="4"/>
      <c r="P41" s="6"/>
    </row>
    <row r="42" spans="1:16" ht="16" thickBot="1">
      <c r="A42" s="54"/>
      <c r="B42" s="55"/>
      <c r="C42" s="6" t="s">
        <v>83</v>
      </c>
      <c r="D42" s="6"/>
      <c r="E42" s="4">
        <v>500</v>
      </c>
      <c r="F42" s="56" t="s">
        <v>1</v>
      </c>
      <c r="G42" s="6" t="s">
        <v>84</v>
      </c>
      <c r="H42" s="9">
        <v>0.2</v>
      </c>
      <c r="I42" s="57">
        <f t="shared" si="6"/>
        <v>100</v>
      </c>
      <c r="J42" s="9"/>
      <c r="K42" s="4"/>
      <c r="L42" s="4"/>
      <c r="M42" s="4"/>
      <c r="N42" s="4"/>
      <c r="O42" s="4"/>
      <c r="P42" s="6"/>
    </row>
    <row r="43" spans="1:16" ht="16" thickBot="1">
      <c r="A43" s="60"/>
      <c r="B43" s="55"/>
      <c r="C43" s="62" t="s">
        <v>83</v>
      </c>
      <c r="D43" s="6"/>
      <c r="E43" s="4">
        <v>300</v>
      </c>
      <c r="F43" s="56" t="s">
        <v>1</v>
      </c>
      <c r="G43" s="6" t="s">
        <v>84</v>
      </c>
      <c r="H43" s="9">
        <v>0.2</v>
      </c>
      <c r="I43" s="57">
        <f t="shared" si="6"/>
        <v>60</v>
      </c>
      <c r="J43" s="9"/>
      <c r="K43" s="4"/>
      <c r="L43" s="4"/>
      <c r="M43" s="4"/>
      <c r="N43" s="4"/>
      <c r="O43" s="4"/>
      <c r="P43" s="6"/>
    </row>
    <row r="44" spans="1:16" ht="16" thickBot="1">
      <c r="A44" s="54"/>
      <c r="B44" s="55"/>
      <c r="C44" s="6" t="s">
        <v>99</v>
      </c>
      <c r="D44" s="6"/>
      <c r="E44" s="4">
        <v>7000</v>
      </c>
      <c r="F44" s="6" t="s">
        <v>1</v>
      </c>
      <c r="G44" s="6" t="s">
        <v>84</v>
      </c>
      <c r="H44" s="71">
        <v>0.2</v>
      </c>
      <c r="I44" s="57">
        <f t="shared" si="6"/>
        <v>1400</v>
      </c>
      <c r="J44" s="71"/>
      <c r="K44" s="72"/>
      <c r="L44" s="72"/>
      <c r="M44" s="4"/>
      <c r="N44" s="4"/>
      <c r="O44" s="4"/>
      <c r="P44" s="6"/>
    </row>
    <row r="45" spans="1:16" ht="16" thickBot="1">
      <c r="A45" s="54"/>
      <c r="B45" s="55"/>
      <c r="C45" s="55" t="s">
        <v>83</v>
      </c>
      <c r="D45" s="61"/>
      <c r="E45" s="76">
        <v>1200</v>
      </c>
      <c r="F45" s="6" t="s">
        <v>1</v>
      </c>
      <c r="G45" s="61" t="s">
        <v>14</v>
      </c>
      <c r="H45" s="71">
        <v>0.2</v>
      </c>
      <c r="I45" s="57">
        <f t="shared" si="6"/>
        <v>240</v>
      </c>
      <c r="J45" s="71"/>
      <c r="K45" s="72"/>
      <c r="L45" s="72"/>
      <c r="M45" s="4"/>
      <c r="N45" s="4"/>
      <c r="O45" s="4"/>
      <c r="P45" s="6"/>
    </row>
    <row r="46" spans="1:16" ht="16" thickBot="1">
      <c r="A46" s="6"/>
      <c r="B46" s="55"/>
      <c r="C46" s="6" t="s">
        <v>115</v>
      </c>
      <c r="D46" s="6" t="s">
        <v>116</v>
      </c>
      <c r="E46" s="4">
        <v>800</v>
      </c>
      <c r="F46" s="6" t="s">
        <v>1</v>
      </c>
      <c r="G46" s="6" t="s">
        <v>4</v>
      </c>
      <c r="H46" s="9">
        <v>0.2</v>
      </c>
      <c r="I46" s="57">
        <f t="shared" si="6"/>
        <v>160</v>
      </c>
      <c r="J46" s="9"/>
      <c r="K46" s="4"/>
      <c r="L46" s="4"/>
      <c r="M46" s="4"/>
      <c r="N46" s="4"/>
      <c r="O46" s="4"/>
      <c r="P46" s="6"/>
    </row>
    <row r="47" spans="1:16" ht="16" thickBot="1">
      <c r="A47" s="6"/>
      <c r="B47" s="55"/>
      <c r="C47" s="6" t="s">
        <v>121</v>
      </c>
      <c r="D47" s="6" t="s">
        <v>108</v>
      </c>
      <c r="E47" s="4">
        <v>535</v>
      </c>
      <c r="F47" s="6" t="s">
        <v>1</v>
      </c>
      <c r="G47" s="6" t="s">
        <v>0</v>
      </c>
      <c r="H47" s="9">
        <v>0.2</v>
      </c>
      <c r="I47" s="57">
        <f t="shared" si="6"/>
        <v>107</v>
      </c>
      <c r="J47" s="9"/>
      <c r="K47" s="4"/>
      <c r="L47" s="4"/>
      <c r="M47" s="4"/>
      <c r="N47" s="4"/>
      <c r="O47" s="4"/>
      <c r="P47" s="6"/>
    </row>
    <row r="48" spans="1:16" ht="16" thickBot="1">
      <c r="A48" s="6"/>
      <c r="B48" s="55"/>
      <c r="C48" s="6" t="s">
        <v>130</v>
      </c>
      <c r="D48" s="6" t="s">
        <v>131</v>
      </c>
      <c r="E48" s="4">
        <v>2400</v>
      </c>
      <c r="F48" s="55" t="s">
        <v>1</v>
      </c>
      <c r="G48" s="6" t="s">
        <v>0</v>
      </c>
      <c r="H48" s="9">
        <v>0.2</v>
      </c>
      <c r="I48" s="57">
        <f t="shared" si="6"/>
        <v>480</v>
      </c>
      <c r="J48" s="9"/>
      <c r="K48" s="4"/>
      <c r="L48" s="4"/>
      <c r="M48" s="4"/>
      <c r="N48" s="4"/>
      <c r="O48" s="4"/>
      <c r="P48" s="6"/>
    </row>
    <row r="49" spans="1:16" ht="16" thickBot="1">
      <c r="A49" s="6"/>
      <c r="B49" s="55"/>
      <c r="C49" s="6" t="s">
        <v>137</v>
      </c>
      <c r="D49" s="6" t="s">
        <v>19</v>
      </c>
      <c r="E49" s="4">
        <v>520</v>
      </c>
      <c r="F49" s="55" t="s">
        <v>1</v>
      </c>
      <c r="G49" s="6" t="s">
        <v>0</v>
      </c>
      <c r="H49" s="9">
        <v>0.2</v>
      </c>
      <c r="I49" s="57">
        <f t="shared" si="6"/>
        <v>104</v>
      </c>
      <c r="J49" s="9"/>
      <c r="K49" s="4"/>
      <c r="L49" s="4"/>
      <c r="M49" s="4"/>
      <c r="N49" s="4"/>
      <c r="O49" s="4"/>
      <c r="P49" s="6"/>
    </row>
    <row r="50" spans="1:16">
      <c r="A50" s="6"/>
      <c r="B50" s="55"/>
      <c r="C50" s="6" t="s">
        <v>121</v>
      </c>
      <c r="D50" s="6" t="s">
        <v>108</v>
      </c>
      <c r="E50" s="4">
        <v>535</v>
      </c>
      <c r="F50" s="55" t="s">
        <v>1</v>
      </c>
      <c r="G50" s="6" t="s">
        <v>4</v>
      </c>
      <c r="H50" s="9">
        <v>0.2</v>
      </c>
      <c r="I50" s="57">
        <f t="shared" si="6"/>
        <v>107</v>
      </c>
      <c r="J50" s="9"/>
      <c r="K50" s="4"/>
      <c r="L50" s="4"/>
      <c r="M50" s="4"/>
      <c r="N50" s="4"/>
      <c r="O50" s="4"/>
      <c r="P50" s="6"/>
    </row>
    <row r="51" spans="1:16">
      <c r="A51" s="10"/>
      <c r="B51" s="6"/>
      <c r="C51" s="6" t="s">
        <v>166</v>
      </c>
      <c r="D51" s="6" t="s">
        <v>165</v>
      </c>
      <c r="E51" s="4">
        <v>23400</v>
      </c>
      <c r="F51" s="6" t="s">
        <v>1</v>
      </c>
      <c r="G51" s="98" t="s">
        <v>72</v>
      </c>
      <c r="H51" s="9">
        <v>0.2</v>
      </c>
      <c r="I51" s="97">
        <f t="shared" ref="I51:I54" si="7">E51*H51</f>
        <v>4680</v>
      </c>
      <c r="J51" s="127"/>
      <c r="K51" s="126"/>
      <c r="L51" s="126"/>
      <c r="M51" s="125"/>
      <c r="N51" s="125"/>
      <c r="O51" s="125"/>
      <c r="P51" s="124"/>
    </row>
    <row r="52" spans="1:16">
      <c r="A52" s="10"/>
      <c r="B52" s="6"/>
      <c r="C52" s="6" t="s">
        <v>173</v>
      </c>
      <c r="D52" s="6" t="s">
        <v>172</v>
      </c>
      <c r="E52" s="4">
        <v>1145.8</v>
      </c>
      <c r="F52" s="6" t="s">
        <v>1</v>
      </c>
      <c r="G52" s="98" t="s">
        <v>72</v>
      </c>
      <c r="H52" s="9">
        <v>0.2</v>
      </c>
      <c r="I52" s="97">
        <f t="shared" si="7"/>
        <v>229.16</v>
      </c>
      <c r="J52" s="127"/>
      <c r="K52" s="126"/>
      <c r="L52" s="126"/>
      <c r="M52" s="125"/>
      <c r="N52" s="125"/>
      <c r="O52" s="125"/>
      <c r="P52" s="124"/>
    </row>
    <row r="53" spans="1:16">
      <c r="A53" s="10"/>
      <c r="B53" s="6"/>
      <c r="C53" s="6" t="s">
        <v>171</v>
      </c>
      <c r="D53" s="6" t="s">
        <v>159</v>
      </c>
      <c r="E53" s="4">
        <v>1170</v>
      </c>
      <c r="F53" s="6" t="s">
        <v>1</v>
      </c>
      <c r="G53" s="98" t="s">
        <v>72</v>
      </c>
      <c r="H53" s="9">
        <v>0.2</v>
      </c>
      <c r="I53" s="97">
        <f t="shared" si="7"/>
        <v>234</v>
      </c>
      <c r="J53" s="127"/>
      <c r="K53" s="126"/>
      <c r="L53" s="126"/>
      <c r="M53" s="125"/>
      <c r="N53" s="125"/>
      <c r="O53" s="125"/>
      <c r="P53" s="124"/>
    </row>
    <row r="54" spans="1:16" ht="16" thickBot="1">
      <c r="A54" s="7"/>
      <c r="B54" s="5"/>
      <c r="C54" s="5" t="s">
        <v>170</v>
      </c>
      <c r="D54" s="5" t="s">
        <v>169</v>
      </c>
      <c r="E54" s="2">
        <v>600</v>
      </c>
      <c r="F54" s="5" t="s">
        <v>1</v>
      </c>
      <c r="G54" s="98" t="s">
        <v>202</v>
      </c>
      <c r="H54" s="3">
        <v>0.2</v>
      </c>
      <c r="I54" s="46">
        <f t="shared" si="7"/>
        <v>120</v>
      </c>
      <c r="J54" s="123"/>
      <c r="K54" s="122"/>
      <c r="L54" s="122"/>
      <c r="M54" s="121"/>
      <c r="N54" s="121"/>
      <c r="O54" s="121"/>
      <c r="P54" s="120"/>
    </row>
    <row r="55" spans="1:16">
      <c r="A55" s="10"/>
      <c r="B55" s="6"/>
      <c r="C55" s="6" t="s">
        <v>166</v>
      </c>
      <c r="D55" s="6" t="s">
        <v>165</v>
      </c>
      <c r="E55" s="4">
        <v>12000</v>
      </c>
      <c r="F55" s="6" t="s">
        <v>1</v>
      </c>
      <c r="G55" s="98" t="s">
        <v>72</v>
      </c>
      <c r="H55" s="9">
        <v>0.2</v>
      </c>
      <c r="I55" s="97">
        <f>H55*E55</f>
        <v>2400</v>
      </c>
      <c r="J55" s="127"/>
      <c r="K55" s="126"/>
      <c r="L55" s="126"/>
      <c r="M55" s="125"/>
      <c r="N55" s="125"/>
      <c r="O55" s="125"/>
      <c r="P55" s="124"/>
    </row>
    <row r="56" spans="1:16">
      <c r="A56" s="10"/>
      <c r="B56" s="6"/>
      <c r="C56" s="6" t="s">
        <v>162</v>
      </c>
      <c r="D56" s="6" t="s">
        <v>161</v>
      </c>
      <c r="E56" s="4">
        <v>229.16</v>
      </c>
      <c r="F56" s="6" t="s">
        <v>1</v>
      </c>
      <c r="G56" s="98" t="s">
        <v>72</v>
      </c>
      <c r="H56" s="9">
        <v>0.2</v>
      </c>
      <c r="I56" s="97">
        <f>H56*E56</f>
        <v>45.832000000000001</v>
      </c>
      <c r="J56" s="127"/>
      <c r="K56" s="126"/>
      <c r="L56" s="126"/>
      <c r="M56" s="125"/>
      <c r="N56" s="125"/>
      <c r="O56" s="125"/>
      <c r="P56" s="124"/>
    </row>
    <row r="57" spans="1:16" ht="16" thickBot="1">
      <c r="A57" s="7"/>
      <c r="B57" s="5"/>
      <c r="C57" s="5" t="s">
        <v>160</v>
      </c>
      <c r="D57" s="5" t="s">
        <v>159</v>
      </c>
      <c r="E57" s="2">
        <v>1170</v>
      </c>
      <c r="F57" s="5" t="s">
        <v>1</v>
      </c>
      <c r="G57" s="98" t="s">
        <v>72</v>
      </c>
      <c r="H57" s="3">
        <v>0.2</v>
      </c>
      <c r="I57" s="97">
        <f>H57*E57</f>
        <v>234</v>
      </c>
      <c r="J57" s="123"/>
      <c r="K57" s="122"/>
      <c r="L57" s="122"/>
      <c r="M57" s="121"/>
      <c r="N57" s="121"/>
      <c r="O57" s="121"/>
      <c r="P57" s="120"/>
    </row>
    <row r="58" spans="1:16">
      <c r="A58" s="54"/>
      <c r="B58" s="55"/>
      <c r="C58" s="55" t="s">
        <v>152</v>
      </c>
      <c r="D58" s="55" t="s">
        <v>151</v>
      </c>
      <c r="E58" s="72">
        <v>6222</v>
      </c>
      <c r="F58" s="55" t="s">
        <v>1</v>
      </c>
      <c r="G58" s="98" t="s">
        <v>150</v>
      </c>
      <c r="H58" s="113">
        <v>0.2</v>
      </c>
      <c r="I58" s="97">
        <f>H58*E58</f>
        <v>1244.4000000000001</v>
      </c>
      <c r="J58" s="112"/>
      <c r="K58" s="111"/>
      <c r="L58" s="111"/>
      <c r="M58" s="110"/>
      <c r="N58" s="110"/>
      <c r="O58" s="110"/>
      <c r="P58" s="109"/>
    </row>
    <row r="59" spans="1:16">
      <c r="A59" s="10"/>
      <c r="B59" s="6"/>
      <c r="C59" s="6" t="s">
        <v>186</v>
      </c>
      <c r="D59" s="6" t="s">
        <v>185</v>
      </c>
      <c r="E59" s="97">
        <v>4361.9799999999996</v>
      </c>
      <c r="F59" s="6" t="s">
        <v>1</v>
      </c>
      <c r="G59" s="98" t="s">
        <v>174</v>
      </c>
      <c r="H59" s="9">
        <v>0.2</v>
      </c>
      <c r="I59" s="97">
        <f>E59*H59</f>
        <v>872.39599999999996</v>
      </c>
      <c r="J59" s="9"/>
      <c r="K59" s="4"/>
      <c r="L59" s="4"/>
      <c r="M59" s="4"/>
      <c r="N59" s="4"/>
      <c r="O59" s="4"/>
      <c r="P59" s="4"/>
    </row>
    <row r="60" spans="1:16">
      <c r="A60" s="10"/>
      <c r="B60" s="6"/>
      <c r="C60" s="6" t="s">
        <v>184</v>
      </c>
      <c r="D60" s="6" t="s">
        <v>182</v>
      </c>
      <c r="E60" s="97">
        <v>4277.84</v>
      </c>
      <c r="F60" s="6" t="s">
        <v>1</v>
      </c>
      <c r="G60" s="6" t="s">
        <v>181</v>
      </c>
      <c r="H60" s="9">
        <v>0.2</v>
      </c>
      <c r="I60" s="97">
        <f>E60*H60</f>
        <v>855.5680000000001</v>
      </c>
      <c r="J60" s="9"/>
      <c r="K60" s="4"/>
      <c r="L60" s="4"/>
      <c r="M60" s="4"/>
      <c r="N60" s="4"/>
      <c r="O60" s="4"/>
      <c r="P60" s="4"/>
    </row>
    <row r="61" spans="1:16">
      <c r="A61" s="10"/>
      <c r="B61" s="6"/>
      <c r="C61" s="6" t="s">
        <v>183</v>
      </c>
      <c r="D61" s="6" t="s">
        <v>182</v>
      </c>
      <c r="E61" s="97">
        <v>1440.43</v>
      </c>
      <c r="F61" s="6" t="s">
        <v>1</v>
      </c>
      <c r="G61" s="6" t="s">
        <v>181</v>
      </c>
      <c r="H61" s="9">
        <v>0.2</v>
      </c>
      <c r="I61" s="97">
        <f>E61*H61</f>
        <v>288.08600000000001</v>
      </c>
      <c r="J61" s="9"/>
      <c r="K61" s="4"/>
      <c r="L61" s="4"/>
      <c r="M61" s="4"/>
      <c r="N61" s="4"/>
      <c r="O61" s="4"/>
      <c r="P61" s="4"/>
    </row>
    <row r="62" spans="1:16" ht="16" thickBot="1">
      <c r="A62" s="7"/>
      <c r="B62" s="5"/>
      <c r="C62" s="5" t="s">
        <v>180</v>
      </c>
      <c r="D62" s="5" t="s">
        <v>159</v>
      </c>
      <c r="E62" s="46">
        <v>352.41</v>
      </c>
      <c r="F62" s="5" t="s">
        <v>1</v>
      </c>
      <c r="G62" s="5" t="s">
        <v>72</v>
      </c>
      <c r="H62" s="9">
        <v>0.2</v>
      </c>
      <c r="I62" s="97">
        <f>E62*H62</f>
        <v>70.482000000000014</v>
      </c>
      <c r="J62" s="3"/>
      <c r="K62" s="2"/>
      <c r="L62" s="2"/>
      <c r="M62" s="2"/>
      <c r="N62" s="2"/>
      <c r="O62" s="2"/>
      <c r="P62" s="2"/>
    </row>
    <row r="63" spans="1:16">
      <c r="A63" s="10"/>
      <c r="B63" s="6"/>
      <c r="C63" s="6" t="s">
        <v>177</v>
      </c>
      <c r="D63" s="6" t="s">
        <v>176</v>
      </c>
      <c r="E63" s="97">
        <v>1621.08</v>
      </c>
      <c r="F63" s="6" t="s">
        <v>1</v>
      </c>
      <c r="G63" s="98" t="s">
        <v>174</v>
      </c>
      <c r="H63" s="9">
        <v>0.2</v>
      </c>
      <c r="I63" s="97">
        <f t="shared" ref="I63:I69" si="8">H63*E63</f>
        <v>324.21600000000001</v>
      </c>
      <c r="J63" s="9"/>
      <c r="K63" s="4"/>
      <c r="L63" s="4"/>
      <c r="M63" s="4"/>
      <c r="N63" s="4"/>
      <c r="O63" s="4"/>
      <c r="P63" s="4"/>
    </row>
    <row r="64" spans="1:16">
      <c r="A64" s="10"/>
      <c r="B64" s="6"/>
      <c r="C64" s="6" t="s">
        <v>166</v>
      </c>
      <c r="D64" s="6" t="s">
        <v>165</v>
      </c>
      <c r="E64" s="97">
        <v>23400</v>
      </c>
      <c r="F64" s="6" t="s">
        <v>1</v>
      </c>
      <c r="G64" s="98" t="s">
        <v>72</v>
      </c>
      <c r="H64" s="9">
        <v>0.2</v>
      </c>
      <c r="I64" s="97">
        <f t="shared" si="8"/>
        <v>4680</v>
      </c>
      <c r="J64" s="9"/>
      <c r="K64" s="4"/>
      <c r="L64" s="4"/>
      <c r="M64" s="4"/>
      <c r="N64" s="4"/>
      <c r="O64" s="4"/>
      <c r="P64" s="4"/>
    </row>
    <row r="65" spans="1:16">
      <c r="A65" s="10"/>
      <c r="B65" s="6"/>
      <c r="C65" s="6" t="s">
        <v>164</v>
      </c>
      <c r="D65" s="6" t="s">
        <v>163</v>
      </c>
      <c r="E65" s="97">
        <v>21780</v>
      </c>
      <c r="F65" s="6" t="s">
        <v>1</v>
      </c>
      <c r="G65" s="98" t="s">
        <v>174</v>
      </c>
      <c r="H65" s="9">
        <v>0.2</v>
      </c>
      <c r="I65" s="97">
        <f t="shared" si="8"/>
        <v>4356</v>
      </c>
      <c r="J65" s="9"/>
      <c r="K65" s="4"/>
      <c r="L65" s="4"/>
      <c r="M65" s="4"/>
      <c r="N65" s="4"/>
      <c r="O65" s="4"/>
      <c r="P65" s="4"/>
    </row>
    <row r="66" spans="1:16">
      <c r="A66" s="10"/>
      <c r="B66" s="6"/>
      <c r="C66" s="6" t="s">
        <v>175</v>
      </c>
      <c r="D66" s="6" t="s">
        <v>163</v>
      </c>
      <c r="E66" s="97">
        <v>20350</v>
      </c>
      <c r="F66" s="6" t="s">
        <v>1</v>
      </c>
      <c r="G66" s="98" t="s">
        <v>174</v>
      </c>
      <c r="H66" s="9">
        <v>0.2</v>
      </c>
      <c r="I66" s="97">
        <f t="shared" si="8"/>
        <v>4070</v>
      </c>
      <c r="J66" s="9"/>
      <c r="K66" s="4"/>
      <c r="L66" s="4"/>
      <c r="M66" s="4"/>
      <c r="N66" s="4"/>
      <c r="O66" s="4"/>
      <c r="P66" s="4"/>
    </row>
    <row r="67" spans="1:16">
      <c r="A67" s="10"/>
      <c r="B67" s="6"/>
      <c r="C67" s="6" t="s">
        <v>173</v>
      </c>
      <c r="D67" s="6" t="s">
        <v>172</v>
      </c>
      <c r="E67" s="97">
        <v>1145.8</v>
      </c>
      <c r="F67" s="6" t="s">
        <v>1</v>
      </c>
      <c r="G67" s="98" t="s">
        <v>72</v>
      </c>
      <c r="H67" s="9">
        <v>0.2</v>
      </c>
      <c r="I67" s="97">
        <f t="shared" si="8"/>
        <v>229.16</v>
      </c>
      <c r="J67" s="9"/>
      <c r="K67" s="4"/>
      <c r="L67" s="4"/>
      <c r="M67" s="4"/>
      <c r="N67" s="4"/>
      <c r="O67" s="4"/>
      <c r="P67" s="4"/>
    </row>
    <row r="68" spans="1:16">
      <c r="A68" s="10"/>
      <c r="B68" s="6"/>
      <c r="C68" s="6" t="s">
        <v>171</v>
      </c>
      <c r="D68" s="6" t="s">
        <v>159</v>
      </c>
      <c r="E68" s="97">
        <v>6930</v>
      </c>
      <c r="F68" s="6" t="s">
        <v>1</v>
      </c>
      <c r="G68" s="98" t="s">
        <v>72</v>
      </c>
      <c r="H68" s="9">
        <v>0.2</v>
      </c>
      <c r="I68" s="97">
        <f t="shared" si="8"/>
        <v>1386</v>
      </c>
      <c r="J68" s="9"/>
      <c r="K68" s="4"/>
      <c r="L68" s="4"/>
      <c r="M68" s="4"/>
      <c r="N68" s="4"/>
      <c r="O68" s="4"/>
      <c r="P68" s="4"/>
    </row>
    <row r="69" spans="1:16" ht="16" thickBot="1">
      <c r="A69" s="7"/>
      <c r="B69" s="5"/>
      <c r="C69" s="5" t="s">
        <v>170</v>
      </c>
      <c r="D69" s="5" t="s">
        <v>169</v>
      </c>
      <c r="E69" s="46">
        <v>600</v>
      </c>
      <c r="F69" s="5" t="s">
        <v>1</v>
      </c>
      <c r="G69" s="45" t="s">
        <v>72</v>
      </c>
      <c r="H69" s="9">
        <v>0.2</v>
      </c>
      <c r="I69" s="97">
        <f t="shared" si="8"/>
        <v>120</v>
      </c>
      <c r="J69" s="3"/>
      <c r="K69" s="2"/>
      <c r="L69" s="2"/>
      <c r="M69" s="2"/>
      <c r="N69" s="2"/>
      <c r="O69" s="2"/>
      <c r="P69" s="2"/>
    </row>
    <row r="70" spans="1:16">
      <c r="A70" s="10"/>
      <c r="B70" s="6"/>
      <c r="C70" s="6" t="s">
        <v>166</v>
      </c>
      <c r="D70" s="6" t="s">
        <v>165</v>
      </c>
      <c r="E70" s="97">
        <v>12000</v>
      </c>
      <c r="F70" s="6" t="s">
        <v>1</v>
      </c>
      <c r="G70" s="98" t="s">
        <v>72</v>
      </c>
      <c r="H70" s="9">
        <v>0.2</v>
      </c>
      <c r="I70" s="97">
        <f>E70*H70</f>
        <v>2400</v>
      </c>
      <c r="J70" s="9"/>
      <c r="K70" s="4"/>
      <c r="L70" s="4"/>
      <c r="M70" s="4"/>
      <c r="N70" s="4"/>
      <c r="O70" s="4"/>
      <c r="P70" s="4"/>
    </row>
    <row r="71" spans="1:16">
      <c r="A71" s="10"/>
      <c r="B71" s="6"/>
      <c r="C71" s="6" t="s">
        <v>164</v>
      </c>
      <c r="D71" s="6" t="s">
        <v>163</v>
      </c>
      <c r="E71" s="97">
        <v>7260</v>
      </c>
      <c r="F71" s="6" t="s">
        <v>1</v>
      </c>
      <c r="G71" s="98" t="s">
        <v>72</v>
      </c>
      <c r="H71" s="9">
        <v>0.2</v>
      </c>
      <c r="I71" s="97">
        <f>E71*H71</f>
        <v>1452</v>
      </c>
      <c r="J71" s="9"/>
      <c r="K71" s="4"/>
      <c r="L71" s="4"/>
      <c r="M71" s="4"/>
      <c r="N71" s="4"/>
      <c r="O71" s="4"/>
      <c r="P71" s="4"/>
    </row>
    <row r="72" spans="1:16">
      <c r="A72" s="10"/>
      <c r="B72" s="6"/>
      <c r="C72" s="6" t="s">
        <v>164</v>
      </c>
      <c r="D72" s="6" t="s">
        <v>163</v>
      </c>
      <c r="E72" s="97">
        <v>8140</v>
      </c>
      <c r="F72" s="6" t="s">
        <v>1</v>
      </c>
      <c r="G72" s="98" t="s">
        <v>72</v>
      </c>
      <c r="H72" s="9">
        <v>0.2</v>
      </c>
      <c r="I72" s="97">
        <f>E72*H72</f>
        <v>1628</v>
      </c>
      <c r="J72" s="9"/>
      <c r="K72" s="4"/>
      <c r="L72" s="4"/>
      <c r="M72" s="4"/>
      <c r="N72" s="4"/>
      <c r="O72" s="4"/>
      <c r="P72" s="4"/>
    </row>
    <row r="73" spans="1:16">
      <c r="A73" s="10"/>
      <c r="B73" s="6"/>
      <c r="C73" s="6" t="s">
        <v>162</v>
      </c>
      <c r="D73" s="6" t="s">
        <v>161</v>
      </c>
      <c r="E73" s="97">
        <v>229.16</v>
      </c>
      <c r="F73" s="6" t="s">
        <v>1</v>
      </c>
      <c r="G73" s="98" t="s">
        <v>72</v>
      </c>
      <c r="H73" s="9">
        <v>0.2</v>
      </c>
      <c r="I73" s="97">
        <f>E73*H73</f>
        <v>45.832000000000001</v>
      </c>
      <c r="J73" s="9"/>
      <c r="K73" s="4"/>
      <c r="L73" s="4"/>
      <c r="M73" s="4"/>
      <c r="N73" s="4"/>
      <c r="O73" s="4"/>
      <c r="P73" s="4"/>
    </row>
    <row r="74" spans="1:16" ht="16" thickBot="1">
      <c r="A74" s="7"/>
      <c r="B74" s="5"/>
      <c r="C74" s="5" t="s">
        <v>160</v>
      </c>
      <c r="D74" s="5" t="s">
        <v>159</v>
      </c>
      <c r="E74" s="46">
        <v>6930</v>
      </c>
      <c r="F74" s="5" t="s">
        <v>1</v>
      </c>
      <c r="G74" s="98" t="s">
        <v>72</v>
      </c>
      <c r="H74" s="9">
        <v>0.2</v>
      </c>
      <c r="I74" s="97">
        <f>E74*H74</f>
        <v>1386</v>
      </c>
      <c r="J74" s="3"/>
      <c r="K74" s="2"/>
      <c r="L74" s="2"/>
      <c r="M74" s="2"/>
      <c r="N74" s="2"/>
      <c r="O74" s="2"/>
      <c r="P74" s="2"/>
    </row>
    <row r="75" spans="1:16">
      <c r="A75" s="54"/>
      <c r="B75" s="55"/>
      <c r="C75" s="55" t="s">
        <v>152</v>
      </c>
      <c r="D75" s="55" t="s">
        <v>151</v>
      </c>
      <c r="E75" s="95">
        <v>6000</v>
      </c>
      <c r="F75" s="55" t="s">
        <v>1</v>
      </c>
      <c r="G75" s="96" t="s">
        <v>150</v>
      </c>
      <c r="H75" s="71">
        <v>0.2</v>
      </c>
      <c r="I75" s="95">
        <f>H75*E75</f>
        <v>1200</v>
      </c>
      <c r="J75" s="71"/>
      <c r="K75" s="72"/>
      <c r="L75" s="72"/>
      <c r="M75" s="72"/>
      <c r="N75" s="72"/>
      <c r="O75" s="72"/>
      <c r="P75" s="72"/>
    </row>
    <row r="76" spans="1:16" ht="16" thickBot="1">
      <c r="A76" s="54"/>
      <c r="B76" s="55"/>
      <c r="C76" s="55" t="s">
        <v>247</v>
      </c>
      <c r="D76" s="55"/>
      <c r="E76" s="72">
        <v>5000</v>
      </c>
      <c r="F76" s="55" t="s">
        <v>1</v>
      </c>
      <c r="G76" s="72" t="s">
        <v>248</v>
      </c>
      <c r="H76" s="71">
        <v>0.2</v>
      </c>
      <c r="I76" s="2">
        <f>H76*E76</f>
        <v>1000</v>
      </c>
      <c r="J76" s="71"/>
      <c r="K76" s="72"/>
      <c r="L76" s="72"/>
      <c r="M76" s="72"/>
      <c r="N76" s="72"/>
      <c r="O76" s="195"/>
      <c r="P76" s="136"/>
    </row>
    <row r="77" spans="1:16" ht="16" thickBot="1">
      <c r="A77" s="7"/>
      <c r="B77" s="5"/>
      <c r="C77" s="5"/>
      <c r="D77" s="5"/>
      <c r="E77" s="2">
        <v>1200</v>
      </c>
      <c r="F77" s="5" t="s">
        <v>1</v>
      </c>
      <c r="G77" s="2" t="s">
        <v>251</v>
      </c>
      <c r="H77" s="3">
        <v>0.2</v>
      </c>
      <c r="I77" s="2">
        <f>H77*E77</f>
        <v>240</v>
      </c>
      <c r="J77" s="3"/>
      <c r="K77" s="2"/>
      <c r="L77" s="2"/>
      <c r="M77" s="2"/>
      <c r="N77" s="2"/>
      <c r="O77" s="163"/>
      <c r="P77" s="1"/>
    </row>
    <row r="78" spans="1:16" ht="16" thickBot="1">
      <c r="A78" s="7"/>
      <c r="B78" s="5"/>
      <c r="C78" s="5"/>
      <c r="D78" s="5"/>
      <c r="E78" s="2">
        <v>1000</v>
      </c>
      <c r="F78" s="5" t="s">
        <v>1</v>
      </c>
      <c r="G78" s="2" t="s">
        <v>254</v>
      </c>
      <c r="H78" s="3">
        <v>0.2</v>
      </c>
      <c r="I78" s="2">
        <f>H78*E78</f>
        <v>200</v>
      </c>
      <c r="J78" s="3"/>
      <c r="K78" s="2"/>
      <c r="L78" s="2"/>
      <c r="M78" s="2"/>
      <c r="N78" s="2"/>
      <c r="O78" s="163"/>
      <c r="P78" s="1"/>
    </row>
    <row r="79" spans="1:16" ht="16" thickBot="1">
      <c r="A79" s="7"/>
      <c r="B79" s="5"/>
      <c r="C79" s="5"/>
      <c r="D79" s="5"/>
      <c r="E79" s="2">
        <v>500</v>
      </c>
      <c r="F79" s="5" t="s">
        <v>1</v>
      </c>
      <c r="G79" s="2" t="s">
        <v>251</v>
      </c>
      <c r="H79" s="3">
        <v>0.2</v>
      </c>
      <c r="I79" s="2">
        <f>H79*E79</f>
        <v>100</v>
      </c>
      <c r="J79" s="3"/>
      <c r="K79" s="2"/>
      <c r="L79" s="2"/>
      <c r="M79" s="2"/>
      <c r="N79" s="2"/>
      <c r="O79" s="163"/>
      <c r="P79" s="1"/>
    </row>
    <row r="80" spans="1:16">
      <c r="A80" s="10"/>
      <c r="B80" s="6"/>
      <c r="C80" s="6" t="s">
        <v>259</v>
      </c>
      <c r="D80" s="6" t="s">
        <v>260</v>
      </c>
      <c r="E80" s="4">
        <v>1718</v>
      </c>
      <c r="F80" s="6" t="s">
        <v>1</v>
      </c>
      <c r="G80" s="138" t="s">
        <v>150</v>
      </c>
      <c r="H80" s="9">
        <v>0.2</v>
      </c>
      <c r="I80" s="4">
        <f>H80*E80</f>
        <v>343.6</v>
      </c>
      <c r="J80" s="9"/>
      <c r="K80" s="4"/>
      <c r="L80" s="4"/>
      <c r="M80" s="4"/>
      <c r="N80" s="4"/>
      <c r="O80" s="150"/>
      <c r="P80" s="8"/>
    </row>
    <row r="81" spans="1:16">
      <c r="A81" s="10"/>
      <c r="B81" s="6"/>
      <c r="C81" s="6" t="s">
        <v>263</v>
      </c>
      <c r="D81" s="6" t="s">
        <v>264</v>
      </c>
      <c r="E81" s="4">
        <v>1500</v>
      </c>
      <c r="F81" s="6" t="s">
        <v>1</v>
      </c>
      <c r="G81" s="4" t="s">
        <v>248</v>
      </c>
      <c r="H81" s="9">
        <v>0.2</v>
      </c>
      <c r="I81" s="4">
        <f>H81*E81</f>
        <v>300</v>
      </c>
      <c r="J81" s="9"/>
      <c r="K81" s="4"/>
      <c r="L81" s="4"/>
      <c r="M81" s="4"/>
      <c r="N81" s="4"/>
      <c r="O81" s="150"/>
      <c r="P81" s="8"/>
    </row>
    <row r="82" spans="1:16">
      <c r="A82" s="10"/>
      <c r="B82" s="6"/>
      <c r="C82" s="6" t="s">
        <v>259</v>
      </c>
      <c r="D82" s="6" t="s">
        <v>260</v>
      </c>
      <c r="E82" s="4">
        <v>1718</v>
      </c>
      <c r="F82" s="6" t="s">
        <v>1</v>
      </c>
      <c r="G82" s="138" t="s">
        <v>150</v>
      </c>
      <c r="H82" s="9">
        <v>0.2</v>
      </c>
      <c r="I82" s="4">
        <f>H82*E82</f>
        <v>343.6</v>
      </c>
      <c r="J82" s="9"/>
      <c r="K82" s="4"/>
      <c r="L82" s="4"/>
      <c r="M82" s="4"/>
      <c r="N82" s="4"/>
      <c r="O82" s="150"/>
      <c r="P82" s="8"/>
    </row>
    <row r="83" spans="1:16">
      <c r="A83" s="10"/>
      <c r="B83" s="6"/>
      <c r="C83" s="6" t="s">
        <v>263</v>
      </c>
      <c r="D83" s="6" t="s">
        <v>264</v>
      </c>
      <c r="E83" s="4">
        <v>1500</v>
      </c>
      <c r="F83" s="6" t="s">
        <v>1</v>
      </c>
      <c r="G83" s="4" t="s">
        <v>248</v>
      </c>
      <c r="H83" s="9">
        <v>0.2</v>
      </c>
      <c r="I83" s="4">
        <f>H83*E83</f>
        <v>300</v>
      </c>
      <c r="J83" s="9"/>
      <c r="K83" s="4"/>
      <c r="L83" s="4"/>
      <c r="M83" s="4"/>
      <c r="N83" s="4"/>
      <c r="O83" s="150"/>
      <c r="P83" s="8"/>
    </row>
    <row r="84" spans="1:16" ht="16" thickBot="1">
      <c r="A84" s="7"/>
      <c r="B84" s="5"/>
      <c r="C84" s="5"/>
      <c r="D84" s="5"/>
      <c r="E84" s="2">
        <v>1200</v>
      </c>
      <c r="F84" s="5" t="s">
        <v>1</v>
      </c>
      <c r="G84" s="2" t="s">
        <v>251</v>
      </c>
      <c r="H84" s="3">
        <v>0.2</v>
      </c>
      <c r="I84" s="2">
        <f>H84*E84</f>
        <v>240</v>
      </c>
      <c r="J84" s="3"/>
      <c r="K84" s="2"/>
      <c r="L84" s="2"/>
      <c r="M84" s="2"/>
      <c r="N84" s="2"/>
      <c r="O84" s="163"/>
      <c r="P84" s="1"/>
    </row>
    <row r="85" spans="1:16" ht="16" thickBot="1">
      <c r="A85" s="7"/>
      <c r="B85" s="5"/>
      <c r="C85" s="5"/>
      <c r="D85" s="5"/>
      <c r="E85" s="2">
        <v>1000</v>
      </c>
      <c r="F85" s="5" t="s">
        <v>1</v>
      </c>
      <c r="G85" s="2" t="s">
        <v>254</v>
      </c>
      <c r="H85" s="3">
        <v>0.2</v>
      </c>
      <c r="I85" s="2">
        <f>H85*E85</f>
        <v>200</v>
      </c>
      <c r="J85" s="3"/>
      <c r="K85" s="2"/>
      <c r="L85" s="2"/>
      <c r="M85" s="2"/>
      <c r="N85" s="2"/>
      <c r="O85" s="163"/>
      <c r="P85" s="1"/>
    </row>
    <row r="86" spans="1:16" ht="16" thickBot="1">
      <c r="A86" s="7"/>
      <c r="B86" s="5"/>
      <c r="C86" s="5"/>
      <c r="D86" s="5"/>
      <c r="E86" s="2">
        <v>500</v>
      </c>
      <c r="F86" s="5" t="s">
        <v>1</v>
      </c>
      <c r="G86" s="2" t="s">
        <v>251</v>
      </c>
      <c r="H86" s="3">
        <v>0.2</v>
      </c>
      <c r="I86" s="2">
        <f>H86*E86</f>
        <v>100</v>
      </c>
      <c r="J86" s="3"/>
      <c r="K86" s="2"/>
      <c r="L86" s="2"/>
      <c r="M86" s="2"/>
      <c r="N86" s="2"/>
      <c r="O86" s="163"/>
      <c r="P86" s="1"/>
    </row>
    <row r="87" spans="1:16">
      <c r="A87" s="10"/>
      <c r="B87" s="6"/>
      <c r="C87" s="6" t="s">
        <v>259</v>
      </c>
      <c r="D87" s="6" t="s">
        <v>260</v>
      </c>
      <c r="E87" s="4">
        <v>1718</v>
      </c>
      <c r="F87" s="6" t="s">
        <v>1</v>
      </c>
      <c r="G87" s="138" t="s">
        <v>150</v>
      </c>
      <c r="H87" s="9">
        <v>0.2</v>
      </c>
      <c r="I87" s="4">
        <f>H87*E87</f>
        <v>343.6</v>
      </c>
      <c r="J87" s="9"/>
      <c r="K87" s="4"/>
      <c r="L87" s="4"/>
      <c r="M87" s="4"/>
      <c r="N87" s="4"/>
      <c r="O87" s="150"/>
      <c r="P87" s="8"/>
    </row>
    <row r="88" spans="1:16">
      <c r="A88" s="10"/>
      <c r="B88" s="6"/>
      <c r="C88" s="6" t="s">
        <v>263</v>
      </c>
      <c r="D88" s="6" t="s">
        <v>264</v>
      </c>
      <c r="E88" s="4">
        <v>1500</v>
      </c>
      <c r="F88" s="6" t="s">
        <v>1</v>
      </c>
      <c r="G88" s="4" t="s">
        <v>248</v>
      </c>
      <c r="H88" s="9">
        <v>0.2</v>
      </c>
      <c r="I88" s="4">
        <f>H88*E88</f>
        <v>300</v>
      </c>
      <c r="J88" s="9"/>
      <c r="K88" s="4"/>
      <c r="L88" s="4"/>
      <c r="M88" s="4"/>
      <c r="N88" s="4"/>
      <c r="O88" s="150"/>
      <c r="P88" s="8"/>
    </row>
    <row r="89" spans="1:16" ht="16" thickBot="1">
      <c r="A89" s="7"/>
      <c r="B89" s="5"/>
      <c r="C89" s="5"/>
      <c r="D89" s="5"/>
      <c r="E89" s="2">
        <v>39080</v>
      </c>
      <c r="F89" s="5" t="s">
        <v>1</v>
      </c>
      <c r="G89" s="45" t="s">
        <v>288</v>
      </c>
      <c r="H89" s="3">
        <v>0.2</v>
      </c>
      <c r="I89" s="46">
        <f>H89*E89</f>
        <v>7816</v>
      </c>
      <c r="J89" s="5"/>
      <c r="K89" s="2"/>
      <c r="L89" s="2"/>
      <c r="M89" s="2"/>
      <c r="N89" s="2"/>
      <c r="O89" s="163"/>
      <c r="P89" s="1"/>
    </row>
    <row r="90" spans="1:16" ht="16" thickBot="1">
      <c r="A90" s="7"/>
      <c r="B90" s="5"/>
      <c r="C90" s="5"/>
      <c r="D90" s="5"/>
      <c r="E90" s="2">
        <v>135216</v>
      </c>
      <c r="F90" s="5" t="s">
        <v>1</v>
      </c>
      <c r="G90" s="45" t="s">
        <v>288</v>
      </c>
      <c r="H90" s="3">
        <v>0.2</v>
      </c>
      <c r="I90" s="46">
        <f>H90*E90</f>
        <v>27043.200000000001</v>
      </c>
      <c r="J90" s="5"/>
      <c r="K90" s="2"/>
      <c r="L90" s="2"/>
      <c r="M90" s="2"/>
      <c r="N90" s="2"/>
      <c r="O90" s="163"/>
      <c r="P90" s="1"/>
    </row>
    <row r="91" spans="1:16" ht="16" thickBot="1">
      <c r="A91" s="7"/>
      <c r="B91" s="5"/>
      <c r="C91" s="5" t="s">
        <v>295</v>
      </c>
      <c r="D91" s="5" t="s">
        <v>296</v>
      </c>
      <c r="E91" s="2">
        <f>4700*6+8300</f>
        <v>36500</v>
      </c>
      <c r="F91" s="5" t="s">
        <v>1</v>
      </c>
      <c r="G91" s="5" t="s">
        <v>150</v>
      </c>
      <c r="H91" s="5">
        <v>0.2</v>
      </c>
      <c r="I91" s="2">
        <f>H91*E91</f>
        <v>7300</v>
      </c>
      <c r="J91" s="5"/>
      <c r="K91" s="2"/>
      <c r="L91" s="2"/>
      <c r="M91" s="2"/>
      <c r="N91" s="2"/>
      <c r="O91" s="163"/>
      <c r="P91" s="1"/>
    </row>
    <row r="92" spans="1:16" ht="16" thickBot="1">
      <c r="A92" s="7"/>
      <c r="B92" s="5"/>
      <c r="C92" s="5"/>
      <c r="D92" s="5"/>
      <c r="E92" s="2">
        <v>600</v>
      </c>
      <c r="F92" s="5" t="s">
        <v>1</v>
      </c>
      <c r="G92" s="5" t="s">
        <v>4</v>
      </c>
      <c r="H92" s="5">
        <v>0.2</v>
      </c>
      <c r="I92" s="2">
        <f>H92*E92</f>
        <v>120</v>
      </c>
      <c r="J92" s="5"/>
      <c r="K92" s="2"/>
      <c r="L92" s="2"/>
      <c r="M92" s="2"/>
      <c r="N92" s="2"/>
      <c r="O92" s="163"/>
      <c r="P92" s="1"/>
    </row>
    <row r="93" spans="1:16">
      <c r="A93" s="10"/>
      <c r="B93" s="6"/>
      <c r="C93" s="140" t="s">
        <v>305</v>
      </c>
      <c r="D93" s="6" t="s">
        <v>306</v>
      </c>
      <c r="E93" s="4">
        <f>6519.85*3</f>
        <v>19559.550000000003</v>
      </c>
      <c r="F93" s="6" t="s">
        <v>1</v>
      </c>
      <c r="G93" s="98" t="s">
        <v>150</v>
      </c>
      <c r="H93" s="6">
        <v>0.2</v>
      </c>
      <c r="I93" s="4">
        <f>H93*E93</f>
        <v>3911.9100000000008</v>
      </c>
      <c r="J93" s="9"/>
      <c r="K93" s="4"/>
      <c r="L93" s="4"/>
      <c r="M93" s="4"/>
      <c r="N93" s="4"/>
      <c r="O93" s="150"/>
      <c r="P93" s="8"/>
    </row>
    <row r="94" spans="1:16">
      <c r="A94" s="54"/>
      <c r="B94" s="55"/>
      <c r="C94" s="142" t="s">
        <v>247</v>
      </c>
      <c r="D94" s="55"/>
      <c r="E94" s="72">
        <f>5000*3</f>
        <v>15000</v>
      </c>
      <c r="F94" s="55" t="s">
        <v>1</v>
      </c>
      <c r="G94" s="55" t="s">
        <v>310</v>
      </c>
      <c r="H94" s="55">
        <v>0.2</v>
      </c>
      <c r="I94" s="4">
        <f>H94*E94</f>
        <v>3000</v>
      </c>
      <c r="J94" s="71"/>
      <c r="K94" s="72"/>
      <c r="L94" s="72"/>
      <c r="M94" s="72"/>
      <c r="N94" s="72"/>
      <c r="O94" s="195"/>
      <c r="P94" s="136"/>
    </row>
    <row r="95" spans="1:16" ht="16" thickBot="1">
      <c r="A95" s="7"/>
      <c r="B95" s="5"/>
      <c r="C95" s="5"/>
      <c r="D95" s="5"/>
      <c r="E95" s="2">
        <f>1200*3</f>
        <v>3600</v>
      </c>
      <c r="F95" s="5" t="s">
        <v>1</v>
      </c>
      <c r="G95" s="2" t="s">
        <v>251</v>
      </c>
      <c r="H95" s="3">
        <v>0.2</v>
      </c>
      <c r="I95" s="2">
        <f>H95*E95</f>
        <v>720</v>
      </c>
      <c r="J95" s="2"/>
      <c r="K95" s="2"/>
      <c r="L95" s="2"/>
      <c r="M95" s="2"/>
      <c r="N95" s="2"/>
      <c r="O95" s="163"/>
      <c r="P95" s="1"/>
    </row>
    <row r="96" spans="1:16" ht="16" thickBot="1">
      <c r="A96" s="7"/>
      <c r="B96" s="5"/>
      <c r="C96" s="5"/>
      <c r="D96" s="5"/>
      <c r="E96" s="2">
        <f>1000*3</f>
        <v>3000</v>
      </c>
      <c r="F96" s="5" t="s">
        <v>1</v>
      </c>
      <c r="G96" s="2" t="s">
        <v>254</v>
      </c>
      <c r="H96" s="3">
        <v>0.2</v>
      </c>
      <c r="I96" s="2">
        <f>H96*E96</f>
        <v>600</v>
      </c>
      <c r="J96" s="2"/>
      <c r="K96" s="2"/>
      <c r="L96" s="2"/>
      <c r="M96" s="2"/>
      <c r="N96" s="2"/>
      <c r="O96" s="163"/>
      <c r="P96" s="1"/>
    </row>
    <row r="97" spans="1:16" ht="16" thickBot="1">
      <c r="A97" s="7"/>
      <c r="B97" s="5"/>
      <c r="C97" s="5"/>
      <c r="D97" s="5"/>
      <c r="E97" s="2">
        <f>500*3</f>
        <v>1500</v>
      </c>
      <c r="F97" s="5" t="s">
        <v>1</v>
      </c>
      <c r="G97" s="2" t="s">
        <v>251</v>
      </c>
      <c r="H97" s="3">
        <v>0.2</v>
      </c>
      <c r="I97" s="2">
        <f>H97*E97</f>
        <v>300</v>
      </c>
      <c r="J97" s="2"/>
      <c r="K97" s="2"/>
      <c r="L97" s="2"/>
      <c r="M97" s="2"/>
      <c r="N97" s="2"/>
      <c r="O97" s="163"/>
      <c r="P97" s="1"/>
    </row>
    <row r="98" spans="1:16" ht="16" thickBot="1">
      <c r="A98" s="7"/>
      <c r="B98" s="5"/>
      <c r="C98" s="6" t="s">
        <v>259</v>
      </c>
      <c r="D98" s="6" t="s">
        <v>260</v>
      </c>
      <c r="E98" s="4">
        <f>1718*3</f>
        <v>5154</v>
      </c>
      <c r="F98" s="6" t="s">
        <v>1</v>
      </c>
      <c r="G98" s="138" t="s">
        <v>150</v>
      </c>
      <c r="H98" s="143">
        <v>0.2</v>
      </c>
      <c r="I98" s="2">
        <f>H98*E98</f>
        <v>1030.8</v>
      </c>
      <c r="J98" s="76"/>
      <c r="K98" s="2"/>
      <c r="L98" s="2"/>
      <c r="M98" s="2"/>
      <c r="N98" s="2"/>
      <c r="O98" s="163"/>
      <c r="P98" s="1"/>
    </row>
    <row r="99" spans="1:16" ht="16" thickBot="1">
      <c r="A99" s="54"/>
      <c r="B99" s="55"/>
      <c r="C99" s="55" t="s">
        <v>324</v>
      </c>
      <c r="D99" s="55" t="s">
        <v>264</v>
      </c>
      <c r="E99" s="72">
        <f>1500*3</f>
        <v>4500</v>
      </c>
      <c r="F99" s="55" t="s">
        <v>1</v>
      </c>
      <c r="G99" s="55" t="s">
        <v>310</v>
      </c>
      <c r="H99" s="71">
        <v>0.2</v>
      </c>
      <c r="I99" s="2">
        <f>H99*E99</f>
        <v>900</v>
      </c>
      <c r="J99" s="55"/>
      <c r="K99" s="72"/>
      <c r="L99" s="72"/>
      <c r="M99" s="72"/>
      <c r="N99" s="72"/>
      <c r="O99" s="195"/>
      <c r="P99" s="136"/>
    </row>
    <row r="100" spans="1:16">
      <c r="A100" s="54"/>
      <c r="B100" s="55"/>
      <c r="C100" s="142" t="s">
        <v>332</v>
      </c>
      <c r="D100" s="142" t="s">
        <v>182</v>
      </c>
      <c r="E100" s="72">
        <f>1000*3</f>
        <v>3000</v>
      </c>
      <c r="F100" s="142" t="s">
        <v>1</v>
      </c>
      <c r="G100" s="142" t="s">
        <v>75</v>
      </c>
      <c r="H100" s="71">
        <v>0.2</v>
      </c>
      <c r="I100" s="72">
        <f>H100*E100</f>
        <v>600</v>
      </c>
      <c r="J100" s="142"/>
      <c r="K100" s="142"/>
      <c r="L100" s="142"/>
      <c r="M100" s="142"/>
      <c r="N100" s="55"/>
      <c r="O100" s="196"/>
      <c r="P100" s="146"/>
    </row>
    <row r="101" spans="1:16" ht="16" thickBot="1">
      <c r="A101" s="7"/>
      <c r="B101" s="5"/>
      <c r="C101" s="147" t="s">
        <v>333</v>
      </c>
      <c r="D101" s="147" t="s">
        <v>334</v>
      </c>
      <c r="E101" s="2">
        <f>14400*3</f>
        <v>43200</v>
      </c>
      <c r="F101" s="147" t="s">
        <v>1</v>
      </c>
      <c r="G101" s="147" t="s">
        <v>335</v>
      </c>
      <c r="H101" s="3">
        <v>0.2</v>
      </c>
      <c r="I101" s="2">
        <f>H101*E101</f>
        <v>8640</v>
      </c>
      <c r="J101" s="147"/>
      <c r="K101" s="147"/>
      <c r="L101" s="147"/>
      <c r="M101" s="147"/>
      <c r="N101" s="5"/>
      <c r="O101" s="197"/>
      <c r="P101" s="148"/>
    </row>
    <row r="102" spans="1:16">
      <c r="A102" s="151"/>
      <c r="B102" s="61"/>
      <c r="C102" s="61" t="s">
        <v>376</v>
      </c>
      <c r="D102" s="61" t="s">
        <v>377</v>
      </c>
      <c r="E102" s="76">
        <v>7950</v>
      </c>
      <c r="F102" s="6" t="s">
        <v>1</v>
      </c>
      <c r="G102" s="162" t="s">
        <v>378</v>
      </c>
      <c r="H102" s="9">
        <v>0.2</v>
      </c>
      <c r="I102" s="97">
        <f t="shared" ref="I102:I113" si="9">H102*E102</f>
        <v>1590</v>
      </c>
      <c r="J102" s="9"/>
      <c r="K102" s="4"/>
      <c r="L102" s="4"/>
      <c r="M102" s="150"/>
      <c r="N102" s="150"/>
      <c r="O102" s="150"/>
      <c r="P102" s="8"/>
    </row>
    <row r="103" spans="1:16">
      <c r="A103" s="10"/>
      <c r="B103" s="6"/>
      <c r="C103" s="6" t="s">
        <v>359</v>
      </c>
      <c r="D103" s="6"/>
      <c r="E103" s="4">
        <v>2000</v>
      </c>
      <c r="F103" s="6" t="s">
        <v>1</v>
      </c>
      <c r="G103" s="6" t="s">
        <v>14</v>
      </c>
      <c r="H103" s="9">
        <v>0.2</v>
      </c>
      <c r="I103" s="97">
        <f t="shared" si="9"/>
        <v>400</v>
      </c>
      <c r="J103" s="4"/>
      <c r="K103" s="4"/>
      <c r="L103" s="4"/>
      <c r="M103" s="150"/>
      <c r="N103" s="150"/>
      <c r="O103" s="150"/>
      <c r="P103" s="8"/>
    </row>
    <row r="104" spans="1:16">
      <c r="A104" s="10"/>
      <c r="B104" s="6"/>
      <c r="C104" s="6" t="s">
        <v>361</v>
      </c>
      <c r="D104" s="6"/>
      <c r="E104" s="4">
        <f>100*750</f>
        <v>75000</v>
      </c>
      <c r="F104" s="6" t="s">
        <v>1</v>
      </c>
      <c r="G104" s="6" t="s">
        <v>478</v>
      </c>
      <c r="H104" s="9">
        <v>0.2</v>
      </c>
      <c r="I104" s="97">
        <f t="shared" si="9"/>
        <v>15000</v>
      </c>
      <c r="J104" s="4"/>
      <c r="K104" s="4"/>
      <c r="L104" s="4"/>
      <c r="M104" s="150"/>
      <c r="N104" s="150"/>
      <c r="O104" s="150"/>
      <c r="P104" s="8"/>
    </row>
    <row r="105" spans="1:16">
      <c r="A105" s="10"/>
      <c r="B105" s="6"/>
      <c r="C105" s="6" t="s">
        <v>409</v>
      </c>
      <c r="D105" s="6"/>
      <c r="E105" s="4">
        <v>1000</v>
      </c>
      <c r="F105" s="6"/>
      <c r="G105" s="6" t="s">
        <v>14</v>
      </c>
      <c r="H105" s="9">
        <v>0.2</v>
      </c>
      <c r="I105" s="97">
        <f t="shared" si="9"/>
        <v>200</v>
      </c>
      <c r="J105" s="4"/>
      <c r="K105" s="4"/>
      <c r="L105" s="4"/>
      <c r="M105" s="150"/>
      <c r="N105" s="150"/>
      <c r="O105" s="150"/>
      <c r="P105" s="8"/>
    </row>
    <row r="106" spans="1:16" ht="16" thickBot="1">
      <c r="A106" s="7"/>
      <c r="B106" s="5"/>
      <c r="C106" s="5" t="s">
        <v>410</v>
      </c>
      <c r="D106" s="5"/>
      <c r="E106" s="2">
        <f>50*750</f>
        <v>37500</v>
      </c>
      <c r="F106" s="5" t="s">
        <v>1</v>
      </c>
      <c r="G106" s="5" t="s">
        <v>476</v>
      </c>
      <c r="H106" s="3">
        <v>0.2</v>
      </c>
      <c r="I106" s="46">
        <f t="shared" si="9"/>
        <v>7500</v>
      </c>
      <c r="J106" s="2"/>
      <c r="K106" s="2"/>
      <c r="L106" s="2"/>
      <c r="M106" s="163"/>
      <c r="N106" s="163"/>
      <c r="O106" s="163"/>
      <c r="P106" s="1"/>
    </row>
    <row r="107" spans="1:16">
      <c r="A107" s="10"/>
      <c r="B107" s="6"/>
      <c r="C107" s="6" t="s">
        <v>422</v>
      </c>
      <c r="D107" s="6" t="s">
        <v>423</v>
      </c>
      <c r="E107" s="4">
        <v>437</v>
      </c>
      <c r="F107" s="6" t="s">
        <v>424</v>
      </c>
      <c r="G107" s="98" t="s">
        <v>46</v>
      </c>
      <c r="H107" s="9">
        <v>0.2</v>
      </c>
      <c r="I107" s="97">
        <f t="shared" si="9"/>
        <v>87.4</v>
      </c>
      <c r="J107" s="9"/>
      <c r="K107" s="4"/>
      <c r="L107" s="4"/>
      <c r="M107" s="150"/>
      <c r="N107" s="150"/>
      <c r="O107" s="150"/>
      <c r="P107" s="8"/>
    </row>
    <row r="108" spans="1:16">
      <c r="A108" s="10"/>
      <c r="B108" s="6"/>
      <c r="C108" s="6" t="s">
        <v>425</v>
      </c>
      <c r="D108" s="6" t="s">
        <v>423</v>
      </c>
      <c r="E108" s="4">
        <v>137</v>
      </c>
      <c r="F108" s="6" t="s">
        <v>424</v>
      </c>
      <c r="G108" s="98" t="s">
        <v>46</v>
      </c>
      <c r="H108" s="9">
        <v>0.2</v>
      </c>
      <c r="I108" s="97">
        <f t="shared" si="9"/>
        <v>27.400000000000002</v>
      </c>
      <c r="J108" s="9"/>
      <c r="K108" s="4"/>
      <c r="L108" s="4"/>
      <c r="M108" s="150"/>
      <c r="N108" s="150"/>
      <c r="O108" s="150"/>
      <c r="P108" s="8"/>
    </row>
    <row r="109" spans="1:16">
      <c r="A109" s="10"/>
      <c r="B109" s="6"/>
      <c r="C109" s="6" t="s">
        <v>426</v>
      </c>
      <c r="D109" s="6" t="s">
        <v>423</v>
      </c>
      <c r="E109" s="4">
        <v>68</v>
      </c>
      <c r="F109" s="6" t="s">
        <v>424</v>
      </c>
      <c r="G109" s="98" t="s">
        <v>46</v>
      </c>
      <c r="H109" s="9">
        <v>0.2</v>
      </c>
      <c r="I109" s="97">
        <f t="shared" si="9"/>
        <v>13.600000000000001</v>
      </c>
      <c r="J109" s="9"/>
      <c r="K109" s="4"/>
      <c r="L109" s="4"/>
      <c r="M109" s="150"/>
      <c r="N109" s="150"/>
      <c r="O109" s="150"/>
      <c r="P109" s="8"/>
    </row>
    <row r="110" spans="1:16">
      <c r="A110" s="10"/>
      <c r="B110" s="170"/>
      <c r="C110" s="6" t="s">
        <v>438</v>
      </c>
      <c r="D110" s="6" t="s">
        <v>423</v>
      </c>
      <c r="E110" s="4">
        <f>218*2</f>
        <v>436</v>
      </c>
      <c r="F110" s="6" t="s">
        <v>1</v>
      </c>
      <c r="G110" s="98" t="s">
        <v>46</v>
      </c>
      <c r="H110" s="9">
        <v>0.2</v>
      </c>
      <c r="I110" s="97">
        <f t="shared" si="9"/>
        <v>87.2</v>
      </c>
      <c r="J110" s="9"/>
      <c r="K110" s="4"/>
      <c r="L110" s="4"/>
      <c r="M110" s="150"/>
      <c r="N110" s="150"/>
      <c r="O110" s="150"/>
      <c r="P110" s="8"/>
    </row>
    <row r="111" spans="1:16">
      <c r="A111" s="10"/>
      <c r="B111" s="6"/>
      <c r="C111" s="6" t="s">
        <v>439</v>
      </c>
      <c r="D111" s="6" t="s">
        <v>423</v>
      </c>
      <c r="E111" s="4">
        <v>136</v>
      </c>
      <c r="F111" s="6" t="s">
        <v>1</v>
      </c>
      <c r="G111" s="98" t="s">
        <v>46</v>
      </c>
      <c r="H111" s="9">
        <v>0.2</v>
      </c>
      <c r="I111" s="97">
        <f t="shared" si="9"/>
        <v>27.200000000000003</v>
      </c>
      <c r="J111" s="9"/>
      <c r="K111" s="4"/>
      <c r="L111" s="4"/>
      <c r="M111" s="150"/>
      <c r="N111" s="150"/>
      <c r="O111" s="150"/>
      <c r="P111" s="8"/>
    </row>
    <row r="112" spans="1:16">
      <c r="A112" s="10"/>
      <c r="B112" s="6"/>
      <c r="C112" s="6" t="s">
        <v>440</v>
      </c>
      <c r="D112" s="6" t="s">
        <v>423</v>
      </c>
      <c r="E112" s="4">
        <v>67.5</v>
      </c>
      <c r="F112" s="6" t="s">
        <v>1</v>
      </c>
      <c r="G112" s="98" t="s">
        <v>46</v>
      </c>
      <c r="H112" s="9">
        <v>0.2</v>
      </c>
      <c r="I112" s="97">
        <f t="shared" si="9"/>
        <v>13.5</v>
      </c>
      <c r="J112" s="9"/>
      <c r="K112" s="4"/>
      <c r="L112" s="4"/>
      <c r="M112" s="150"/>
      <c r="N112" s="150"/>
      <c r="O112" s="150"/>
      <c r="P112" s="8"/>
    </row>
    <row r="113" spans="1:16">
      <c r="A113" s="10"/>
      <c r="B113" s="6"/>
      <c r="C113" s="6" t="s">
        <v>445</v>
      </c>
      <c r="D113" s="6" t="s">
        <v>446</v>
      </c>
      <c r="E113" s="4">
        <f>(2+2)*2*90.495</f>
        <v>723.96</v>
      </c>
      <c r="F113" s="6" t="s">
        <v>1</v>
      </c>
      <c r="G113" s="98" t="s">
        <v>447</v>
      </c>
      <c r="H113" s="9">
        <v>0.2</v>
      </c>
      <c r="I113" s="97">
        <f t="shared" si="9"/>
        <v>144.792</v>
      </c>
      <c r="J113" s="9"/>
      <c r="K113" s="4"/>
      <c r="L113" s="4"/>
      <c r="M113" s="150"/>
      <c r="N113" s="150"/>
      <c r="O113" s="150"/>
      <c r="P113" s="8"/>
    </row>
    <row r="114" spans="1:16">
      <c r="A114" s="10"/>
      <c r="B114" s="170"/>
      <c r="C114" s="6" t="s">
        <v>449</v>
      </c>
      <c r="D114" s="6" t="s">
        <v>434</v>
      </c>
      <c r="E114" s="4">
        <f>(24*1.2)*7981.92</f>
        <v>229879.29599999997</v>
      </c>
      <c r="F114" s="6" t="s">
        <v>1</v>
      </c>
      <c r="G114" s="6" t="s">
        <v>435</v>
      </c>
      <c r="H114" s="9">
        <v>0.20668861627277693</v>
      </c>
      <c r="I114" s="97">
        <f>H114*E114</f>
        <v>47513.433600000099</v>
      </c>
      <c r="J114" s="9"/>
      <c r="K114" s="4"/>
      <c r="L114" s="4"/>
      <c r="M114" s="150"/>
      <c r="N114" s="150"/>
      <c r="O114" s="150"/>
      <c r="P114" s="8"/>
    </row>
    <row r="115" spans="1:16">
      <c r="A115" s="10"/>
      <c r="B115" s="170"/>
      <c r="C115" s="6" t="s">
        <v>450</v>
      </c>
      <c r="D115" s="6" t="s">
        <v>423</v>
      </c>
      <c r="E115" s="4">
        <f>(48*1.2)*2*278</f>
        <v>32025.599999999999</v>
      </c>
      <c r="F115" s="6" t="s">
        <v>1</v>
      </c>
      <c r="G115" s="98" t="s">
        <v>451</v>
      </c>
      <c r="H115" s="9">
        <v>0.2</v>
      </c>
      <c r="I115" s="97">
        <f t="shared" ref="I115:I121" si="10">H115*E115</f>
        <v>6405.12</v>
      </c>
      <c r="J115" s="9"/>
      <c r="K115" s="4"/>
      <c r="L115" s="4"/>
      <c r="M115" s="150"/>
      <c r="N115" s="150"/>
      <c r="O115" s="150"/>
      <c r="P115" s="8"/>
    </row>
    <row r="116" spans="1:16">
      <c r="A116" s="10"/>
      <c r="B116" s="170"/>
      <c r="C116" s="6" t="s">
        <v>452</v>
      </c>
      <c r="D116" s="6" t="s">
        <v>423</v>
      </c>
      <c r="E116" s="4">
        <f>(48*1.2)*615</f>
        <v>35424</v>
      </c>
      <c r="F116" s="6" t="s">
        <v>1</v>
      </c>
      <c r="G116" s="98" t="s">
        <v>453</v>
      </c>
      <c r="H116" s="9">
        <v>0.2</v>
      </c>
      <c r="I116" s="97">
        <f t="shared" si="10"/>
        <v>7084.8</v>
      </c>
      <c r="J116" s="9"/>
      <c r="K116" s="4"/>
      <c r="L116" s="4"/>
      <c r="M116" s="150"/>
      <c r="N116" s="150"/>
      <c r="O116" s="150"/>
      <c r="P116" s="8"/>
    </row>
    <row r="117" spans="1:16">
      <c r="A117" s="10"/>
      <c r="B117" s="170"/>
      <c r="C117" s="6" t="s">
        <v>454</v>
      </c>
      <c r="D117" s="6" t="s">
        <v>423</v>
      </c>
      <c r="E117" s="4">
        <f>(2*4)*1.25*72</f>
        <v>720</v>
      </c>
      <c r="F117" s="6" t="s">
        <v>1</v>
      </c>
      <c r="G117" s="98" t="s">
        <v>455</v>
      </c>
      <c r="H117" s="9">
        <v>0.2</v>
      </c>
      <c r="I117" s="97">
        <f t="shared" si="10"/>
        <v>144</v>
      </c>
      <c r="J117" s="9"/>
      <c r="K117" s="4"/>
      <c r="L117" s="4"/>
      <c r="M117" s="150"/>
      <c r="N117" s="150"/>
      <c r="O117" s="150"/>
      <c r="P117" s="8"/>
    </row>
    <row r="118" spans="1:16">
      <c r="A118" s="10"/>
      <c r="B118" s="170"/>
      <c r="C118" s="6" t="s">
        <v>456</v>
      </c>
      <c r="D118" s="6" t="s">
        <v>423</v>
      </c>
      <c r="E118" s="4">
        <f>(48*1.2)*135.8</f>
        <v>7822.08</v>
      </c>
      <c r="F118" s="6" t="s">
        <v>1</v>
      </c>
      <c r="G118" s="98" t="s">
        <v>457</v>
      </c>
      <c r="H118" s="9">
        <v>0.2</v>
      </c>
      <c r="I118" s="97">
        <f t="shared" si="10"/>
        <v>1564.4160000000002</v>
      </c>
      <c r="J118" s="9"/>
      <c r="K118" s="4"/>
      <c r="L118" s="4"/>
      <c r="M118" s="150"/>
      <c r="N118" s="150"/>
      <c r="O118" s="150"/>
      <c r="P118" s="8"/>
    </row>
    <row r="119" spans="1:16">
      <c r="A119" s="10"/>
      <c r="B119" s="6"/>
      <c r="C119" s="6" t="s">
        <v>458</v>
      </c>
      <c r="D119" s="6" t="s">
        <v>423</v>
      </c>
      <c r="E119" s="4">
        <f>(48*1.2)*2.25</f>
        <v>129.6</v>
      </c>
      <c r="F119" s="6" t="s">
        <v>1</v>
      </c>
      <c r="G119" s="98" t="s">
        <v>459</v>
      </c>
      <c r="H119" s="9">
        <v>0.2</v>
      </c>
      <c r="I119" s="97">
        <f t="shared" si="10"/>
        <v>25.92</v>
      </c>
      <c r="J119" s="9"/>
      <c r="K119" s="4"/>
      <c r="L119" s="4"/>
      <c r="M119" s="150"/>
      <c r="N119" s="150"/>
      <c r="O119" s="150"/>
      <c r="P119" s="8"/>
    </row>
    <row r="120" spans="1:16">
      <c r="A120" s="10"/>
      <c r="B120" s="6"/>
      <c r="C120" s="6" t="s">
        <v>464</v>
      </c>
      <c r="D120" s="6" t="s">
        <v>446</v>
      </c>
      <c r="E120" s="4">
        <f>(24+24)*1.2*90.495</f>
        <v>5212.5119999999997</v>
      </c>
      <c r="F120" s="6" t="s">
        <v>1</v>
      </c>
      <c r="G120" s="98" t="s">
        <v>447</v>
      </c>
      <c r="H120" s="9">
        <v>0.2</v>
      </c>
      <c r="I120" s="97">
        <f t="shared" si="10"/>
        <v>1042.5024000000001</v>
      </c>
      <c r="J120" s="9"/>
      <c r="K120" s="4"/>
      <c r="L120" s="4"/>
      <c r="M120" s="150"/>
      <c r="N120" s="150"/>
      <c r="O120" s="150"/>
      <c r="P120" s="8"/>
    </row>
    <row r="121" spans="1:16">
      <c r="A121" s="10"/>
      <c r="B121" s="6"/>
      <c r="C121" s="6" t="s">
        <v>465</v>
      </c>
      <c r="D121" s="6" t="s">
        <v>423</v>
      </c>
      <c r="E121" s="4">
        <f>11.25*48*1.2</f>
        <v>648</v>
      </c>
      <c r="F121" s="6" t="s">
        <v>1</v>
      </c>
      <c r="G121" s="98" t="s">
        <v>466</v>
      </c>
      <c r="H121" s="9">
        <v>0.2</v>
      </c>
      <c r="I121" s="97">
        <f t="shared" si="10"/>
        <v>129.6</v>
      </c>
      <c r="J121" s="9"/>
      <c r="K121" s="4"/>
      <c r="L121" s="4"/>
      <c r="M121" s="150"/>
      <c r="N121" s="150"/>
      <c r="O121" s="150"/>
      <c r="P121" s="8"/>
    </row>
    <row r="123" spans="1:16">
      <c r="A123" s="188" t="s">
        <v>480</v>
      </c>
      <c r="B123" s="188"/>
      <c r="C123" s="188"/>
      <c r="N123" s="25">
        <f>SUM(E124:E145)</f>
        <v>322979.84000000003</v>
      </c>
      <c r="O123" s="194">
        <f>SUM(I124:I145)</f>
        <v>81377.008000000031</v>
      </c>
      <c r="P123" s="24">
        <f>N123+O123</f>
        <v>404356.84800000006</v>
      </c>
    </row>
    <row r="124" spans="1:16">
      <c r="A124" s="10"/>
      <c r="B124" s="6"/>
      <c r="C124" s="6" t="s">
        <v>32</v>
      </c>
      <c r="D124" s="6" t="s">
        <v>2</v>
      </c>
      <c r="E124" s="4">
        <v>1600</v>
      </c>
      <c r="F124" s="6" t="s">
        <v>1</v>
      </c>
      <c r="G124" s="6" t="s">
        <v>30</v>
      </c>
      <c r="H124" s="6">
        <v>0.25</v>
      </c>
      <c r="I124" s="4">
        <f t="shared" ref="I124:I143" si="11">H124*E124</f>
        <v>400</v>
      </c>
      <c r="J124" s="9"/>
      <c r="K124" s="4"/>
      <c r="L124" s="4"/>
      <c r="M124" s="4"/>
      <c r="N124" s="4"/>
      <c r="O124" s="4"/>
      <c r="P124" s="6"/>
    </row>
    <row r="125" spans="1:16">
      <c r="A125" s="10"/>
      <c r="B125" s="6"/>
      <c r="C125" s="6" t="s">
        <v>31</v>
      </c>
      <c r="D125" s="6" t="s">
        <v>19</v>
      </c>
      <c r="E125" s="4">
        <v>1450</v>
      </c>
      <c r="F125" s="6" t="s">
        <v>1</v>
      </c>
      <c r="G125" s="6" t="s">
        <v>30</v>
      </c>
      <c r="H125" s="6">
        <v>0.25</v>
      </c>
      <c r="I125" s="4">
        <f t="shared" si="11"/>
        <v>362.5</v>
      </c>
      <c r="J125" s="9"/>
      <c r="K125" s="4"/>
      <c r="L125" s="4"/>
      <c r="M125" s="4"/>
      <c r="N125" s="4"/>
      <c r="O125" s="4"/>
      <c r="P125" s="6"/>
    </row>
    <row r="126" spans="1:16">
      <c r="A126" s="60"/>
      <c r="B126" s="6"/>
      <c r="C126" s="6" t="s">
        <v>87</v>
      </c>
      <c r="D126" s="6"/>
      <c r="E126" s="4">
        <v>14000</v>
      </c>
      <c r="F126" s="6" t="s">
        <v>1</v>
      </c>
      <c r="G126" s="6" t="s">
        <v>88</v>
      </c>
      <c r="H126" s="9">
        <v>0.25</v>
      </c>
      <c r="I126" s="4">
        <f t="shared" si="11"/>
        <v>3500</v>
      </c>
      <c r="J126" s="9"/>
      <c r="K126" s="4"/>
      <c r="L126" s="4"/>
      <c r="M126" s="4"/>
      <c r="N126" s="4"/>
      <c r="O126" s="6"/>
      <c r="P126" s="6"/>
    </row>
    <row r="127" spans="1:16">
      <c r="A127" s="60"/>
      <c r="B127" s="6"/>
      <c r="C127" s="6" t="s">
        <v>89</v>
      </c>
      <c r="D127" s="6"/>
      <c r="E127" s="4">
        <v>14000</v>
      </c>
      <c r="F127" s="6" t="s">
        <v>1</v>
      </c>
      <c r="G127" s="6" t="s">
        <v>88</v>
      </c>
      <c r="H127" s="9">
        <v>0.25</v>
      </c>
      <c r="I127" s="4">
        <f t="shared" si="11"/>
        <v>3500</v>
      </c>
      <c r="J127" s="9"/>
      <c r="K127" s="4"/>
      <c r="L127" s="4"/>
      <c r="M127" s="4"/>
      <c r="N127" s="4"/>
      <c r="O127" s="6"/>
      <c r="P127" s="6"/>
    </row>
    <row r="128" spans="1:16">
      <c r="A128" s="68"/>
      <c r="B128" s="6"/>
      <c r="C128" s="6" t="s">
        <v>93</v>
      </c>
      <c r="D128" s="6"/>
      <c r="E128" s="4">
        <v>600</v>
      </c>
      <c r="F128" s="6" t="s">
        <v>1</v>
      </c>
      <c r="G128" s="6" t="s">
        <v>88</v>
      </c>
      <c r="H128" s="9">
        <v>0.25</v>
      </c>
      <c r="I128" s="4">
        <f t="shared" si="11"/>
        <v>150</v>
      </c>
      <c r="J128" s="9"/>
      <c r="K128" s="4"/>
      <c r="L128" s="4"/>
      <c r="M128" s="4"/>
      <c r="N128" s="4"/>
      <c r="O128" s="6"/>
      <c r="P128" s="6"/>
    </row>
    <row r="129" spans="1:16">
      <c r="A129" s="68"/>
      <c r="B129" s="6"/>
      <c r="C129" s="6" t="s">
        <v>94</v>
      </c>
      <c r="D129" s="6"/>
      <c r="E129" s="4">
        <v>300</v>
      </c>
      <c r="F129" s="6" t="s">
        <v>1</v>
      </c>
      <c r="G129" s="6" t="s">
        <v>88</v>
      </c>
      <c r="H129" s="9">
        <v>0.25</v>
      </c>
      <c r="I129" s="4">
        <f t="shared" si="11"/>
        <v>75</v>
      </c>
      <c r="J129" s="9"/>
      <c r="K129" s="4"/>
      <c r="L129" s="4"/>
      <c r="M129" s="4"/>
      <c r="N129" s="4"/>
      <c r="O129" s="6"/>
      <c r="P129" s="6"/>
    </row>
    <row r="130" spans="1:16">
      <c r="A130" s="77"/>
      <c r="B130" s="6"/>
      <c r="C130" s="6" t="s">
        <v>103</v>
      </c>
      <c r="D130" s="6" t="s">
        <v>104</v>
      </c>
      <c r="E130" s="4">
        <v>7000</v>
      </c>
      <c r="F130" s="6" t="s">
        <v>1</v>
      </c>
      <c r="G130" s="6" t="s">
        <v>105</v>
      </c>
      <c r="H130" s="9">
        <v>0.25</v>
      </c>
      <c r="I130" s="4">
        <f t="shared" si="11"/>
        <v>1750</v>
      </c>
      <c r="J130" s="9"/>
      <c r="K130" s="4"/>
      <c r="L130" s="4"/>
      <c r="M130" s="4"/>
      <c r="N130" s="4"/>
      <c r="O130" s="6"/>
      <c r="P130" s="6"/>
    </row>
    <row r="131" spans="1:16">
      <c r="A131" s="77"/>
      <c r="B131" s="6"/>
      <c r="C131" s="6" t="s">
        <v>106</v>
      </c>
      <c r="D131" s="6" t="s">
        <v>104</v>
      </c>
      <c r="E131" s="4">
        <v>3300</v>
      </c>
      <c r="F131" s="6" t="s">
        <v>1</v>
      </c>
      <c r="G131" s="6" t="s">
        <v>105</v>
      </c>
      <c r="H131" s="9">
        <v>0.25</v>
      </c>
      <c r="I131" s="4">
        <f t="shared" si="11"/>
        <v>825</v>
      </c>
      <c r="J131" s="9"/>
      <c r="K131" s="4"/>
      <c r="L131" s="4"/>
      <c r="M131" s="4"/>
      <c r="N131" s="4"/>
      <c r="O131" s="6"/>
      <c r="P131" s="6"/>
    </row>
    <row r="132" spans="1:16">
      <c r="A132" s="6"/>
      <c r="B132" s="6"/>
      <c r="C132" s="6" t="s">
        <v>107</v>
      </c>
      <c r="D132" s="6" t="s">
        <v>108</v>
      </c>
      <c r="E132" s="4">
        <v>1000</v>
      </c>
      <c r="F132" s="6" t="s">
        <v>1</v>
      </c>
      <c r="G132" s="6" t="s">
        <v>105</v>
      </c>
      <c r="H132" s="9">
        <v>0.25</v>
      </c>
      <c r="I132" s="4">
        <f t="shared" si="11"/>
        <v>250</v>
      </c>
      <c r="J132" s="9"/>
      <c r="K132" s="4"/>
      <c r="L132" s="4"/>
      <c r="M132" s="4"/>
      <c r="N132" s="4"/>
      <c r="O132" s="6"/>
      <c r="P132" s="6"/>
    </row>
    <row r="133" spans="1:16">
      <c r="A133" s="6"/>
      <c r="B133" s="6"/>
      <c r="C133" s="6" t="s">
        <v>109</v>
      </c>
      <c r="D133" s="6" t="s">
        <v>110</v>
      </c>
      <c r="E133" s="4">
        <v>3600</v>
      </c>
      <c r="F133" s="6" t="s">
        <v>1</v>
      </c>
      <c r="G133" s="6" t="s">
        <v>111</v>
      </c>
      <c r="H133" s="9">
        <v>0.25</v>
      </c>
      <c r="I133" s="4">
        <f t="shared" si="11"/>
        <v>900</v>
      </c>
      <c r="J133" s="9"/>
      <c r="K133" s="4"/>
      <c r="L133" s="4"/>
      <c r="M133" s="4"/>
      <c r="N133" s="4"/>
      <c r="O133" s="6"/>
      <c r="P133" s="6"/>
    </row>
    <row r="134" spans="1:16">
      <c r="A134" s="6"/>
      <c r="B134" s="6"/>
      <c r="C134" s="6" t="s">
        <v>124</v>
      </c>
      <c r="D134" s="6" t="s">
        <v>24</v>
      </c>
      <c r="E134" s="4">
        <v>6500</v>
      </c>
      <c r="F134" s="6" t="s">
        <v>1</v>
      </c>
      <c r="G134" s="6" t="s">
        <v>125</v>
      </c>
      <c r="H134" s="9">
        <v>0.25</v>
      </c>
      <c r="I134" s="4">
        <f t="shared" si="11"/>
        <v>1625</v>
      </c>
      <c r="J134" s="9"/>
      <c r="K134" s="4"/>
      <c r="L134" s="4"/>
      <c r="M134" s="4"/>
      <c r="N134" s="4"/>
      <c r="O134" s="6"/>
      <c r="P134" s="6"/>
    </row>
    <row r="135" spans="1:16">
      <c r="A135" s="6"/>
      <c r="B135" s="6"/>
      <c r="C135" s="6" t="s">
        <v>126</v>
      </c>
      <c r="D135" s="6" t="s">
        <v>127</v>
      </c>
      <c r="E135" s="4">
        <v>3400</v>
      </c>
      <c r="F135" s="6" t="s">
        <v>1</v>
      </c>
      <c r="G135" s="6" t="s">
        <v>125</v>
      </c>
      <c r="H135" s="9">
        <v>0.25</v>
      </c>
      <c r="I135" s="4">
        <f t="shared" si="11"/>
        <v>850</v>
      </c>
      <c r="J135" s="9"/>
      <c r="K135" s="4"/>
      <c r="L135" s="4"/>
      <c r="M135" s="4"/>
      <c r="N135" s="4"/>
      <c r="O135" s="6"/>
      <c r="P135" s="6"/>
    </row>
    <row r="136" spans="1:16">
      <c r="A136" s="6"/>
      <c r="B136" s="6"/>
      <c r="C136" s="6" t="s">
        <v>128</v>
      </c>
      <c r="D136" s="6" t="s">
        <v>15</v>
      </c>
      <c r="E136" s="4">
        <v>6500</v>
      </c>
      <c r="F136" s="6" t="s">
        <v>1</v>
      </c>
      <c r="G136" s="6" t="s">
        <v>129</v>
      </c>
      <c r="H136" s="9">
        <v>0.25</v>
      </c>
      <c r="I136" s="4">
        <f t="shared" si="11"/>
        <v>1625</v>
      </c>
      <c r="J136" s="9"/>
      <c r="K136" s="4"/>
      <c r="L136" s="4"/>
      <c r="M136" s="4"/>
      <c r="N136" s="4"/>
      <c r="O136" s="6"/>
      <c r="P136" s="6"/>
    </row>
    <row r="137" spans="1:16">
      <c r="A137" s="6"/>
      <c r="B137" s="6"/>
      <c r="C137" s="6" t="s">
        <v>132</v>
      </c>
      <c r="D137" s="6" t="s">
        <v>133</v>
      </c>
      <c r="E137" s="4">
        <v>4000</v>
      </c>
      <c r="F137" s="6" t="s">
        <v>1</v>
      </c>
      <c r="G137" s="6" t="s">
        <v>88</v>
      </c>
      <c r="H137" s="9">
        <v>0.25</v>
      </c>
      <c r="I137" s="4">
        <f t="shared" si="11"/>
        <v>1000</v>
      </c>
      <c r="J137" s="9"/>
      <c r="K137" s="4"/>
      <c r="L137" s="4"/>
      <c r="M137" s="4"/>
      <c r="N137" s="4"/>
      <c r="O137" s="6"/>
      <c r="P137" s="6"/>
    </row>
    <row r="138" spans="1:16">
      <c r="A138" s="10"/>
      <c r="B138" s="6"/>
      <c r="C138" s="6" t="s">
        <v>347</v>
      </c>
      <c r="D138" s="6" t="s">
        <v>348</v>
      </c>
      <c r="E138" s="4">
        <f>98</f>
        <v>98</v>
      </c>
      <c r="F138" s="6" t="s">
        <v>1</v>
      </c>
      <c r="G138" s="98" t="s">
        <v>372</v>
      </c>
      <c r="H138" s="9">
        <v>0.25</v>
      </c>
      <c r="I138" s="97">
        <f t="shared" si="11"/>
        <v>24.5</v>
      </c>
      <c r="J138" s="9"/>
      <c r="K138" s="4"/>
      <c r="L138" s="4"/>
      <c r="M138" s="4"/>
      <c r="N138" s="4"/>
      <c r="O138" s="4"/>
      <c r="P138" s="6"/>
    </row>
    <row r="139" spans="1:16">
      <c r="A139" s="151"/>
      <c r="B139" s="6"/>
      <c r="C139" s="6" t="s">
        <v>347</v>
      </c>
      <c r="D139" s="6" t="s">
        <v>348</v>
      </c>
      <c r="E139" s="4">
        <f>100*12</f>
        <v>1200</v>
      </c>
      <c r="F139" s="6" t="s">
        <v>1</v>
      </c>
      <c r="G139" s="98" t="s">
        <v>349</v>
      </c>
      <c r="H139" s="9">
        <v>0.25</v>
      </c>
      <c r="I139" s="97">
        <f t="shared" si="11"/>
        <v>300</v>
      </c>
      <c r="J139" s="9"/>
      <c r="K139" s="4"/>
      <c r="L139" s="4"/>
      <c r="M139" s="4"/>
      <c r="N139" s="4"/>
      <c r="O139" s="4"/>
      <c r="P139" s="6"/>
    </row>
    <row r="140" spans="1:16">
      <c r="A140" s="151"/>
      <c r="B140" s="6"/>
      <c r="C140" s="6" t="s">
        <v>347</v>
      </c>
      <c r="D140" s="6" t="s">
        <v>400</v>
      </c>
      <c r="E140" s="4">
        <f>100*600*1.25</f>
        <v>75000</v>
      </c>
      <c r="F140" s="6" t="s">
        <v>1</v>
      </c>
      <c r="G140" s="98" t="s">
        <v>477</v>
      </c>
      <c r="H140" s="9">
        <v>0.25</v>
      </c>
      <c r="I140" s="97">
        <f t="shared" si="11"/>
        <v>18750</v>
      </c>
      <c r="J140" s="4"/>
      <c r="K140" s="4"/>
      <c r="L140" s="4"/>
      <c r="M140" s="4"/>
      <c r="N140" s="4"/>
      <c r="O140" s="4"/>
      <c r="P140" s="6"/>
    </row>
    <row r="141" spans="1:16">
      <c r="A141" s="151"/>
      <c r="B141" s="6"/>
      <c r="C141" s="6" t="s">
        <v>350</v>
      </c>
      <c r="D141" s="6" t="s">
        <v>351</v>
      </c>
      <c r="E141" s="4">
        <f>50*600*1.25</f>
        <v>37500</v>
      </c>
      <c r="F141" s="6" t="s">
        <v>1</v>
      </c>
      <c r="G141" s="6" t="s">
        <v>476</v>
      </c>
      <c r="H141" s="9">
        <v>0.25</v>
      </c>
      <c r="I141" s="97">
        <f t="shared" si="11"/>
        <v>9375</v>
      </c>
      <c r="J141" s="4"/>
      <c r="K141" s="4"/>
      <c r="L141" s="4"/>
      <c r="M141" s="4"/>
      <c r="N141" s="4"/>
      <c r="O141" s="4"/>
      <c r="P141" s="6"/>
    </row>
    <row r="142" spans="1:16">
      <c r="A142" s="151"/>
      <c r="B142" s="6"/>
      <c r="C142" s="6" t="s">
        <v>353</v>
      </c>
      <c r="D142" s="6" t="s">
        <v>354</v>
      </c>
      <c r="E142" s="4">
        <f>100*600*1.25</f>
        <v>75000</v>
      </c>
      <c r="F142" s="6" t="s">
        <v>1</v>
      </c>
      <c r="G142" s="6" t="s">
        <v>478</v>
      </c>
      <c r="H142" s="9">
        <v>0.25</v>
      </c>
      <c r="I142" s="97">
        <f t="shared" si="11"/>
        <v>18750</v>
      </c>
      <c r="J142" s="4"/>
      <c r="K142" s="4"/>
      <c r="L142" s="4"/>
      <c r="M142" s="4"/>
      <c r="N142" s="4"/>
      <c r="O142" s="4"/>
      <c r="P142" s="6"/>
    </row>
    <row r="143" spans="1:16">
      <c r="A143" s="151"/>
      <c r="B143" s="6"/>
      <c r="C143" s="6" t="s">
        <v>355</v>
      </c>
      <c r="D143" s="6" t="s">
        <v>356</v>
      </c>
      <c r="E143" s="4">
        <f>50*600*1.25</f>
        <v>37500</v>
      </c>
      <c r="F143" s="6" t="s">
        <v>1</v>
      </c>
      <c r="G143" s="6" t="s">
        <v>476</v>
      </c>
      <c r="H143" s="9">
        <v>0.25</v>
      </c>
      <c r="I143" s="97">
        <f t="shared" si="11"/>
        <v>9375</v>
      </c>
      <c r="J143" s="4"/>
      <c r="K143" s="4"/>
      <c r="L143" s="4"/>
      <c r="M143" s="4"/>
      <c r="N143" s="4"/>
      <c r="O143" s="4"/>
      <c r="P143" s="6"/>
    </row>
    <row r="144" spans="1:16">
      <c r="A144" s="54"/>
      <c r="B144" s="6"/>
      <c r="C144" s="22" t="s">
        <v>403</v>
      </c>
      <c r="D144" s="6" t="s">
        <v>404</v>
      </c>
      <c r="E144" s="4">
        <f>1.5*4000</f>
        <v>6000</v>
      </c>
      <c r="F144" s="6" t="s">
        <v>1</v>
      </c>
      <c r="G144" s="6" t="s">
        <v>479</v>
      </c>
      <c r="H144" s="9">
        <v>0.25</v>
      </c>
      <c r="I144" s="97">
        <f t="shared" ref="I144" si="12">H144*E144</f>
        <v>1500</v>
      </c>
      <c r="J144" s="4"/>
      <c r="K144" s="4"/>
      <c r="L144" s="4"/>
      <c r="M144" s="4"/>
      <c r="N144" s="4"/>
      <c r="O144" s="4"/>
      <c r="P144" s="6"/>
    </row>
    <row r="145" spans="1:16">
      <c r="A145" s="10"/>
      <c r="B145" s="170"/>
      <c r="C145" s="6" t="s">
        <v>433</v>
      </c>
      <c r="D145" s="6" t="s">
        <v>434</v>
      </c>
      <c r="E145" s="4">
        <f>2*11715.92</f>
        <v>23431.84</v>
      </c>
      <c r="F145" s="6" t="s">
        <v>1</v>
      </c>
      <c r="G145" s="6" t="s">
        <v>435</v>
      </c>
      <c r="H145" s="9">
        <v>0.27697389534923555</v>
      </c>
      <c r="I145" s="97">
        <f>H145*E145</f>
        <v>6490.0080000000316</v>
      </c>
      <c r="J145" s="9"/>
      <c r="K145" s="4"/>
      <c r="L145" s="4"/>
      <c r="M145" s="4"/>
      <c r="N145" s="4"/>
      <c r="O145" s="4"/>
      <c r="P145" s="6"/>
    </row>
    <row r="147" spans="1:16">
      <c r="A147" s="188" t="s">
        <v>481</v>
      </c>
      <c r="B147" s="188"/>
      <c r="C147" s="188"/>
      <c r="N147" s="198">
        <f>SUM(E148:E157)</f>
        <v>12500</v>
      </c>
      <c r="O147" s="199">
        <f>SUM(I148:I157)</f>
        <v>3125</v>
      </c>
      <c r="P147" s="24">
        <f>N147+O147</f>
        <v>15625</v>
      </c>
    </row>
    <row r="148" spans="1:16">
      <c r="A148" s="151"/>
      <c r="B148" s="61"/>
      <c r="C148" s="61" t="s">
        <v>350</v>
      </c>
      <c r="D148" s="61" t="s">
        <v>351</v>
      </c>
      <c r="E148" s="76">
        <f>50*12</f>
        <v>600</v>
      </c>
      <c r="F148" s="6" t="s">
        <v>1</v>
      </c>
      <c r="G148" s="61" t="s">
        <v>352</v>
      </c>
      <c r="H148" s="9">
        <v>0.25</v>
      </c>
      <c r="I148" s="97">
        <f t="shared" ref="I148:I157" si="13">H148*E148</f>
        <v>150</v>
      </c>
      <c r="J148" s="9"/>
      <c r="K148" s="4"/>
      <c r="L148" s="4"/>
      <c r="M148" s="150"/>
      <c r="N148" s="150"/>
      <c r="O148" s="150"/>
      <c r="P148" s="6"/>
    </row>
    <row r="149" spans="1:16">
      <c r="A149" s="151"/>
      <c r="B149" s="61"/>
      <c r="C149" s="61" t="s">
        <v>353</v>
      </c>
      <c r="D149" s="61" t="s">
        <v>354</v>
      </c>
      <c r="E149" s="76">
        <f>100*12</f>
        <v>1200</v>
      </c>
      <c r="F149" s="6" t="s">
        <v>1</v>
      </c>
      <c r="G149" s="61" t="s">
        <v>352</v>
      </c>
      <c r="H149" s="9">
        <v>0.25</v>
      </c>
      <c r="I149" s="97">
        <f t="shared" si="13"/>
        <v>300</v>
      </c>
      <c r="J149" s="9"/>
      <c r="K149" s="4"/>
      <c r="L149" s="4"/>
      <c r="M149" s="150"/>
      <c r="N149" s="150"/>
      <c r="O149" s="150"/>
      <c r="P149" s="6"/>
    </row>
    <row r="150" spans="1:16">
      <c r="A150" s="151"/>
      <c r="B150" s="61"/>
      <c r="C150" s="61" t="s">
        <v>355</v>
      </c>
      <c r="D150" s="61" t="s">
        <v>356</v>
      </c>
      <c r="E150" s="76">
        <f>50*12</f>
        <v>600</v>
      </c>
      <c r="F150" s="6" t="s">
        <v>1</v>
      </c>
      <c r="G150" s="61" t="s">
        <v>352</v>
      </c>
      <c r="H150" s="143">
        <v>0.25</v>
      </c>
      <c r="I150" s="152">
        <f t="shared" si="13"/>
        <v>150</v>
      </c>
      <c r="J150" s="143"/>
      <c r="K150" s="76"/>
      <c r="L150" s="76"/>
      <c r="M150" s="153"/>
      <c r="N150" s="153"/>
      <c r="O150" s="153"/>
      <c r="P150" s="6"/>
    </row>
    <row r="151" spans="1:16">
      <c r="A151" s="10"/>
      <c r="B151" s="6"/>
      <c r="C151" s="61" t="s">
        <v>353</v>
      </c>
      <c r="D151" s="61" t="s">
        <v>354</v>
      </c>
      <c r="E151" s="76">
        <f>100</f>
        <v>100</v>
      </c>
      <c r="F151" s="6" t="s">
        <v>1</v>
      </c>
      <c r="G151" s="6"/>
      <c r="H151" s="9">
        <v>0.25</v>
      </c>
      <c r="I151" s="97">
        <f t="shared" si="13"/>
        <v>25</v>
      </c>
      <c r="J151" s="9"/>
      <c r="K151" s="4"/>
      <c r="L151" s="4"/>
      <c r="M151" s="150"/>
      <c r="N151" s="150"/>
      <c r="O151" s="150"/>
      <c r="P151" s="6"/>
    </row>
    <row r="152" spans="1:16">
      <c r="A152" s="10"/>
      <c r="B152" s="6"/>
      <c r="C152" s="61" t="s">
        <v>350</v>
      </c>
      <c r="D152" s="61" t="s">
        <v>351</v>
      </c>
      <c r="E152" s="76">
        <f>50</f>
        <v>50</v>
      </c>
      <c r="F152" s="6" t="s">
        <v>1</v>
      </c>
      <c r="G152" s="6"/>
      <c r="H152" s="9">
        <v>0.25</v>
      </c>
      <c r="I152" s="97">
        <f t="shared" si="13"/>
        <v>12.5</v>
      </c>
      <c r="J152" s="9"/>
      <c r="K152" s="4"/>
      <c r="L152" s="4"/>
      <c r="M152" s="150"/>
      <c r="N152" s="150"/>
      <c r="O152" s="150"/>
      <c r="P152" s="6"/>
    </row>
    <row r="153" spans="1:16">
      <c r="A153" s="151"/>
      <c r="B153" s="61"/>
      <c r="C153" s="61" t="s">
        <v>355</v>
      </c>
      <c r="D153" s="61" t="s">
        <v>356</v>
      </c>
      <c r="E153" s="76">
        <v>50</v>
      </c>
      <c r="F153" s="6" t="s">
        <v>1</v>
      </c>
      <c r="G153" s="61"/>
      <c r="H153" s="9">
        <v>0.25</v>
      </c>
      <c r="I153" s="97">
        <f t="shared" si="13"/>
        <v>12.5</v>
      </c>
      <c r="J153" s="9"/>
      <c r="K153" s="4"/>
      <c r="L153" s="4"/>
      <c r="M153" s="150"/>
      <c r="N153" s="150"/>
      <c r="O153" s="150"/>
      <c r="P153" s="6"/>
    </row>
    <row r="154" spans="1:16">
      <c r="A154" s="151"/>
      <c r="B154" s="61"/>
      <c r="C154" s="61" t="s">
        <v>374</v>
      </c>
      <c r="D154" s="61" t="s">
        <v>370</v>
      </c>
      <c r="E154" s="76">
        <f>300*25</f>
        <v>7500</v>
      </c>
      <c r="F154" s="6" t="s">
        <v>1</v>
      </c>
      <c r="G154" s="61" t="s">
        <v>375</v>
      </c>
      <c r="H154" s="9">
        <v>0.25</v>
      </c>
      <c r="I154" s="97">
        <f t="shared" si="13"/>
        <v>1875</v>
      </c>
      <c r="J154" s="9"/>
      <c r="K154" s="4"/>
      <c r="L154" s="4"/>
      <c r="M154" s="150"/>
      <c r="N154" s="150"/>
      <c r="O154" s="150"/>
      <c r="P154" s="6"/>
    </row>
    <row r="155" spans="1:16">
      <c r="A155" s="151"/>
      <c r="B155" s="61"/>
      <c r="C155" s="61" t="s">
        <v>350</v>
      </c>
      <c r="D155" s="61" t="s">
        <v>351</v>
      </c>
      <c r="E155" s="76">
        <f>50*12</f>
        <v>600</v>
      </c>
      <c r="F155" s="6" t="s">
        <v>1</v>
      </c>
      <c r="G155" s="61" t="s">
        <v>352</v>
      </c>
      <c r="H155" s="9">
        <v>0.25</v>
      </c>
      <c r="I155" s="97">
        <f t="shared" si="13"/>
        <v>150</v>
      </c>
      <c r="J155" s="9"/>
      <c r="K155" s="4"/>
      <c r="L155" s="4"/>
      <c r="M155" s="150"/>
      <c r="N155" s="150"/>
      <c r="O155" s="150"/>
      <c r="P155" s="6"/>
    </row>
    <row r="156" spans="1:16">
      <c r="A156" s="151"/>
      <c r="B156" s="61"/>
      <c r="C156" s="61" t="s">
        <v>353</v>
      </c>
      <c r="D156" s="61" t="s">
        <v>354</v>
      </c>
      <c r="E156" s="76">
        <f>100*12</f>
        <v>1200</v>
      </c>
      <c r="F156" s="6" t="s">
        <v>1</v>
      </c>
      <c r="G156" s="61" t="s">
        <v>352</v>
      </c>
      <c r="H156" s="9">
        <v>0.25</v>
      </c>
      <c r="I156" s="97">
        <f t="shared" si="13"/>
        <v>300</v>
      </c>
      <c r="J156" s="9"/>
      <c r="K156" s="4"/>
      <c r="L156" s="4"/>
      <c r="M156" s="150"/>
      <c r="N156" s="150"/>
      <c r="O156" s="150"/>
      <c r="P156" s="6"/>
    </row>
    <row r="157" spans="1:16">
      <c r="A157" s="151"/>
      <c r="B157" s="61"/>
      <c r="C157" s="61" t="s">
        <v>355</v>
      </c>
      <c r="D157" s="61" t="s">
        <v>356</v>
      </c>
      <c r="E157" s="76">
        <f>50*12</f>
        <v>600</v>
      </c>
      <c r="F157" s="6" t="s">
        <v>1</v>
      </c>
      <c r="G157" s="61" t="s">
        <v>352</v>
      </c>
      <c r="H157" s="143">
        <v>0.25</v>
      </c>
      <c r="I157" s="152">
        <f t="shared" si="13"/>
        <v>150</v>
      </c>
      <c r="J157" s="143"/>
      <c r="K157" s="76"/>
      <c r="L157" s="76"/>
      <c r="M157" s="153"/>
      <c r="N157" s="153"/>
      <c r="O157" s="153"/>
      <c r="P157" s="6"/>
    </row>
    <row r="159" spans="1:16">
      <c r="A159" s="188" t="s">
        <v>482</v>
      </c>
      <c r="B159" s="188"/>
      <c r="C159" s="188"/>
      <c r="N159" s="208">
        <f>SUM(E160:E210)</f>
        <v>622829</v>
      </c>
      <c r="O159" s="208">
        <f>SUM(I160:I210)</f>
        <v>249131.59999999998</v>
      </c>
      <c r="P159" s="208">
        <f>N159+O159</f>
        <v>871960.6</v>
      </c>
    </row>
    <row r="160" spans="1:16">
      <c r="A160" s="15"/>
      <c r="B160" s="14"/>
      <c r="C160" s="14" t="s">
        <v>39</v>
      </c>
      <c r="D160" s="14" t="s">
        <v>24</v>
      </c>
      <c r="E160" s="12">
        <v>2500</v>
      </c>
      <c r="F160" s="14" t="s">
        <v>1</v>
      </c>
      <c r="G160" s="14" t="s">
        <v>38</v>
      </c>
      <c r="H160" s="14">
        <v>0.4</v>
      </c>
      <c r="I160" s="12">
        <f t="shared" ref="I160:I177" si="14">H160*E160</f>
        <v>1000</v>
      </c>
      <c r="J160" s="13"/>
      <c r="K160" s="12"/>
      <c r="L160" s="12"/>
      <c r="M160" s="12"/>
      <c r="N160" s="12"/>
      <c r="O160" s="168"/>
      <c r="P160" s="14"/>
    </row>
    <row r="161" spans="1:16">
      <c r="A161" s="15"/>
      <c r="B161" s="14"/>
      <c r="C161" s="14" t="s">
        <v>28</v>
      </c>
      <c r="D161" s="14" t="s">
        <v>2</v>
      </c>
      <c r="E161" s="12">
        <v>700</v>
      </c>
      <c r="F161" s="14" t="s">
        <v>1</v>
      </c>
      <c r="G161" s="14" t="s">
        <v>27</v>
      </c>
      <c r="H161" s="14">
        <v>0.4</v>
      </c>
      <c r="I161" s="12">
        <f t="shared" si="14"/>
        <v>280</v>
      </c>
      <c r="J161" s="13"/>
      <c r="K161" s="12"/>
      <c r="L161" s="12"/>
      <c r="M161" s="12"/>
      <c r="N161" s="12"/>
      <c r="O161" s="168"/>
      <c r="P161" s="14"/>
    </row>
    <row r="162" spans="1:16">
      <c r="A162" s="15"/>
      <c r="B162" s="14"/>
      <c r="C162" s="14" t="s">
        <v>9</v>
      </c>
      <c r="D162" s="14" t="s">
        <v>8</v>
      </c>
      <c r="E162" s="12">
        <v>1750</v>
      </c>
      <c r="F162" s="14" t="s">
        <v>1</v>
      </c>
      <c r="G162" s="14" t="s">
        <v>7</v>
      </c>
      <c r="H162" s="14">
        <v>0.4</v>
      </c>
      <c r="I162" s="12">
        <f t="shared" si="14"/>
        <v>700</v>
      </c>
      <c r="J162" s="13"/>
      <c r="K162" s="12"/>
      <c r="L162" s="12"/>
      <c r="M162" s="12"/>
      <c r="N162" s="12"/>
      <c r="O162" s="168"/>
      <c r="P162" s="14"/>
    </row>
    <row r="163" spans="1:16">
      <c r="A163" s="15"/>
      <c r="B163" s="14"/>
      <c r="C163" s="14" t="s">
        <v>9</v>
      </c>
      <c r="D163" s="14" t="s">
        <v>8</v>
      </c>
      <c r="E163" s="12">
        <v>1750</v>
      </c>
      <c r="F163" s="14" t="s">
        <v>1</v>
      </c>
      <c r="G163" s="14" t="s">
        <v>7</v>
      </c>
      <c r="H163" s="14">
        <v>0.4</v>
      </c>
      <c r="I163" s="12">
        <f t="shared" si="14"/>
        <v>700</v>
      </c>
      <c r="J163" s="13"/>
      <c r="K163" s="12"/>
      <c r="L163" s="12"/>
      <c r="M163" s="12"/>
      <c r="N163" s="12"/>
      <c r="O163" s="168"/>
      <c r="P163" s="14"/>
    </row>
    <row r="164" spans="1:16">
      <c r="A164" s="15"/>
      <c r="B164" s="14"/>
      <c r="C164" s="14" t="s">
        <v>9</v>
      </c>
      <c r="D164" s="14" t="s">
        <v>8</v>
      </c>
      <c r="E164" s="12">
        <v>1750</v>
      </c>
      <c r="F164" s="14" t="s">
        <v>1</v>
      </c>
      <c r="G164" s="14" t="s">
        <v>7</v>
      </c>
      <c r="H164" s="14">
        <v>0.4</v>
      </c>
      <c r="I164" s="12">
        <f t="shared" si="14"/>
        <v>700</v>
      </c>
      <c r="J164" s="13"/>
      <c r="K164" s="12"/>
      <c r="L164" s="12"/>
      <c r="M164" s="12"/>
      <c r="N164" s="12"/>
      <c r="O164" s="168"/>
      <c r="P164" s="14"/>
    </row>
    <row r="165" spans="1:16">
      <c r="A165" s="15"/>
      <c r="B165" s="14"/>
      <c r="C165" s="14" t="s">
        <v>9</v>
      </c>
      <c r="D165" s="14" t="s">
        <v>8</v>
      </c>
      <c r="E165" s="12">
        <v>1750</v>
      </c>
      <c r="F165" s="14" t="s">
        <v>1</v>
      </c>
      <c r="G165" s="14" t="s">
        <v>7</v>
      </c>
      <c r="H165" s="14">
        <v>0.4</v>
      </c>
      <c r="I165" s="12">
        <f t="shared" si="14"/>
        <v>700</v>
      </c>
      <c r="J165" s="13"/>
      <c r="K165" s="12"/>
      <c r="L165" s="12"/>
      <c r="M165" s="12"/>
      <c r="N165" s="12"/>
      <c r="O165" s="168"/>
      <c r="P165" s="14"/>
    </row>
    <row r="166" spans="1:16">
      <c r="A166" s="15"/>
      <c r="B166" s="14"/>
      <c r="C166" s="14" t="s">
        <v>9</v>
      </c>
      <c r="D166" s="14" t="s">
        <v>8</v>
      </c>
      <c r="E166" s="12">
        <v>1750</v>
      </c>
      <c r="F166" s="14" t="s">
        <v>1</v>
      </c>
      <c r="G166" s="14" t="s">
        <v>7</v>
      </c>
      <c r="H166" s="14">
        <v>0.4</v>
      </c>
      <c r="I166" s="12">
        <f t="shared" si="14"/>
        <v>700</v>
      </c>
      <c r="J166" s="13"/>
      <c r="K166" s="12"/>
      <c r="L166" s="12"/>
      <c r="M166" s="12"/>
      <c r="N166" s="12"/>
      <c r="O166" s="168"/>
      <c r="P166" s="14"/>
    </row>
    <row r="167" spans="1:16" ht="16" thickBot="1">
      <c r="A167" s="15"/>
      <c r="B167" s="14"/>
      <c r="C167" s="14" t="s">
        <v>9</v>
      </c>
      <c r="D167" s="14" t="s">
        <v>8</v>
      </c>
      <c r="E167" s="12">
        <v>1750</v>
      </c>
      <c r="F167" s="14" t="s">
        <v>1</v>
      </c>
      <c r="G167" s="14" t="s">
        <v>7</v>
      </c>
      <c r="H167" s="14">
        <v>0.4</v>
      </c>
      <c r="I167" s="12">
        <f t="shared" si="14"/>
        <v>700</v>
      </c>
      <c r="J167" s="13"/>
      <c r="K167" s="12"/>
      <c r="L167" s="12"/>
      <c r="M167" s="12"/>
      <c r="N167" s="12"/>
      <c r="O167" s="168"/>
      <c r="P167" s="14"/>
    </row>
    <row r="168" spans="1:16" ht="16" thickBot="1">
      <c r="A168" s="64"/>
      <c r="B168" s="65"/>
      <c r="C168" s="66" t="s">
        <v>92</v>
      </c>
      <c r="D168" s="14"/>
      <c r="E168" s="12">
        <v>5000</v>
      </c>
      <c r="F168" s="14" t="s">
        <v>1</v>
      </c>
      <c r="G168" s="14" t="s">
        <v>27</v>
      </c>
      <c r="H168" s="13">
        <v>0.4</v>
      </c>
      <c r="I168" s="67">
        <f t="shared" si="14"/>
        <v>2000</v>
      </c>
      <c r="J168" s="13"/>
      <c r="K168" s="12"/>
      <c r="L168" s="12"/>
      <c r="M168" s="12"/>
      <c r="N168" s="12"/>
      <c r="O168" s="64"/>
      <c r="P168" s="14"/>
    </row>
    <row r="169" spans="1:16" ht="16" thickBot="1">
      <c r="A169" s="64"/>
      <c r="B169" s="69"/>
      <c r="C169" s="66" t="s">
        <v>95</v>
      </c>
      <c r="D169" s="14" t="s">
        <v>96</v>
      </c>
      <c r="E169" s="12">
        <v>650</v>
      </c>
      <c r="F169" s="14" t="s">
        <v>1</v>
      </c>
      <c r="G169" s="14" t="s">
        <v>7</v>
      </c>
      <c r="H169" s="13">
        <v>0.4</v>
      </c>
      <c r="I169" s="67">
        <f t="shared" si="14"/>
        <v>260</v>
      </c>
      <c r="J169" s="13"/>
      <c r="K169" s="12"/>
      <c r="L169" s="12"/>
      <c r="M169" s="12"/>
      <c r="N169" s="12"/>
      <c r="O169" s="64"/>
      <c r="P169" s="14"/>
    </row>
    <row r="170" spans="1:16" ht="16" thickBot="1">
      <c r="A170" s="73"/>
      <c r="B170" s="69"/>
      <c r="C170" s="14" t="s">
        <v>100</v>
      </c>
      <c r="D170" s="14"/>
      <c r="E170" s="12">
        <v>3000</v>
      </c>
      <c r="F170" s="14" t="s">
        <v>1</v>
      </c>
      <c r="G170" s="14" t="s">
        <v>27</v>
      </c>
      <c r="H170" s="74">
        <v>0.4</v>
      </c>
      <c r="I170" s="67">
        <f t="shared" si="14"/>
        <v>1200</v>
      </c>
      <c r="J170" s="74"/>
      <c r="K170" s="75"/>
      <c r="L170" s="75"/>
      <c r="M170" s="12"/>
      <c r="N170" s="12"/>
      <c r="O170" s="64"/>
      <c r="P170" s="14"/>
    </row>
    <row r="171" spans="1:16" ht="16" thickBot="1">
      <c r="A171" s="14"/>
      <c r="B171" s="69"/>
      <c r="C171" s="14" t="s">
        <v>112</v>
      </c>
      <c r="D171" s="14" t="s">
        <v>113</v>
      </c>
      <c r="E171" s="12">
        <v>2600</v>
      </c>
      <c r="F171" s="14" t="s">
        <v>1</v>
      </c>
      <c r="G171" s="14" t="s">
        <v>114</v>
      </c>
      <c r="H171" s="13">
        <v>0.4</v>
      </c>
      <c r="I171" s="67">
        <f t="shared" si="14"/>
        <v>1040</v>
      </c>
      <c r="J171" s="13"/>
      <c r="K171" s="12"/>
      <c r="L171" s="12"/>
      <c r="M171" s="12"/>
      <c r="N171" s="12"/>
      <c r="O171" s="64"/>
      <c r="P171" s="14"/>
    </row>
    <row r="172" spans="1:16" ht="16" thickBot="1">
      <c r="A172" s="14"/>
      <c r="B172" s="69"/>
      <c r="C172" s="14" t="s">
        <v>117</v>
      </c>
      <c r="D172" s="14" t="s">
        <v>10</v>
      </c>
      <c r="E172" s="12">
        <v>1200</v>
      </c>
      <c r="F172" s="14" t="s">
        <v>1</v>
      </c>
      <c r="G172" s="14" t="s">
        <v>7</v>
      </c>
      <c r="H172" s="13">
        <v>0.4</v>
      </c>
      <c r="I172" s="67">
        <f t="shared" si="14"/>
        <v>480</v>
      </c>
      <c r="J172" s="13"/>
      <c r="K172" s="12"/>
      <c r="L172" s="12"/>
      <c r="M172" s="12"/>
      <c r="N172" s="12"/>
      <c r="O172" s="64"/>
      <c r="P172" s="14"/>
    </row>
    <row r="173" spans="1:16" ht="16" thickBot="1">
      <c r="A173" s="14"/>
      <c r="B173" s="69"/>
      <c r="C173" s="14" t="s">
        <v>118</v>
      </c>
      <c r="D173" s="14" t="s">
        <v>19</v>
      </c>
      <c r="E173" s="12">
        <v>200</v>
      </c>
      <c r="F173" s="14" t="s">
        <v>1</v>
      </c>
      <c r="G173" s="14" t="s">
        <v>7</v>
      </c>
      <c r="H173" s="13">
        <v>0.4</v>
      </c>
      <c r="I173" s="67">
        <f t="shared" si="14"/>
        <v>80</v>
      </c>
      <c r="J173" s="13"/>
      <c r="K173" s="12"/>
      <c r="L173" s="12"/>
      <c r="M173" s="12"/>
      <c r="N173" s="12"/>
      <c r="O173" s="64"/>
      <c r="P173" s="14"/>
    </row>
    <row r="174" spans="1:16" ht="16" thickBot="1">
      <c r="A174" s="14"/>
      <c r="B174" s="69"/>
      <c r="C174" s="14" t="s">
        <v>119</v>
      </c>
      <c r="D174" s="14" t="s">
        <v>120</v>
      </c>
      <c r="E174" s="12">
        <v>140</v>
      </c>
      <c r="F174" s="14" t="s">
        <v>1</v>
      </c>
      <c r="G174" s="14" t="s">
        <v>7</v>
      </c>
      <c r="H174" s="13">
        <v>0.4</v>
      </c>
      <c r="I174" s="67">
        <f t="shared" si="14"/>
        <v>56</v>
      </c>
      <c r="J174" s="13"/>
      <c r="K174" s="12"/>
      <c r="L174" s="12"/>
      <c r="M174" s="12"/>
      <c r="N174" s="12"/>
      <c r="O174" s="64"/>
      <c r="P174" s="14"/>
    </row>
    <row r="175" spans="1:16" ht="16" thickBot="1">
      <c r="A175" s="14"/>
      <c r="B175" s="69"/>
      <c r="C175" s="14" t="s">
        <v>134</v>
      </c>
      <c r="D175" s="14" t="s">
        <v>135</v>
      </c>
      <c r="E175" s="12">
        <v>3600</v>
      </c>
      <c r="F175" s="69" t="s">
        <v>1</v>
      </c>
      <c r="G175" s="14" t="s">
        <v>7</v>
      </c>
      <c r="H175" s="13">
        <v>0.4</v>
      </c>
      <c r="I175" s="67">
        <f t="shared" si="14"/>
        <v>1440</v>
      </c>
      <c r="J175" s="13"/>
      <c r="K175" s="12"/>
      <c r="L175" s="12"/>
      <c r="M175" s="12"/>
      <c r="N175" s="12"/>
      <c r="O175" s="64"/>
      <c r="P175" s="14"/>
    </row>
    <row r="176" spans="1:16" ht="16" thickBot="1">
      <c r="A176" s="14"/>
      <c r="B176" s="69"/>
      <c r="C176" s="14" t="s">
        <v>136</v>
      </c>
      <c r="D176" s="14" t="s">
        <v>24</v>
      </c>
      <c r="E176" s="12">
        <v>3500</v>
      </c>
      <c r="F176" s="69" t="s">
        <v>1</v>
      </c>
      <c r="G176" s="14" t="s">
        <v>7</v>
      </c>
      <c r="H176" s="13">
        <v>0.4</v>
      </c>
      <c r="I176" s="67">
        <f t="shared" si="14"/>
        <v>1400</v>
      </c>
      <c r="J176" s="13"/>
      <c r="K176" s="12"/>
      <c r="L176" s="12"/>
      <c r="M176" s="12"/>
      <c r="N176" s="12"/>
      <c r="O176" s="64"/>
      <c r="P176" s="14"/>
    </row>
    <row r="177" spans="1:16">
      <c r="A177" s="14"/>
      <c r="B177" s="69"/>
      <c r="C177" s="14" t="s">
        <v>118</v>
      </c>
      <c r="D177" s="14" t="s">
        <v>19</v>
      </c>
      <c r="E177" s="12">
        <v>400</v>
      </c>
      <c r="F177" s="69" t="s">
        <v>1</v>
      </c>
      <c r="G177" s="14" t="s">
        <v>7</v>
      </c>
      <c r="H177" s="13">
        <v>0.4</v>
      </c>
      <c r="I177" s="67">
        <f t="shared" si="14"/>
        <v>160</v>
      </c>
      <c r="J177" s="13"/>
      <c r="K177" s="12"/>
      <c r="L177" s="12"/>
      <c r="M177" s="12"/>
      <c r="N177" s="12"/>
      <c r="O177" s="64"/>
      <c r="P177" s="14"/>
    </row>
    <row r="178" spans="1:16" ht="16" thickBot="1">
      <c r="A178" s="47"/>
      <c r="B178" s="48"/>
      <c r="C178" s="48" t="s">
        <v>156</v>
      </c>
      <c r="D178" s="48" t="s">
        <v>148</v>
      </c>
      <c r="E178" s="49">
        <v>20000</v>
      </c>
      <c r="F178" s="48" t="s">
        <v>1</v>
      </c>
      <c r="G178" s="48" t="s">
        <v>155</v>
      </c>
      <c r="H178" s="94">
        <v>0.4</v>
      </c>
      <c r="I178" s="87">
        <f>H178*E178</f>
        <v>8000</v>
      </c>
      <c r="J178" s="102"/>
      <c r="K178" s="101"/>
      <c r="L178" s="101"/>
      <c r="M178" s="100"/>
      <c r="N178" s="100"/>
      <c r="O178" s="100"/>
      <c r="P178" s="14"/>
    </row>
    <row r="179" spans="1:16" ht="16" thickBot="1">
      <c r="A179" s="47"/>
      <c r="B179" s="48"/>
      <c r="C179" s="48"/>
      <c r="D179" s="48"/>
      <c r="E179" s="49">
        <v>8000</v>
      </c>
      <c r="F179" s="48" t="s">
        <v>145</v>
      </c>
      <c r="G179" s="48" t="s">
        <v>75</v>
      </c>
      <c r="H179" s="94">
        <v>0.4</v>
      </c>
      <c r="I179" s="87">
        <f>H179*E179</f>
        <v>3200</v>
      </c>
      <c r="J179" s="102"/>
      <c r="K179" s="101"/>
      <c r="L179" s="101"/>
      <c r="M179" s="100"/>
      <c r="N179" s="100"/>
      <c r="O179" s="100"/>
      <c r="P179" s="14"/>
    </row>
    <row r="180" spans="1:16" ht="16" thickBot="1">
      <c r="A180" s="47"/>
      <c r="B180" s="48"/>
      <c r="C180" s="48"/>
      <c r="D180" s="48"/>
      <c r="E180" s="49">
        <v>15000</v>
      </c>
      <c r="F180" s="48" t="s">
        <v>145</v>
      </c>
      <c r="G180" s="48" t="s">
        <v>75</v>
      </c>
      <c r="H180" s="94">
        <v>0.4</v>
      </c>
      <c r="I180" s="87">
        <f>H180*E180</f>
        <v>6000</v>
      </c>
      <c r="J180" s="102"/>
      <c r="K180" s="101"/>
      <c r="L180" s="101"/>
      <c r="M180" s="100"/>
      <c r="N180" s="100"/>
      <c r="O180" s="100"/>
      <c r="P180" s="14"/>
    </row>
    <row r="181" spans="1:16" ht="16" thickBot="1">
      <c r="A181" s="47"/>
      <c r="B181" s="48"/>
      <c r="C181" s="48" t="s">
        <v>149</v>
      </c>
      <c r="D181" s="48" t="s">
        <v>148</v>
      </c>
      <c r="E181" s="49">
        <v>40000</v>
      </c>
      <c r="F181" s="48" t="s">
        <v>1</v>
      </c>
      <c r="G181" s="48" t="s">
        <v>75</v>
      </c>
      <c r="H181" s="94">
        <v>0.4</v>
      </c>
      <c r="I181" s="108">
        <f>H181*E181</f>
        <v>16000</v>
      </c>
      <c r="J181" s="102"/>
      <c r="K181" s="101"/>
      <c r="L181" s="101"/>
      <c r="M181" s="100"/>
      <c r="N181" s="100"/>
      <c r="O181" s="100"/>
      <c r="P181" s="14"/>
    </row>
    <row r="182" spans="1:16" ht="16" thickBot="1">
      <c r="A182" s="47"/>
      <c r="B182" s="48"/>
      <c r="C182" s="48" t="s">
        <v>156</v>
      </c>
      <c r="D182" s="48" t="s">
        <v>148</v>
      </c>
      <c r="E182" s="87">
        <v>20000</v>
      </c>
      <c r="F182" s="48" t="s">
        <v>1</v>
      </c>
      <c r="G182" s="48" t="s">
        <v>155</v>
      </c>
      <c r="H182" s="94">
        <v>0.4</v>
      </c>
      <c r="I182" s="87">
        <f>E182*H182</f>
        <v>8000</v>
      </c>
      <c r="J182" s="94"/>
      <c r="K182" s="49"/>
      <c r="L182" s="49"/>
      <c r="M182" s="49"/>
      <c r="N182" s="49"/>
      <c r="O182" s="206"/>
      <c r="P182" s="14"/>
    </row>
    <row r="183" spans="1:16" ht="16" thickBot="1">
      <c r="A183" s="47"/>
      <c r="B183" s="48"/>
      <c r="C183" s="48" t="s">
        <v>149</v>
      </c>
      <c r="D183" s="48" t="s">
        <v>148</v>
      </c>
      <c r="E183" s="87">
        <v>62000</v>
      </c>
      <c r="F183" s="48" t="s">
        <v>1</v>
      </c>
      <c r="G183" s="48" t="s">
        <v>75</v>
      </c>
      <c r="H183" s="94">
        <v>0.4</v>
      </c>
      <c r="I183" s="87">
        <f>H183*E183</f>
        <v>24800</v>
      </c>
      <c r="J183" s="94"/>
      <c r="K183" s="49"/>
      <c r="L183" s="49"/>
      <c r="M183" s="49"/>
      <c r="N183" s="49"/>
      <c r="O183" s="206"/>
      <c r="P183" s="14"/>
    </row>
    <row r="184" spans="1:16" ht="16" thickBot="1">
      <c r="A184" s="47"/>
      <c r="B184" s="48"/>
      <c r="C184" s="48"/>
      <c r="D184" s="48"/>
      <c r="E184" s="87">
        <v>8000</v>
      </c>
      <c r="F184" s="48" t="s">
        <v>145</v>
      </c>
      <c r="G184" s="48" t="s">
        <v>75</v>
      </c>
      <c r="H184" s="94">
        <v>0.4</v>
      </c>
      <c r="I184" s="87">
        <f>H184*E184</f>
        <v>3200</v>
      </c>
      <c r="J184" s="94"/>
      <c r="K184" s="49"/>
      <c r="L184" s="49"/>
      <c r="M184" s="49"/>
      <c r="N184" s="49"/>
      <c r="O184" s="206"/>
      <c r="P184" s="14"/>
    </row>
    <row r="185" spans="1:16" ht="16" thickBot="1">
      <c r="A185" s="47"/>
      <c r="B185" s="48"/>
      <c r="C185" s="48"/>
      <c r="D185" s="48"/>
      <c r="E185" s="87">
        <v>6000</v>
      </c>
      <c r="F185" s="48" t="s">
        <v>1</v>
      </c>
      <c r="G185" s="48" t="s">
        <v>75</v>
      </c>
      <c r="H185" s="48">
        <v>0.4</v>
      </c>
      <c r="I185" s="87">
        <f>H185*E185</f>
        <v>2400</v>
      </c>
      <c r="J185" s="48"/>
      <c r="K185" s="49"/>
      <c r="L185" s="49"/>
      <c r="M185" s="49"/>
      <c r="N185" s="49"/>
      <c r="O185" s="206"/>
      <c r="P185" s="14"/>
    </row>
    <row r="186" spans="1:16" ht="16" thickBot="1">
      <c r="A186" s="47"/>
      <c r="B186" s="48"/>
      <c r="C186" s="48"/>
      <c r="D186" s="48"/>
      <c r="E186" s="49">
        <v>3000</v>
      </c>
      <c r="F186" s="48" t="s">
        <v>1</v>
      </c>
      <c r="G186" s="49" t="s">
        <v>75</v>
      </c>
      <c r="H186" s="94">
        <v>0.4</v>
      </c>
      <c r="I186" s="49">
        <f>H186*E186</f>
        <v>1200</v>
      </c>
      <c r="J186" s="94"/>
      <c r="K186" s="49"/>
      <c r="L186" s="49"/>
      <c r="M186" s="49"/>
      <c r="N186" s="49"/>
      <c r="O186" s="206"/>
      <c r="P186" s="14"/>
    </row>
    <row r="187" spans="1:16" ht="16" thickBot="1">
      <c r="A187" s="47"/>
      <c r="B187" s="48"/>
      <c r="C187" s="48" t="s">
        <v>265</v>
      </c>
      <c r="D187" s="48" t="s">
        <v>264</v>
      </c>
      <c r="E187" s="49">
        <v>5000</v>
      </c>
      <c r="F187" s="48" t="s">
        <v>1</v>
      </c>
      <c r="G187" s="49" t="s">
        <v>75</v>
      </c>
      <c r="H187" s="94">
        <v>0.4</v>
      </c>
      <c r="I187" s="49">
        <f>H187*E187</f>
        <v>2000</v>
      </c>
      <c r="J187" s="94"/>
      <c r="K187" s="49"/>
      <c r="L187" s="49"/>
      <c r="M187" s="49"/>
      <c r="N187" s="49"/>
      <c r="O187" s="206"/>
      <c r="P187" s="14"/>
    </row>
    <row r="188" spans="1:16" ht="16" thickBot="1">
      <c r="A188" s="47"/>
      <c r="B188" s="48"/>
      <c r="C188" s="48" t="s">
        <v>265</v>
      </c>
      <c r="D188" s="48" t="s">
        <v>264</v>
      </c>
      <c r="E188" s="49">
        <v>5000</v>
      </c>
      <c r="F188" s="48" t="s">
        <v>1</v>
      </c>
      <c r="G188" s="49" t="s">
        <v>75</v>
      </c>
      <c r="H188" s="94">
        <v>0.4</v>
      </c>
      <c r="I188" s="49">
        <f>H188*E188</f>
        <v>2000</v>
      </c>
      <c r="J188" s="94"/>
      <c r="K188" s="49"/>
      <c r="L188" s="49"/>
      <c r="M188" s="49"/>
      <c r="N188" s="49"/>
      <c r="O188" s="206"/>
      <c r="P188" s="14"/>
    </row>
    <row r="189" spans="1:16" ht="16" thickBot="1">
      <c r="A189" s="47"/>
      <c r="B189" s="48"/>
      <c r="C189" s="48"/>
      <c r="D189" s="48"/>
      <c r="E189" s="49">
        <v>3000</v>
      </c>
      <c r="F189" s="48" t="s">
        <v>1</v>
      </c>
      <c r="G189" s="49" t="s">
        <v>75</v>
      </c>
      <c r="H189" s="94">
        <v>0.4</v>
      </c>
      <c r="I189" s="49">
        <f>H189*E189</f>
        <v>1200</v>
      </c>
      <c r="J189" s="94"/>
      <c r="K189" s="49"/>
      <c r="L189" s="49"/>
      <c r="M189" s="49"/>
      <c r="N189" s="49"/>
      <c r="O189" s="206"/>
      <c r="P189" s="14"/>
    </row>
    <row r="190" spans="1:16" ht="16" thickBot="1">
      <c r="A190" s="47"/>
      <c r="B190" s="48"/>
      <c r="C190" s="48" t="s">
        <v>265</v>
      </c>
      <c r="D190" s="48" t="s">
        <v>264</v>
      </c>
      <c r="E190" s="49">
        <v>5000</v>
      </c>
      <c r="F190" s="48" t="s">
        <v>1</v>
      </c>
      <c r="G190" s="49" t="s">
        <v>75</v>
      </c>
      <c r="H190" s="94">
        <v>0.4</v>
      </c>
      <c r="I190" s="49">
        <f>H190*E190</f>
        <v>2000</v>
      </c>
      <c r="J190" s="94"/>
      <c r="K190" s="49"/>
      <c r="L190" s="49"/>
      <c r="M190" s="49"/>
      <c r="N190" s="49"/>
      <c r="O190" s="206"/>
      <c r="P190" s="14"/>
    </row>
    <row r="191" spans="1:16" ht="16" thickBot="1">
      <c r="A191" s="47"/>
      <c r="B191" s="48"/>
      <c r="C191" s="48"/>
      <c r="D191" s="48"/>
      <c r="E191" s="49">
        <v>15000</v>
      </c>
      <c r="F191" s="48" t="s">
        <v>1</v>
      </c>
      <c r="G191" s="48" t="s">
        <v>75</v>
      </c>
      <c r="H191" s="48">
        <v>0.4</v>
      </c>
      <c r="I191" s="49">
        <f>H191*E191</f>
        <v>6000</v>
      </c>
      <c r="J191" s="48"/>
      <c r="K191" s="49"/>
      <c r="L191" s="49"/>
      <c r="M191" s="49"/>
      <c r="N191" s="49"/>
      <c r="O191" s="206"/>
      <c r="P191" s="14"/>
    </row>
    <row r="192" spans="1:16" ht="16" thickBot="1">
      <c r="A192" s="47"/>
      <c r="B192" s="48"/>
      <c r="C192" s="141" t="s">
        <v>307</v>
      </c>
      <c r="D192" s="48"/>
      <c r="E192" s="49">
        <f>1500*3</f>
        <v>4500</v>
      </c>
      <c r="F192" s="48" t="s">
        <v>1</v>
      </c>
      <c r="G192" s="48" t="s">
        <v>75</v>
      </c>
      <c r="H192" s="48">
        <v>0.4</v>
      </c>
      <c r="I192" s="12">
        <f>H192*E192</f>
        <v>1800</v>
      </c>
      <c r="J192" s="94"/>
      <c r="K192" s="49"/>
      <c r="L192" s="49"/>
      <c r="M192" s="49"/>
      <c r="N192" s="49"/>
      <c r="O192" s="206"/>
      <c r="P192" s="14"/>
    </row>
    <row r="193" spans="1:16" ht="16" thickBot="1">
      <c r="A193" s="47"/>
      <c r="B193" s="48"/>
      <c r="C193" s="48" t="s">
        <v>311</v>
      </c>
      <c r="D193" s="48"/>
      <c r="E193" s="49">
        <f>7000*3</f>
        <v>21000</v>
      </c>
      <c r="F193" s="48" t="s">
        <v>1</v>
      </c>
      <c r="G193" s="48" t="s">
        <v>75</v>
      </c>
      <c r="H193" s="48">
        <v>0.4</v>
      </c>
      <c r="I193" s="12">
        <f>H193*E193</f>
        <v>8400</v>
      </c>
      <c r="J193" s="94"/>
      <c r="K193" s="49"/>
      <c r="L193" s="49"/>
      <c r="M193" s="49"/>
      <c r="N193" s="49"/>
      <c r="O193" s="206"/>
      <c r="P193" s="14"/>
    </row>
    <row r="194" spans="1:16" ht="16" thickBot="1">
      <c r="A194" s="47"/>
      <c r="B194" s="48"/>
      <c r="C194" s="48" t="s">
        <v>325</v>
      </c>
      <c r="D194" s="48" t="s">
        <v>264</v>
      </c>
      <c r="E194" s="49">
        <f>3500*3</f>
        <v>10500</v>
      </c>
      <c r="F194" s="48" t="s">
        <v>1</v>
      </c>
      <c r="G194" s="48" t="s">
        <v>75</v>
      </c>
      <c r="H194" s="94">
        <v>0.4</v>
      </c>
      <c r="I194" s="49">
        <f>H194*E194</f>
        <v>4200</v>
      </c>
      <c r="J194" s="48"/>
      <c r="K194" s="49"/>
      <c r="L194" s="49"/>
      <c r="M194" s="49"/>
      <c r="N194" s="49"/>
      <c r="O194" s="206"/>
      <c r="P194" s="14"/>
    </row>
    <row r="195" spans="1:16" ht="16" thickBot="1">
      <c r="A195" s="47"/>
      <c r="B195" s="48"/>
      <c r="C195" s="141"/>
      <c r="D195" s="141"/>
      <c r="E195" s="49">
        <f>13333*3</f>
        <v>39999</v>
      </c>
      <c r="F195" s="141" t="s">
        <v>1</v>
      </c>
      <c r="G195" s="141" t="s">
        <v>75</v>
      </c>
      <c r="H195" s="94">
        <v>0.4</v>
      </c>
      <c r="I195" s="49">
        <f>H195*E195</f>
        <v>15999.6</v>
      </c>
      <c r="J195" s="141"/>
      <c r="K195" s="141"/>
      <c r="L195" s="141"/>
      <c r="M195" s="141"/>
      <c r="N195" s="48"/>
      <c r="O195" s="207"/>
      <c r="P195" s="14"/>
    </row>
    <row r="196" spans="1:16" ht="16" thickBot="1">
      <c r="A196" s="47"/>
      <c r="B196" s="48"/>
      <c r="C196" s="141"/>
      <c r="D196" s="141"/>
      <c r="E196" s="49">
        <f>20000*3</f>
        <v>60000</v>
      </c>
      <c r="F196" s="141" t="s">
        <v>1</v>
      </c>
      <c r="G196" s="141" t="s">
        <v>75</v>
      </c>
      <c r="H196" s="94">
        <v>0.4</v>
      </c>
      <c r="I196" s="49">
        <f>H196*E196</f>
        <v>24000</v>
      </c>
      <c r="J196" s="141"/>
      <c r="K196" s="141"/>
      <c r="L196" s="141"/>
      <c r="M196" s="141"/>
      <c r="N196" s="48"/>
      <c r="O196" s="207"/>
      <c r="P196" s="14"/>
    </row>
    <row r="197" spans="1:16" ht="16" thickBot="1">
      <c r="A197" s="47"/>
      <c r="B197" s="48"/>
      <c r="C197" s="48"/>
      <c r="D197" s="48"/>
      <c r="E197" s="49">
        <f>4000*3</f>
        <v>12000</v>
      </c>
      <c r="F197" s="48" t="s">
        <v>1</v>
      </c>
      <c r="G197" s="48" t="s">
        <v>75</v>
      </c>
      <c r="H197" s="94">
        <v>0.4</v>
      </c>
      <c r="I197" s="49">
        <f>H197*E197</f>
        <v>4800</v>
      </c>
      <c r="J197" s="48"/>
      <c r="K197" s="48"/>
      <c r="L197" s="48"/>
      <c r="M197" s="48"/>
      <c r="N197" s="48"/>
      <c r="O197" s="207"/>
      <c r="P197" s="14"/>
    </row>
    <row r="198" spans="1:16" ht="16" thickBot="1">
      <c r="A198" s="47"/>
      <c r="B198" s="48"/>
      <c r="C198" s="48" t="s">
        <v>379</v>
      </c>
      <c r="D198" s="48" t="s">
        <v>380</v>
      </c>
      <c r="E198" s="49">
        <v>6000</v>
      </c>
      <c r="F198" s="48" t="s">
        <v>1</v>
      </c>
      <c r="G198" s="48" t="s">
        <v>27</v>
      </c>
      <c r="H198" s="200">
        <v>0.4</v>
      </c>
      <c r="I198" s="201">
        <f t="shared" ref="I198:I202" si="15">H198*E198</f>
        <v>2400</v>
      </c>
      <c r="J198" s="200"/>
      <c r="K198" s="202"/>
      <c r="L198" s="202"/>
      <c r="M198" s="203"/>
      <c r="N198" s="203"/>
      <c r="O198" s="203"/>
      <c r="P198" s="14"/>
    </row>
    <row r="199" spans="1:16" ht="16" thickBot="1">
      <c r="A199" s="204"/>
      <c r="B199" s="205"/>
      <c r="C199" s="48" t="s">
        <v>393</v>
      </c>
      <c r="D199" s="48"/>
      <c r="E199" s="49">
        <v>5000</v>
      </c>
      <c r="F199" s="48" t="s">
        <v>1</v>
      </c>
      <c r="G199" s="48" t="s">
        <v>27</v>
      </c>
      <c r="H199" s="200">
        <v>0.4</v>
      </c>
      <c r="I199" s="201">
        <f t="shared" si="15"/>
        <v>2000</v>
      </c>
      <c r="J199" s="200"/>
      <c r="K199" s="202"/>
      <c r="L199" s="202"/>
      <c r="M199" s="203"/>
      <c r="N199" s="203"/>
      <c r="O199" s="203"/>
      <c r="P199" s="14"/>
    </row>
    <row r="200" spans="1:16">
      <c r="A200" s="15"/>
      <c r="B200" s="14"/>
      <c r="C200" s="14" t="s">
        <v>427</v>
      </c>
      <c r="D200" s="14" t="s">
        <v>428</v>
      </c>
      <c r="E200" s="12">
        <v>500</v>
      </c>
      <c r="F200" s="14" t="s">
        <v>1</v>
      </c>
      <c r="G200" s="14" t="s">
        <v>75</v>
      </c>
      <c r="H200" s="13">
        <v>0.4</v>
      </c>
      <c r="I200" s="167">
        <f t="shared" si="15"/>
        <v>200</v>
      </c>
      <c r="J200" s="13"/>
      <c r="K200" s="12"/>
      <c r="L200" s="12"/>
      <c r="M200" s="168"/>
      <c r="N200" s="168"/>
      <c r="O200" s="168"/>
      <c r="P200" s="14"/>
    </row>
    <row r="201" spans="1:16">
      <c r="A201" s="15"/>
      <c r="B201" s="172"/>
      <c r="C201" s="14" t="s">
        <v>436</v>
      </c>
      <c r="D201" s="14" t="s">
        <v>437</v>
      </c>
      <c r="E201" s="12">
        <f>2*6500</f>
        <v>13000</v>
      </c>
      <c r="F201" s="14" t="s">
        <v>1</v>
      </c>
      <c r="G201" s="14" t="s">
        <v>75</v>
      </c>
      <c r="H201" s="13">
        <v>0.4</v>
      </c>
      <c r="I201" s="167">
        <f t="shared" si="15"/>
        <v>5200</v>
      </c>
      <c r="J201" s="13"/>
      <c r="K201" s="12"/>
      <c r="L201" s="12"/>
      <c r="M201" s="168"/>
      <c r="N201" s="168"/>
      <c r="O201" s="168"/>
      <c r="P201" s="14"/>
    </row>
    <row r="202" spans="1:16">
      <c r="A202" s="15"/>
      <c r="B202" s="14"/>
      <c r="C202" s="14" t="s">
        <v>427</v>
      </c>
      <c r="D202" s="14" t="s">
        <v>428</v>
      </c>
      <c r="E202" s="12">
        <v>500</v>
      </c>
      <c r="F202" s="14" t="s">
        <v>1</v>
      </c>
      <c r="G202" s="14" t="s">
        <v>75</v>
      </c>
      <c r="H202" s="13">
        <v>0.4</v>
      </c>
      <c r="I202" s="167">
        <f t="shared" si="15"/>
        <v>200</v>
      </c>
      <c r="J202" s="13"/>
      <c r="K202" s="12"/>
      <c r="L202" s="12"/>
      <c r="M202" s="168"/>
      <c r="N202" s="168"/>
      <c r="O202" s="168"/>
      <c r="P202" s="14"/>
    </row>
    <row r="203" spans="1:16">
      <c r="A203" s="15"/>
      <c r="B203" s="14"/>
      <c r="C203" s="14" t="s">
        <v>443</v>
      </c>
      <c r="D203" s="14" t="s">
        <v>428</v>
      </c>
      <c r="E203" s="12">
        <v>200</v>
      </c>
      <c r="F203" s="14" t="s">
        <v>1</v>
      </c>
      <c r="G203" s="14" t="s">
        <v>75</v>
      </c>
      <c r="H203" s="13">
        <v>0.4</v>
      </c>
      <c r="I203" s="167">
        <f>H203*E203</f>
        <v>80</v>
      </c>
      <c r="J203" s="13"/>
      <c r="K203" s="12"/>
      <c r="L203" s="12"/>
      <c r="M203" s="168"/>
      <c r="N203" s="168"/>
      <c r="O203" s="168"/>
      <c r="P203" s="14"/>
    </row>
    <row r="204" spans="1:16">
      <c r="A204" s="15"/>
      <c r="B204" s="14"/>
      <c r="C204" s="14" t="s">
        <v>444</v>
      </c>
      <c r="D204" s="14" t="s">
        <v>428</v>
      </c>
      <c r="E204" s="12">
        <v>100</v>
      </c>
      <c r="F204" s="14" t="s">
        <v>1</v>
      </c>
      <c r="G204" s="14" t="s">
        <v>75</v>
      </c>
      <c r="H204" s="13">
        <v>0.4</v>
      </c>
      <c r="I204" s="167">
        <f t="shared" ref="I204:I205" si="16">H204*E204</f>
        <v>40</v>
      </c>
      <c r="J204" s="13"/>
      <c r="K204" s="12"/>
      <c r="L204" s="12"/>
      <c r="M204" s="168"/>
      <c r="N204" s="168"/>
      <c r="O204" s="168"/>
      <c r="P204" s="14"/>
    </row>
    <row r="205" spans="1:16" ht="16" thickBot="1">
      <c r="A205" s="15"/>
      <c r="B205" s="14"/>
      <c r="C205" s="14" t="s">
        <v>448</v>
      </c>
      <c r="D205" s="14" t="s">
        <v>354</v>
      </c>
      <c r="E205" s="12">
        <v>500</v>
      </c>
      <c r="F205" s="14" t="s">
        <v>1</v>
      </c>
      <c r="G205" s="14" t="s">
        <v>75</v>
      </c>
      <c r="H205" s="13">
        <v>0.4</v>
      </c>
      <c r="I205" s="167">
        <f t="shared" si="16"/>
        <v>200</v>
      </c>
      <c r="J205" s="13"/>
      <c r="K205" s="12"/>
      <c r="L205" s="12"/>
      <c r="M205" s="168"/>
      <c r="N205" s="168"/>
      <c r="O205" s="168"/>
      <c r="P205" s="14"/>
    </row>
    <row r="206" spans="1:16">
      <c r="A206" s="177"/>
      <c r="B206" s="173"/>
      <c r="C206" s="173" t="s">
        <v>460</v>
      </c>
      <c r="D206" s="173" t="s">
        <v>437</v>
      </c>
      <c r="E206" s="67">
        <f>(24*1.2)*6500</f>
        <v>187199.99999999997</v>
      </c>
      <c r="F206" s="173" t="s">
        <v>1</v>
      </c>
      <c r="G206" s="173" t="s">
        <v>461</v>
      </c>
      <c r="H206" s="174">
        <v>0.4</v>
      </c>
      <c r="I206" s="167">
        <f>H206*E206</f>
        <v>74879.999999999985</v>
      </c>
      <c r="J206" s="174"/>
      <c r="K206" s="67"/>
      <c r="L206" s="67"/>
      <c r="M206" s="175"/>
      <c r="N206" s="175"/>
      <c r="O206" s="175"/>
      <c r="P206" s="14"/>
    </row>
    <row r="207" spans="1:16">
      <c r="A207" s="15"/>
      <c r="B207" s="14"/>
      <c r="C207" s="14" t="s">
        <v>462</v>
      </c>
      <c r="D207" s="14" t="s">
        <v>428</v>
      </c>
      <c r="E207" s="12">
        <f>2*200</f>
        <v>400</v>
      </c>
      <c r="F207" s="14" t="s">
        <v>1</v>
      </c>
      <c r="G207" s="14" t="s">
        <v>75</v>
      </c>
      <c r="H207" s="13">
        <v>0.4</v>
      </c>
      <c r="I207" s="167">
        <f>H207*E207</f>
        <v>160</v>
      </c>
      <c r="J207" s="13"/>
      <c r="K207" s="12"/>
      <c r="L207" s="12"/>
      <c r="M207" s="168"/>
      <c r="N207" s="168"/>
      <c r="O207" s="168"/>
      <c r="P207" s="14"/>
    </row>
    <row r="208" spans="1:16">
      <c r="A208" s="15"/>
      <c r="B208" s="14"/>
      <c r="C208" s="14" t="s">
        <v>463</v>
      </c>
      <c r="D208" s="14" t="s">
        <v>428</v>
      </c>
      <c r="E208" s="12">
        <f>(24*1.2)*50</f>
        <v>1439.9999999999998</v>
      </c>
      <c r="F208" s="14" t="s">
        <v>1</v>
      </c>
      <c r="G208" s="14" t="s">
        <v>75</v>
      </c>
      <c r="H208" s="13">
        <v>0.4</v>
      </c>
      <c r="I208" s="167">
        <f t="shared" ref="I208:I210" si="17">H208*E208</f>
        <v>575.99999999999989</v>
      </c>
      <c r="J208" s="13"/>
      <c r="K208" s="12"/>
      <c r="L208" s="12"/>
      <c r="M208" s="168"/>
      <c r="N208" s="168"/>
      <c r="O208" s="168"/>
      <c r="P208" s="14"/>
    </row>
    <row r="209" spans="1:16">
      <c r="A209" s="15"/>
      <c r="B209" s="14"/>
      <c r="C209" s="14" t="s">
        <v>448</v>
      </c>
      <c r="D209" s="14" t="s">
        <v>354</v>
      </c>
      <c r="E209" s="12">
        <v>1000</v>
      </c>
      <c r="F209" s="14" t="s">
        <v>1</v>
      </c>
      <c r="G209" s="14" t="s">
        <v>75</v>
      </c>
      <c r="H209" s="13">
        <v>0.4</v>
      </c>
      <c r="I209" s="167">
        <f t="shared" si="17"/>
        <v>400</v>
      </c>
      <c r="J209" s="13"/>
      <c r="K209" s="12"/>
      <c r="L209" s="12"/>
      <c r="M209" s="168"/>
      <c r="N209" s="168"/>
      <c r="O209" s="168"/>
      <c r="P209" s="14"/>
    </row>
    <row r="210" spans="1:16">
      <c r="A210" s="15"/>
      <c r="B210" s="14"/>
      <c r="C210" s="14" t="s">
        <v>427</v>
      </c>
      <c r="D210" s="14" t="s">
        <v>428</v>
      </c>
      <c r="E210" s="12">
        <f>10000</f>
        <v>10000</v>
      </c>
      <c r="F210" s="14" t="s">
        <v>1</v>
      </c>
      <c r="G210" s="14" t="s">
        <v>75</v>
      </c>
      <c r="H210" s="13">
        <v>0.4</v>
      </c>
      <c r="I210" s="167">
        <f t="shared" si="17"/>
        <v>4000</v>
      </c>
      <c r="J210" s="13"/>
      <c r="K210" s="12"/>
      <c r="L210" s="12"/>
      <c r="M210" s="168"/>
      <c r="N210" s="168"/>
      <c r="O210" s="168"/>
      <c r="P210" s="14"/>
    </row>
  </sheetData>
  <mergeCells count="7">
    <mergeCell ref="A2:C2"/>
    <mergeCell ref="A17:C17"/>
    <mergeCell ref="A4:C4"/>
    <mergeCell ref="A123:C123"/>
    <mergeCell ref="A147:C147"/>
    <mergeCell ref="A159:C159"/>
    <mergeCell ref="A7:C7"/>
  </mergeCells>
  <hyperlinks>
    <hyperlink ref="G39" location="Quotations!A1" display="Manufacturer Quote"/>
    <hyperlink ref="G5" location="Quotations!A1" display="Manufacturer Quote"/>
    <hyperlink ref="G51" location="Quotations!G1" display="Manufacturer Quote"/>
    <hyperlink ref="G55" location="Quotations!G1" display="Manufacturer Quote"/>
    <hyperlink ref="G56" location="Quotations!O1" display="Manufacturer Quote"/>
    <hyperlink ref="G52" location="Quotations!O1" display="Manufacturer Quote"/>
    <hyperlink ref="G57" location="Quotations!A11" display="Manufacturer Quote"/>
    <hyperlink ref="G53" location="Quotations!A11" display="Manufacturer Quote"/>
    <hyperlink ref="G54" location="Quotations!A22" display="Web Search"/>
    <hyperlink ref="G58" location="Quotations!E22" display="Vendor Quote"/>
    <hyperlink ref="G59" location="Quotations!A35" display="Existing PO"/>
    <hyperlink ref="G63" location="Quotations!A44" display="Existing PO"/>
    <hyperlink ref="G65:G68" location="Quotations!A1" display="Manufacturer Quote"/>
    <hyperlink ref="G64:G66" location="Quotations!A35" display="Existing PO"/>
    <hyperlink ref="G64" location="Quotations!G1" display="Manufacturer Quote"/>
    <hyperlink ref="G65" location="Quotations!A52" display="Existing PO"/>
    <hyperlink ref="G66" location="Quotations!A52" display="Existing PO"/>
    <hyperlink ref="G68" location="Quotations!A12" display="Manufacturer Quote"/>
    <hyperlink ref="G69" location="Quotations!A32" display="Manufacturer Quote"/>
    <hyperlink ref="G70" location="Quotations!A12" display="Manufacturer Quote"/>
    <hyperlink ref="G71:G74" location="Quotations!A12" display="Manufacturer Quote"/>
    <hyperlink ref="G75" location="Quotations!A12" display="Vendor Quote"/>
    <hyperlink ref="G80" location="Quotations!A63" display="Vendor Quote"/>
    <hyperlink ref="G82" location="Quotations!A63" display="Vendor Quote"/>
    <hyperlink ref="G87" location="Quotations!A63" display="Vendor Quote"/>
    <hyperlink ref="G89" location="Quotations!J63" display="ALICE Contract"/>
    <hyperlink ref="G90" location="Quotations!J63" display="ALICE Contract"/>
    <hyperlink ref="G93" location="Quotations!A1" display="Vendor Quote"/>
    <hyperlink ref="G98" location="Quotations!H1" display="Vendor Quote"/>
    <hyperlink ref="G102" location="Quotations!A1" display="Web quote (3 pulsers)"/>
    <hyperlink ref="G107" location="'Quotations - v1.5 Peripheral'!A1" display="Quote"/>
    <hyperlink ref="G108" location="'Quotations - v1.5 Peripheral'!A1" display="Quote"/>
    <hyperlink ref="G109" location="'Quotations - v1.5 Peripheral'!A1" display="Quote"/>
    <hyperlink ref="G110" location="'Quotations - v1.5 Peripheral'!A1" display="Quote"/>
    <hyperlink ref="G111" location="'Quotations - v1.5 Peripheral'!A1" display="Quote"/>
    <hyperlink ref="G112" location="'Quotations - v1.5 Peripheral'!A1" display="Quote"/>
    <hyperlink ref="G113" location="'Quote - Clock Distribution'!A1" display="Catalog: AFBR-709DMZ"/>
    <hyperlink ref="G116" location="'Quotations - Fibers'!A1" display="Quote: CCI/T40408PF48-058"/>
    <hyperlink ref="G115" location="'Quotations - Fibers'!A1" display="Quote: CCI/T40418PF48-005"/>
    <hyperlink ref="G117" location="'Quotations - Fibers'!A1" display="Quote: CCI/56348-MT"/>
    <hyperlink ref="G118" location="'Quotations - Fibers'!A1" display="Quote: CCI/1000450-18I-48F"/>
    <hyperlink ref="G119" location="'Quotations - Fibers'!A1" display="Quote: CCI/100106"/>
    <hyperlink ref="G121" location="'Quotations - Fibers'!A1" display="Quote: CCI/F26268P302-001"/>
    <hyperlink ref="G120" location="'Quote - Clock Distribution'!A1" display="Catalog: AFBR-709DMZ"/>
    <hyperlink ref="G138" location="Quotations!A28" display="Web quote"/>
    <hyperlink ref="G139" location="Quotations!A28" display="Web quote"/>
    <hyperlink ref="G140" location="Quotations!A28" display="Weq quote (98 * 600 +25% spare)"/>
    <hyperlink ref="G9" location="Quotations!A54" display="Manifacture quote (Jan, 2016), 1 module"/>
    <hyperlink ref="G13" location="Quotations!A54" display="manufacture quote (5022 * 20 + 2 spare)"/>
  </hyperlink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MILLER PLACE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O'Brien</dc:creator>
  <cp:lastModifiedBy>Ann O'Brien</cp:lastModifiedBy>
  <dcterms:created xsi:type="dcterms:W3CDTF">2017-07-30T03:58:08Z</dcterms:created>
  <dcterms:modified xsi:type="dcterms:W3CDTF">2017-07-31T02:23:29Z</dcterms:modified>
</cp:coreProperties>
</file>