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H2O props" sheetId="2" r:id="rId5"/>
    <sheet state="visible" name="outer barrel cb counts (for ref" sheetId="3" r:id="rId6"/>
    <sheet state="visible" name="tubing example parts" sheetId="4" r:id="rId7"/>
  </sheets>
  <definedNames>
    <definedName name="psi_per_bar">Sheet1!$D$23</definedName>
    <definedName name="T_std">#REF!</definedName>
    <definedName name="Pa_per_bar">Sheet1!$D$21</definedName>
    <definedName name="infinity">Sheet1!$D$20</definedName>
    <definedName name="mu_std">Sheet1!$D$15</definedName>
    <definedName name="bar_per_atm">Sheet1!$D$24</definedName>
    <definedName name="T_0">Sheet1!$D$19</definedName>
    <definedName name="inH20_per_bar">Sheet1!$D$22</definedName>
    <definedName name="γ">#REF!</definedName>
    <definedName name="cfm_per_m3s">#REF!</definedName>
    <definedName name="CONTAINS">LAMBDA(cell, range, NOT(ISERROR(MATCH(cell,range,0))))</definedName>
  </definedNames>
  <calcPr/>
  <extLst>
    <ext uri="GoogleSheetsCustomDataVersion2">
      <go:sheetsCustomData xmlns:go="http://customooxmlschemas.google.com/" r:id="rId8" roundtripDataChecksum="vX3LQxWOK5lOVbwB+K7ktgzM7JRs9f8Wg1PWmxt/RnA="/>
    </ext>
  </extLst>
</workbook>
</file>

<file path=xl/sharedStrings.xml><?xml version="1.0" encoding="utf-8"?>
<sst xmlns="http://schemas.openxmlformats.org/spreadsheetml/2006/main" count="404" uniqueCount="293">
  <si>
    <t>Item</t>
  </si>
  <si>
    <t>ePIC SVT Liquid Cooling Flow Stages</t>
  </si>
  <si>
    <t>n modules per stave or per disk</t>
  </si>
  <si>
    <t>n staves or disks per assembly</t>
  </si>
  <si>
    <t>n assemblies</t>
  </si>
  <si>
    <t>subtotal modules</t>
  </si>
  <si>
    <t>approx # control boards</t>
  </si>
  <si>
    <t>approx # control boards per assembly</t>
  </si>
  <si>
    <t>Color key:</t>
  </si>
  <si>
    <t>Contact: jhsilber@lbl.gov</t>
  </si>
  <si>
    <t>OB L4</t>
  </si>
  <si>
    <t>INPUT</t>
  </si>
  <si>
    <t>CALCULATED</t>
  </si>
  <si>
    <t>Version history</t>
  </si>
  <si>
    <t>LINKED</t>
  </si>
  <si>
    <t xml:space="preserve"> v1 - Aug 18, 2026 - JHS - initial version, with interior parallel channels in cold plate</t>
  </si>
  <si>
    <t xml:space="preserve"> v2 - Aug 19, 2026 - JHS - cold plate internal channel represented as single, serpentine, rect x-section path, to improve turbulent convection; added total pressure drop check</t>
  </si>
  <si>
    <t xml:space="preserve"> v3 - Aug 20, 2026 - JHS - cold plate internals represented as fin array</t>
  </si>
  <si>
    <t xml:space="preserve"> v4 - Aug 21, 2026 - JHS - temp-dependent viscosity and Prandtl #; friction factor fixes; labeling fixes; expansion or contraction handling of outlet pressure</t>
  </si>
  <si>
    <t>Implementation notes</t>
  </si>
  <si>
    <t>As of 2026-08-20, not doing any checks whether vena contracta pressure drops to the vapor pressure (cavitation), because dynamic pressures &lt;&lt; 0.5 bar of sub-atmospheric supply (i.e. fluid velocities are &lt;&lt; √(2P/ρ) = 10 m/s).</t>
  </si>
  <si>
    <t>OB L3</t>
  </si>
  <si>
    <t>Physical constants and unit conversions</t>
  </si>
  <si>
    <t>density (H₂O)</t>
  </si>
  <si>
    <t>ρ</t>
  </si>
  <si>
    <t>kg/m³</t>
  </si>
  <si>
    <t>ED0/HD0</t>
  </si>
  <si>
    <t>dynamic viscosity (H₂O)</t>
  </si>
  <si>
    <t>μ</t>
  </si>
  <si>
    <t>Pa*s</t>
  </si>
  <si>
    <t>ED1/HD1</t>
  </si>
  <si>
    <t>ED2-4/HD2-4</t>
  </si>
  <si>
    <t>TOTAL</t>
  </si>
  <si>
    <t>&lt;-- assuming this many and then splitting them proportionally according to # modules</t>
  </si>
  <si>
    <t>specific heat capacity (H₂O)</t>
  </si>
  <si>
    <t>cₚ</t>
  </si>
  <si>
    <t>J/(kg*K)</t>
  </si>
  <si>
    <t>Prandtl number (H₂O)</t>
  </si>
  <si>
    <t>Pr</t>
  </si>
  <si>
    <t>-</t>
  </si>
  <si>
    <t>thermal conductivity (H₂O)</t>
  </si>
  <si>
    <t>k</t>
  </si>
  <si>
    <t>W / (m*K)</t>
  </si>
  <si>
    <t>zero celsius</t>
  </si>
  <si>
    <t>T₀</t>
  </si>
  <si>
    <t>K</t>
  </si>
  <si>
    <t>infinity</t>
  </si>
  <si>
    <t>∞</t>
  </si>
  <si>
    <t>Pa per bar</t>
  </si>
  <si>
    <t>Pa_per_bar</t>
  </si>
  <si>
    <t>in H₂0 per bar</t>
  </si>
  <si>
    <t>inH20_per_bar</t>
  </si>
  <si>
    <t>psi per bar</t>
  </si>
  <si>
    <t>psi_per_bar</t>
  </si>
  <si>
    <t>bar per atm</t>
  </si>
  <si>
    <t>bar_per_atm</t>
  </si>
  <si>
    <t>Boundary conditions</t>
  </si>
  <si>
    <t>source temperature</t>
  </si>
  <si>
    <t>Tₛ</t>
  </si>
  <si>
    <t>°C</t>
  </si>
  <si>
    <t>Modified Chilled Water (MCW) from shared supply manifold with other detectors</t>
  </si>
  <si>
    <t>source mass flow rate</t>
  </si>
  <si>
    <t>ṁ_src</t>
  </si>
  <si>
    <t>kg/s</t>
  </si>
  <si>
    <t>source volume flow rate</t>
  </si>
  <si>
    <t>Vₛ = ṁₛ / ρ</t>
  </si>
  <si>
    <t>m³/s</t>
  </si>
  <si>
    <t>L/min</t>
  </si>
  <si>
    <t>allowable max pressure drop</t>
  </si>
  <si>
    <t>ΔP_avail</t>
  </si>
  <si>
    <t>Pa</t>
  </si>
  <si>
    <t>bar</t>
  </si>
  <si>
    <t>Assuming a chiller like Chilldyne CDU 300 with max 0.5 bar differential</t>
  </si>
  <si>
    <t>Temp. [°C]</t>
  </si>
  <si>
    <t>Control board heat load and counts</t>
  </si>
  <si>
    <t>CB power per board</t>
  </si>
  <si>
    <t>Q_cb</t>
  </si>
  <si>
    <t>W</t>
  </si>
  <si>
    <t>2025-07-10 Glover presentation, https://indico.bnl.gov/event/28216/contributions/109417/attachments/63357/108750/25-07-10_RDO_board_SVT_working_meeting_%20JJG_rev2.pdf</t>
  </si>
  <si>
    <t>Dyn. Viscosity [mPa.s]</t>
  </si>
  <si>
    <t>SCB power per board</t>
  </si>
  <si>
    <t>Q_scb</t>
  </si>
  <si>
    <t>polynomial check</t>
  </si>
  <si>
    <t>polynomial error</t>
  </si>
  <si>
    <t>Kin. Viscosity [mm²/s]</t>
  </si>
  <si>
    <t>Density [g/cm³]</t>
  </si>
  <si>
    <t>Polynomial</t>
  </si>
  <si>
    <t>for now, assume similar to CB</t>
  </si>
  <si>
    <t>total CBs</t>
  </si>
  <si>
    <t>n_cb = n_cb_per * n_cb_nets</t>
  </si>
  <si>
    <t>total SCBs</t>
  </si>
  <si>
    <t>n_scb = n_scb_per * n_scb_nets</t>
  </si>
  <si>
    <t>total boards</t>
  </si>
  <si>
    <t>n_tot = n_cb + n_scb</t>
  </si>
  <si>
    <t>fraction that are CBs</t>
  </si>
  <si>
    <t>fc = n_cb / n_tot</t>
  </si>
  <si>
    <t>fraction that are SCBs</t>
  </si>
  <si>
    <t>fs = n_scb / n_tot</t>
  </si>
  <si>
    <t>avg power per board</t>
  </si>
  <si>
    <t>Q_b = fc*Q_cb + fs*Qscb</t>
  </si>
  <si>
    <t>Control board / cold plate geometry</t>
  </si>
  <si>
    <t>CB cold plate, interior volume width "a"</t>
  </si>
  <si>
    <t>a_cb</t>
  </si>
  <si>
    <t>mm</t>
  </si>
  <si>
    <t>EC-1016-5993-A.2 (2026-04-03), as received from A. Huddart</t>
  </si>
  <si>
    <t>CB cold plate, interior volume width "b"</t>
  </si>
  <si>
    <t>b_cb</t>
  </si>
  <si>
    <t>SCB cold plate, width "a"</t>
  </si>
  <si>
    <t>a_scb</t>
  </si>
  <si>
    <t>guesstimate given EC-1016-5991-A.2, 2026-04-03, placeholder exterior dimensions 150 mm x 20 mm</t>
  </si>
  <si>
    <t>SCB cold plate, width "b"</t>
  </si>
  <si>
    <t>b_scb</t>
  </si>
  <si>
    <t>cold plate interior height</t>
  </si>
  <si>
    <t>hp</t>
  </si>
  <si>
    <t>cold plate height gap from ceiling to tops of fins</t>
  </si>
  <si>
    <t>hg</t>
  </si>
  <si>
    <t>cold plate fin height</t>
  </si>
  <si>
    <t>hf</t>
  </si>
  <si>
    <t>m</t>
  </si>
  <si>
    <t>cold plate fin thickness</t>
  </si>
  <si>
    <t>tf</t>
  </si>
  <si>
    <t>cold plate gap between fins</t>
  </si>
  <si>
    <t>gf</t>
  </si>
  <si>
    <t>num fins within CB cold plate</t>
  </si>
  <si>
    <t>nf_cb = a_cb / (tf + gf)</t>
  </si>
  <si>
    <t>num fins within SCB cold plate</t>
  </si>
  <si>
    <t>nf_scb = a_scb / (tf + gf)</t>
  </si>
  <si>
    <t>typ num fins within generic cold plate</t>
  </si>
  <si>
    <t>nf = fc * nf_cb + fs * nf_scb</t>
  </si>
  <si>
    <t>typ flow length within generic cold plate</t>
  </si>
  <si>
    <t>Lp = fc * b_cb + fs * b_scb</t>
  </si>
  <si>
    <t>cold plate flow perimeter</t>
  </si>
  <si>
    <t>Xp = 2 * nf * (tf + gf + hf)  +  2 * hp</t>
  </si>
  <si>
    <t>cold plate flow cross-sectional area</t>
  </si>
  <si>
    <t>Ap = hf * (nf * gf)  +  (hp - hf) * nf * (gf + tf)</t>
  </si>
  <si>
    <t>mm²</t>
  </si>
  <si>
    <t>m²</t>
  </si>
  <si>
    <t>fins total surface area</t>
  </si>
  <si>
    <t>Af = nf * (2 * hf + tf) * Lp</t>
  </si>
  <si>
    <t>cold plate inner walls surface area</t>
  </si>
  <si>
    <t>Ap_surf = Xp * Lp</t>
  </si>
  <si>
    <t>cold plate hydraulic inner diameter</t>
  </si>
  <si>
    <t>Dp = 4 * Ap / Xp</t>
  </si>
  <si>
    <t>Collections of individual boards into local serial coolant networks</t>
  </si>
  <si>
    <t>num CBs per serial network</t>
  </si>
  <si>
    <t>n_cb_per</t>
  </si>
  <si>
    <t>num SCBs per serial network</t>
  </si>
  <si>
    <t>n_scb_per</t>
  </si>
  <si>
    <t>num CB serial networks</t>
  </si>
  <si>
    <t>n_cb_nets</t>
  </si>
  <si>
    <t>3 x (hadron + e-) x (top + bottom)</t>
  </si>
  <si>
    <t>num SCB serial networks</t>
  </si>
  <si>
    <t>n_scb_nets</t>
  </si>
  <si>
    <t>2 x (top + bottom)</t>
  </si>
  <si>
    <t>num total serial networks</t>
  </si>
  <si>
    <t>n_nets_tot = n_cb_nets + n_scb_nets</t>
  </si>
  <si>
    <t>avg num control boards per serial network</t>
  </si>
  <si>
    <t>nc = (n_cb + n_scb) / n_nets_tot</t>
  </si>
  <si>
    <t>typical length between cold plates within a serial network</t>
  </si>
  <si>
    <t>L_net_int</t>
  </si>
  <si>
    <t>approximated from inspection of EC-1016-5993-A.2 (2026-04-03)</t>
  </si>
  <si>
    <t>Control board / cold plate heat transfer check</t>
  </si>
  <si>
    <t>cold plate fin thermal conductivity</t>
  </si>
  <si>
    <t>kf</t>
  </si>
  <si>
    <t>W/(m*K)</t>
  </si>
  <si>
    <t>aluminum 6061-T6</t>
  </si>
  <si>
    <t>fin array form drag factor</t>
  </si>
  <si>
    <t>K_fd</t>
  </si>
  <si>
    <t>typically in the range 2.0 - 4.0, depending on fin array details</t>
  </si>
  <si>
    <t>cold plate fin parameter</t>
  </si>
  <si>
    <t>mf = √(2 * h / (kf * tf))</t>
  </si>
  <si>
    <t>1/m</t>
  </si>
  <si>
    <t>cold plate fin efficiency</t>
  </si>
  <si>
    <t>ef = tanh(mf * (hf + tf/2)) / (mf*(hf+tf/2))</t>
  </si>
  <si>
    <t>Source:</t>
  </si>
  <si>
    <t>https://wiki.anton-paar.com/en/water/</t>
  </si>
  <si>
    <t>mass flow rate through cold plate</t>
  </si>
  <si>
    <t>ṁ_p = mass flow of a given serial network below</t>
  </si>
  <si>
    <t>Reynold's number through cold plate</t>
  </si>
  <si>
    <t>Re = same as internal channel calcs below</t>
  </si>
  <si>
    <t>flow type</t>
  </si>
  <si>
    <t>see below</t>
  </si>
  <si>
    <t>friction factor</t>
  </si>
  <si>
    <t>Nusselt number through cold plate</t>
  </si>
  <si>
    <t>Nu = 4.36 (laminar)
or (f/8) * (Re-1000) * Pr / (1 + 12.7*(f/8)^0.5 * (Pr^(2/3)-1)), transitional, Gnielinski,
or 0.023 * Re^0.8 * Pr^0.4 (turbulent, Dittus-Boelter)</t>
  </si>
  <si>
    <t>convection coefficient through cold plate</t>
  </si>
  <si>
    <t>h = Nu * k / D_ch</t>
  </si>
  <si>
    <t>W/(m² * K)</t>
  </si>
  <si>
    <t>convection-limited conductance w.r.t. fluid temperature</t>
  </si>
  <si>
    <t>H_convec = h * ((Ap_surf - Af) + ef * Af)</t>
  </si>
  <si>
    <t>W/K</t>
  </si>
  <si>
    <t>thermodynamically-limited max heat transport</t>
  </si>
  <si>
    <t>H_capacity = ṁ_p * cₚ</t>
  </si>
  <si>
    <t>number of transfer units</t>
  </si>
  <si>
    <t>NTU = H_convec / H_capacity</t>
  </si>
  <si>
    <t>to avoid being convection-limited, would like this value in the neighborhood of 1 or higher</t>
  </si>
  <si>
    <t>cold plate effectiveness</t>
  </si>
  <si>
    <t>ε = 1 - exp(-NTU)</t>
  </si>
  <si>
    <t>fluid temp rise of single plate in series network</t>
  </si>
  <si>
    <t>ΔTfs = ΔTf / nc</t>
  </si>
  <si>
    <t>hottest cold plate wall temperature</t>
  </si>
  <si>
    <t>T = ΔTfs *(1/ε - 1) + T₂</t>
  </si>
  <si>
    <t>Tees, elbows, fittings, etc</t>
  </si>
  <si>
    <t>approx num misc tees, elbows, fittings, etc per stage</t>
  </si>
  <si>
    <t>nₓ</t>
  </si>
  <si>
    <t>form-drag factor per item for misc losses</t>
  </si>
  <si>
    <t>Kₓ_per</t>
  </si>
  <si>
    <t>typical range 0.5-1.5 per item</t>
  </si>
  <si>
    <t>form-drag factor per stage for misc losses</t>
  </si>
  <si>
    <t>Kₓ = nₓ * Kₓ_per</t>
  </si>
  <si>
    <t>Each "stage" consists first of a length of pipe with a friction factor, then a change of cross-sectional area</t>
  </si>
  <si>
    <t>1 = entrance = at beginning of stage</t>
  </si>
  <si>
    <t>2 = downstream = after pipe length, but before area change</t>
  </si>
  <si>
    <t>3 = outlet = manifold = after area change</t>
  </si>
  <si>
    <t>stage description</t>
  </si>
  <si>
    <t>from supply manifold to hadron + electron sides</t>
  </si>
  <si>
    <t>exterior branches to top + bottom halves</t>
  </si>
  <si>
    <t>interior branches to CB and SCB networks</t>
  </si>
  <si>
    <t>CB and SCB boards / cold plate internal channels</t>
  </si>
  <si>
    <t>CB and SCB network pipes (between cold plates)</t>
  </si>
  <si>
    <t>interior return lines from CB and SCB networks</t>
  </si>
  <si>
    <t>exterior top&amp;bottom half return manifolds to hadron&amp;electron side return manifolds</t>
  </si>
  <si>
    <t>from hadron + electron sides back to source</t>
  </si>
  <si>
    <t>stage index</t>
  </si>
  <si>
    <t>num channels (per parent channel)</t>
  </si>
  <si>
    <t>nᵢ</t>
  </si>
  <si>
    <t>&lt;-- values &gt; 1 are splits, less than 1 are mergers</t>
  </si>
  <si>
    <t>total num parallel channels in system</t>
  </si>
  <si>
    <t>Nᵢ = product(nᵢ)</t>
  </si>
  <si>
    <t>mass flow per channel</t>
  </si>
  <si>
    <t>ṁ = (ṁ_src or previous stage ṁ) / nᵢ</t>
  </si>
  <si>
    <t>kg [check-product], mass flow is split exactly among branches at each stage, i.e. assuming each branch has similar back-pressure</t>
  </si>
  <si>
    <r>
      <rPr>
        <rFont val="Arial"/>
        <color theme="1"/>
      </rPr>
      <t xml:space="preserve">num identical elements in </t>
    </r>
    <r>
      <rPr>
        <rFont val="Arial"/>
        <b/>
        <i/>
        <color theme="1"/>
      </rPr>
      <t>series within</t>
    </r>
    <r>
      <rPr>
        <rFont val="Arial"/>
        <color theme="1"/>
      </rPr>
      <t xml:space="preserve"> this channel</t>
    </r>
  </si>
  <si>
    <t>nₛ</t>
  </si>
  <si>
    <t>length</t>
  </si>
  <si>
    <t>L</t>
  </si>
  <si>
    <t>hydraulic diameter (mm)</t>
  </si>
  <si>
    <t>D_mm</t>
  </si>
  <si>
    <t>hydraulic diameter</t>
  </si>
  <si>
    <t>D</t>
  </si>
  <si>
    <t>"</t>
  </si>
  <si>
    <t>inches</t>
  </si>
  <si>
    <t>single channel cross-sectional area along length L</t>
  </si>
  <si>
    <t>A₁₂ = π D² / 4 (circular cross-section)
or as calculated elsewhere for non-circular</t>
  </si>
  <si>
    <t>all channels total cross-sectional area</t>
  </si>
  <si>
    <t>ΣA₁₂ = A₁₂,ᵢ * Nᵢ</t>
  </si>
  <si>
    <t>cm²</t>
  </si>
  <si>
    <t>entrance temperature</t>
  </si>
  <si>
    <t>T₁ = Tₛ or previous stage T₃</t>
  </si>
  <si>
    <t>Reynold's number</t>
  </si>
  <si>
    <t>Re = ṁ * D / (A₁₂ * μ)</t>
  </si>
  <si>
    <t>define laminar @ Re &lt;= 2300 and turbulent @ 4000</t>
  </si>
  <si>
    <t>friction factor (laminar, Hagen-Poiseuille)</t>
  </si>
  <si>
    <t>f_lam = 64/Re
  = 0.316/Re^0.25 otherwise</t>
  </si>
  <si>
    <t>friction factor (turbulent, Blasius)</t>
  </si>
  <si>
    <t>f_turb = 0.3164 / Re^0.25</t>
  </si>
  <si>
    <t>friction factor (selected)</t>
  </si>
  <si>
    <t>f = f_lam or f_turb</t>
  </si>
  <si>
    <t>form-drag factor</t>
  </si>
  <si>
    <t>friction pressure drop (Darcy-Weisbach)</t>
  </si>
  <si>
    <t>ΔP₁₂ = (f * (L/D) + K_fd + Kₓ/nₛ) * ṁ² / (2 ρ A₁₂²) * nₛ</t>
  </si>
  <si>
    <t>psi</t>
  </si>
  <si>
    <t>power input to stream</t>
  </si>
  <si>
    <t>Qᵢ = Q_per_serial_element * nₛ</t>
  </si>
  <si>
    <t>total applied power (all parallel and serial elements)</t>
  </si>
  <si>
    <t>ΣQᵢ = Qᵢ * Nᵢ</t>
  </si>
  <si>
    <t>&lt;-- note total applied power, and cross-check to other top-down estimates</t>
  </si>
  <si>
    <t>volumetric flow rate</t>
  </si>
  <si>
    <t>V =  ṁ / ρ</t>
  </si>
  <si>
    <t>flow speed</t>
  </si>
  <si>
    <t>u = V / A₁₂</t>
  </si>
  <si>
    <t>m/s</t>
  </si>
  <si>
    <t>friction heating of fluid</t>
  </si>
  <si>
    <t>Qf = ΔP₁₂ * V</t>
  </si>
  <si>
    <t>fluid temperature rise</t>
  </si>
  <si>
    <t>ΔTf = (Qᵢ + Qf) / (ṁ * cₚ)</t>
  </si>
  <si>
    <t>downstream temperature</t>
  </si>
  <si>
    <t>T₂ = T₁ + ΔTf</t>
  </si>
  <si>
    <t>cross-sectional area on other side of outlet</t>
  </si>
  <si>
    <t>A₃ = next stage's (A₁₂ * nᵢ)</t>
  </si>
  <si>
    <t>area change pressure drop at outlet (expansion case)</t>
  </si>
  <si>
    <t>ΔP₂₃_exp = nₛ * ṁ²/(2*ρ) * (1 - A₁₂/A₃)²/A₁₂², where A₃ &gt; A₁₂</t>
  </si>
  <si>
    <t>Borda-Carnot expansion loss</t>
  </si>
  <si>
    <t>area change pressure drop at outlet (contraction case)</t>
  </si>
  <si>
    <t>ΔP₂₃_con = nₛ * ṁ²/(2*ρ) * (1 - A₃/A₁₂)/A₃² * 0.42, where A₁₂ &gt; A₃</t>
  </si>
  <si>
    <t>empirical contraction loss (vena contracta)</t>
  </si>
  <si>
    <t>area change pressure drop at outlet</t>
  </si>
  <si>
    <t>ΔP₂₃ = ΔP₂₃_exp or ΔP₂₃_con</t>
  </si>
  <si>
    <t>friction + outlet pressure drop for this stage</t>
  </si>
  <si>
    <t>ΔPᵢ = ΔP₁₂ + ΔP₂₃</t>
  </si>
  <si>
    <t>total pressure drop</t>
  </si>
  <si>
    <t>ΔPtot = cumulative Σ ΔPᵢ</t>
  </si>
  <si>
    <t>&lt;-- check whether sufficiently low pressure loss?  ΔP_avail / ΔP_tot must be comfortably larger than 1.0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</si>
</sst>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1">
    <numFmt numFmtId="164" formatCode="0.0"/>
    <numFmt numFmtId="165" formatCode="0E+00"/>
    <numFmt numFmtId="166" formatCode="0.000"/>
    <numFmt numFmtId="167" formatCode="#,##0.0000"/>
    <numFmt numFmtId="168" formatCode="0.0%"/>
    <numFmt numFmtId="169" formatCode="0.0000E+00"/>
    <numFmt numFmtId="170" formatCode="0.00000"/>
    <numFmt numFmtId="171" formatCode="#,##0.0"/>
    <numFmt numFmtId="172" formatCode="###0"/>
    <numFmt numFmtId="173" formatCode="#,##0.000"/>
    <numFmt numFmtId="174" formatCode="0.0E+00"/>
  </numFmts>
  <fonts count="31">
    <font>
      <sz val="10.0"/>
      <color rgb="FF000000"/>
      <name val="Arial"/>
      <scheme val="minor"/>
    </font>
    <font>
      <b/>
      <color theme="1"/>
      <name val="Arial"/>
    </font>
    <font>
      <b/>
      <i/>
      <sz val="13.0"/>
      <color theme="1"/>
      <name val="Arial"/>
    </font>
    <font>
      <color theme="1"/>
      <name val="Arial"/>
    </font>
    <font>
      <b/>
      <i/>
      <color theme="1"/>
      <name val="Arial"/>
    </font>
    <font>
      <color theme="1"/>
      <name val="Consolas"/>
    </font>
    <font>
      <i/>
      <color rgb="FFFF0000"/>
      <name val="Consolas"/>
    </font>
    <font>
      <b/>
      <i/>
      <color theme="1"/>
      <name val="Arial"/>
      <scheme val="minor"/>
    </font>
    <font>
      <i/>
      <color theme="1"/>
      <name val="Arial"/>
    </font>
    <font>
      <color rgb="FF000000"/>
      <name val="Arial"/>
    </font>
    <font>
      <color rgb="FF000000"/>
      <name val="Roboto"/>
    </font>
    <font>
      <color theme="1"/>
      <name val="Arial"/>
      <scheme val="minor"/>
    </font>
    <font>
      <b/>
      <sz val="11.0"/>
      <color rgb="FF181A1E"/>
      <name val="&quot;Roboto Flex&quot;"/>
    </font>
    <font>
      <b/>
      <sz val="11.0"/>
      <color rgb="FF181A1E"/>
      <name val="Arial"/>
    </font>
    <font>
      <color rgb="FFFF0000"/>
      <name val="Arial"/>
      <scheme val="minor"/>
    </font>
    <font>
      <sz val="11.0"/>
      <color rgb="FF181A1E"/>
      <name val="&quot;Roboto Flex&quot;"/>
    </font>
    <font>
      <i/>
      <sz val="11.0"/>
      <color rgb="FF666666"/>
      <name val="&quot;Roboto Flex&quot;"/>
    </font>
    <font>
      <color rgb="FFFF0000"/>
      <name val="Arial"/>
    </font>
    <font>
      <sz val="9.0"/>
      <color rgb="FF000000"/>
      <name val="Ui-monospace"/>
    </font>
    <font>
      <b/>
      <color theme="1"/>
      <name val="Arial"/>
      <scheme val="minor"/>
    </font>
    <font>
      <u/>
      <color rgb="FF0000FF"/>
    </font>
    <font>
      <color rgb="FF0000FF"/>
      <name val="Arial"/>
    </font>
    <font>
      <sz val="10.0"/>
      <color theme="1"/>
      <name val="Arial"/>
    </font>
    <font>
      <sz val="10.0"/>
      <color theme="1"/>
      <name val="Arial"/>
      <scheme val="minor"/>
    </font>
    <font>
      <b/>
      <sz val="12.0"/>
      <color theme="1"/>
      <name val="Arial"/>
    </font>
    <font>
      <color rgb="FF18A303"/>
      <name val="Arial"/>
    </font>
    <font>
      <b/>
      <color rgb="FF18A303"/>
      <name val="Arial"/>
    </font>
    <font>
      <color theme="4"/>
      <name val="Arial"/>
    </font>
    <font>
      <i/>
      <color rgb="FF666666"/>
      <name val="Arial"/>
    </font>
    <font>
      <color rgb="FF999999"/>
      <name val="Arial"/>
    </font>
    <font>
      <color rgb="FF999999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E6E9F2"/>
        <bgColor rgb="FFE6E9F2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3" numFmtId="0" xfId="0" applyAlignment="1" applyFont="1">
      <alignment horizontal="left"/>
    </xf>
    <xf borderId="0" fillId="2" fontId="3" numFmtId="0" xfId="0" applyAlignment="1" applyFill="1" applyFont="1">
      <alignment horizontal="left"/>
    </xf>
    <xf borderId="0" fillId="0" fontId="3" numFmtId="0" xfId="0" applyFont="1"/>
    <xf borderId="0" fillId="2" fontId="3" numFmtId="0" xfId="0" applyFill="1" applyFont="1"/>
    <xf borderId="0" fillId="3" fontId="3" numFmtId="0" xfId="0" applyAlignment="1" applyFill="1" applyFont="1">
      <alignment horizontal="left"/>
    </xf>
    <xf borderId="0" fillId="0" fontId="4" numFmtId="0" xfId="0" applyFont="1"/>
    <xf borderId="0" fillId="4" fontId="3" numFmtId="0" xfId="0" applyAlignment="1" applyFill="1" applyFont="1">
      <alignment horizontal="left"/>
    </xf>
    <xf borderId="0" fillId="0" fontId="5" numFmtId="0" xfId="0" applyAlignment="1" applyFont="1">
      <alignment horizontal="left" readingOrder="0"/>
    </xf>
    <xf borderId="0" fillId="0" fontId="4" numFmtId="0" xfId="0" applyAlignment="1" applyFont="1">
      <alignment horizontal="right"/>
    </xf>
    <xf borderId="0" fillId="3" fontId="3" numFmtId="0" xfId="0" applyFill="1" applyFont="1"/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3" fontId="3" numFmtId="164" xfId="0" applyFill="1" applyFont="1" applyNumberFormat="1"/>
    <xf borderId="0" fillId="0" fontId="7" numFmtId="0" xfId="0" applyAlignment="1" applyFont="1">
      <alignment readingOrder="0"/>
    </xf>
    <xf borderId="0" fillId="0" fontId="3" numFmtId="0" xfId="0" applyAlignment="1" applyFont="1">
      <alignment readingOrder="0"/>
    </xf>
    <xf borderId="0" fillId="2" fontId="3" numFmtId="1" xfId="0" applyAlignment="1" applyFill="1" applyFont="1" applyNumberFormat="1">
      <alignment readingOrder="0"/>
    </xf>
    <xf borderId="0" fillId="2" fontId="3" numFmtId="0" xfId="0" applyAlignment="1" applyFill="1" applyFont="1">
      <alignment horizontal="right"/>
    </xf>
    <xf borderId="0" fillId="0" fontId="1" numFmtId="0" xfId="0" applyAlignment="1" applyFont="1">
      <alignment horizontal="right"/>
    </xf>
    <xf borderId="0" fillId="5" fontId="1" numFmtId="0" xfId="0" applyFill="1" applyFont="1"/>
    <xf borderId="0" fillId="0" fontId="8" numFmtId="0" xfId="0" applyFont="1"/>
    <xf borderId="0" fillId="3" fontId="3" numFmtId="11" xfId="0" applyFill="1" applyFont="1" applyNumberFormat="1"/>
    <xf borderId="0" fillId="2" fontId="3" numFmtId="0" xfId="0" applyAlignment="1" applyFill="1" applyFont="1">
      <alignment readingOrder="0"/>
    </xf>
    <xf borderId="0" fillId="3" fontId="3" numFmtId="164" xfId="0" applyAlignment="1" applyFill="1" applyFont="1" applyNumberFormat="1">
      <alignment readingOrder="0"/>
    </xf>
    <xf borderId="0" fillId="2" fontId="3" numFmtId="165" xfId="0" applyFill="1" applyFont="1" applyNumberFormat="1"/>
    <xf borderId="0" fillId="0" fontId="3" numFmtId="166" xfId="0" applyFont="1" applyNumberFormat="1"/>
    <xf borderId="0" fillId="0" fontId="3" numFmtId="2" xfId="0" applyFont="1" applyNumberFormat="1"/>
    <xf borderId="0" fillId="2" fontId="3" numFmtId="164" xfId="0" applyAlignment="1" applyFill="1" applyFont="1" applyNumberFormat="1">
      <alignment readingOrder="0"/>
    </xf>
    <xf borderId="0" fillId="2" fontId="3" numFmtId="2" xfId="0" applyAlignment="1" applyFill="1" applyFont="1" applyNumberFormat="1">
      <alignment readingOrder="0"/>
    </xf>
    <xf borderId="0" fillId="6" fontId="9" numFmtId="0" xfId="0" applyAlignment="1" applyFill="1" applyFont="1">
      <alignment horizontal="left" shrinkToFit="0" vertical="bottom" wrapText="0"/>
    </xf>
    <xf borderId="0" fillId="0" fontId="10" numFmtId="0" xfId="0" applyAlignment="1" applyFont="1">
      <alignment vertical="bottom"/>
    </xf>
    <xf borderId="0" fillId="6" fontId="10" numFmtId="0" xfId="0" applyAlignment="1" applyFill="1" applyFont="1">
      <alignment vertical="bottom"/>
    </xf>
    <xf borderId="0" fillId="0" fontId="11" numFmtId="0" xfId="0" applyAlignment="1" applyFont="1">
      <alignment readingOrder="0"/>
    </xf>
    <xf borderId="0" fillId="2" fontId="11" numFmtId="0" xfId="0" applyAlignment="1" applyFill="1" applyFont="1">
      <alignment readingOrder="0"/>
    </xf>
    <xf borderId="0" fillId="3" fontId="11" numFmtId="0" xfId="0" applyFill="1" applyFont="1"/>
    <xf borderId="0" fillId="0" fontId="4" numFmtId="0" xfId="0" applyAlignment="1" applyFont="1">
      <alignment readingOrder="0"/>
    </xf>
    <xf borderId="1" fillId="7" fontId="12" numFmtId="0" xfId="0" applyAlignment="1" applyBorder="1" applyFill="1" applyFont="1">
      <alignment readingOrder="0" shrinkToFit="0" vertical="bottom" wrapText="1"/>
    </xf>
    <xf borderId="2" fillId="3" fontId="13" numFmtId="0" xfId="0" applyAlignment="1" applyBorder="1" applyFill="1" applyFont="1">
      <alignment readingOrder="0" shrinkToFit="0" vertical="bottom" wrapText="1"/>
    </xf>
    <xf borderId="0" fillId="0" fontId="11" numFmtId="0" xfId="0" applyAlignment="1" applyFont="1">
      <alignment shrinkToFit="0" wrapText="1"/>
    </xf>
    <xf borderId="0" fillId="4" fontId="3" numFmtId="164" xfId="0" applyFill="1" applyFont="1" applyNumberFormat="1"/>
    <xf borderId="0" fillId="0" fontId="11" numFmtId="0" xfId="0" applyAlignment="1" applyFont="1">
      <alignment readingOrder="0" shrinkToFit="0" wrapText="1"/>
    </xf>
    <xf borderId="0" fillId="0" fontId="14" numFmtId="0" xfId="0" applyAlignment="1" applyFont="1">
      <alignment readingOrder="0"/>
    </xf>
    <xf borderId="1" fillId="6" fontId="15" numFmtId="0" xfId="0" applyAlignment="1" applyBorder="1" applyFill="1" applyFont="1">
      <alignment readingOrder="0" vertical="bottom"/>
    </xf>
    <xf borderId="0" fillId="3" fontId="3" numFmtId="1" xfId="0" applyFill="1" applyFont="1" applyNumberFormat="1"/>
    <xf borderId="3" fillId="6" fontId="15" numFmtId="0" xfId="0" applyAlignment="1" applyBorder="1" applyFill="1" applyFont="1">
      <alignment readingOrder="0" vertical="bottom"/>
    </xf>
    <xf borderId="0" fillId="3" fontId="3" numFmtId="2" xfId="0" applyFill="1" applyFont="1" applyNumberFormat="1"/>
    <xf borderId="0" fillId="3" fontId="16" numFmtId="167" xfId="0" applyAlignment="1" applyFill="1" applyFont="1" applyNumberFormat="1">
      <alignment readingOrder="0" vertical="bottom"/>
    </xf>
    <xf borderId="0" fillId="0" fontId="17" numFmtId="0" xfId="0" applyAlignment="1" applyFont="1">
      <alignment readingOrder="0"/>
    </xf>
    <xf borderId="0" fillId="0" fontId="3" numFmtId="1" xfId="0" applyAlignment="1" applyFont="1" applyNumberFormat="1">
      <alignment readingOrder="0"/>
    </xf>
    <xf borderId="0" fillId="3" fontId="16" numFmtId="168" xfId="0" applyAlignment="1" applyFill="1" applyFont="1" applyNumberFormat="1">
      <alignment readingOrder="0" vertical="bottom"/>
    </xf>
    <xf borderId="4" fillId="6" fontId="15" numFmtId="0" xfId="0" applyAlignment="1" applyBorder="1" applyFill="1" applyFont="1">
      <alignment readingOrder="0" vertical="bottom"/>
    </xf>
    <xf borderId="0" fillId="0" fontId="14" numFmtId="0" xfId="0" applyFont="1"/>
    <xf borderId="0" fillId="0" fontId="11" numFmtId="169" xfId="0" applyAlignment="1" applyFont="1" applyNumberFormat="1">
      <alignment readingOrder="0"/>
    </xf>
    <xf borderId="0" fillId="0" fontId="11" numFmtId="169" xfId="0" applyFont="1" applyNumberFormat="1"/>
    <xf borderId="0" fillId="3" fontId="11" numFmtId="166" xfId="0" applyFill="1" applyFont="1" applyNumberFormat="1"/>
    <xf borderId="0" fillId="0" fontId="18" numFmtId="0" xfId="0" applyFont="1"/>
    <xf borderId="0" fillId="0" fontId="17" numFmtId="164" xfId="0" applyAlignment="1" applyFont="1" applyNumberFormat="1">
      <alignment readingOrder="0"/>
    </xf>
    <xf borderId="0" fillId="0" fontId="3" numFmtId="164" xfId="0" applyAlignment="1" applyFont="1" applyNumberFormat="1">
      <alignment readingOrder="0"/>
    </xf>
    <xf borderId="0" fillId="3" fontId="11" numFmtId="11" xfId="0" applyFill="1" applyFont="1" applyNumberFormat="1"/>
    <xf borderId="0" fillId="3" fontId="3" numFmtId="166" xfId="0" applyFill="1" applyFont="1" applyNumberFormat="1"/>
    <xf borderId="0" fillId="0" fontId="1" numFmtId="164" xfId="0" applyAlignment="1" applyFont="1" applyNumberFormat="1">
      <alignment readingOrder="0"/>
    </xf>
    <xf borderId="0" fillId="0" fontId="19" numFmtId="0" xfId="0" applyAlignment="1" applyFont="1">
      <alignment readingOrder="0"/>
    </xf>
    <xf borderId="0" fillId="0" fontId="11" numFmtId="170" xfId="0" applyAlignment="1" applyFont="1" applyNumberFormat="1">
      <alignment readingOrder="0"/>
    </xf>
    <xf borderId="0" fillId="0" fontId="11" numFmtId="170" xfId="0" applyFont="1" applyNumberFormat="1"/>
    <xf borderId="0" fillId="4" fontId="3" numFmtId="166" xfId="0" applyFill="1" applyFont="1" applyNumberFormat="1"/>
    <xf borderId="0" fillId="0" fontId="3" numFmtId="164" xfId="0" applyFont="1" applyNumberFormat="1"/>
    <xf borderId="0" fillId="0" fontId="20" numFmtId="0" xfId="0" applyAlignment="1" applyFont="1">
      <alignment readingOrder="0"/>
    </xf>
    <xf borderId="0" fillId="4" fontId="3" numFmtId="164" xfId="0" applyAlignment="1" applyFill="1" applyFont="1" applyNumberFormat="1">
      <alignment horizontal="right"/>
    </xf>
    <xf borderId="5" fillId="0" fontId="15" numFmtId="0" xfId="0" applyAlignment="1" applyBorder="1" applyFont="1">
      <alignment readingOrder="0" vertical="bottom"/>
    </xf>
    <xf borderId="0" fillId="6" fontId="15" numFmtId="0" xfId="0" applyAlignment="1" applyFill="1" applyFont="1">
      <alignment readingOrder="0" vertical="bottom"/>
    </xf>
    <xf borderId="0" fillId="0" fontId="21" numFmtId="164" xfId="0" applyAlignment="1" applyFont="1" applyNumberFormat="1">
      <alignment readingOrder="0"/>
    </xf>
    <xf borderId="0" fillId="0" fontId="22" numFmtId="0" xfId="0" applyAlignment="1" applyFont="1">
      <alignment readingOrder="0"/>
    </xf>
    <xf borderId="0" fillId="0" fontId="23" numFmtId="0" xfId="0" applyAlignment="1" applyFont="1">
      <alignment readingOrder="0"/>
    </xf>
    <xf borderId="0" fillId="3" fontId="22" numFmtId="2" xfId="0" applyFill="1" applyFont="1" applyNumberFormat="1"/>
    <xf borderId="0" fillId="0" fontId="22" numFmtId="164" xfId="0" applyFont="1" applyNumberFormat="1"/>
    <xf borderId="0" fillId="0" fontId="23" numFmtId="0" xfId="0" applyFont="1"/>
    <xf borderId="0" fillId="0" fontId="22" numFmtId="0" xfId="0" applyFont="1"/>
    <xf borderId="0" fillId="3" fontId="22" numFmtId="164" xfId="0" applyFill="1" applyFont="1" applyNumberFormat="1"/>
    <xf borderId="1" fillId="3" fontId="24" numFmtId="164" xfId="0" applyBorder="1" applyFill="1" applyFont="1" applyNumberFormat="1"/>
    <xf borderId="0" fillId="0" fontId="17" numFmtId="164" xfId="0" applyFont="1" applyNumberFormat="1"/>
    <xf borderId="0" fillId="0" fontId="25" numFmtId="0" xfId="0" applyFont="1"/>
    <xf borderId="0" fillId="0" fontId="26" numFmtId="0" xfId="0" applyAlignment="1" applyFont="1">
      <alignment readingOrder="0"/>
    </xf>
    <xf borderId="0" fillId="0" fontId="3" numFmtId="1" xfId="0" applyFont="1" applyNumberFormat="1"/>
    <xf borderId="0" fillId="0" fontId="27" numFmtId="0" xfId="0" applyFont="1"/>
    <xf borderId="0" fillId="0" fontId="3" numFmtId="0" xfId="0" applyAlignment="1" applyFont="1">
      <alignment shrinkToFit="0" wrapText="1"/>
    </xf>
    <xf borderId="0" fillId="2" fontId="4" numFmtId="0" xfId="0" applyAlignment="1" applyFill="1" applyFont="1">
      <alignment readingOrder="0" shrinkToFit="0" wrapText="1"/>
    </xf>
    <xf borderId="1" fillId="0" fontId="1" numFmtId="0" xfId="0" applyBorder="1" applyFont="1"/>
    <xf borderId="0" fillId="3" fontId="3" numFmtId="166" xfId="0" applyAlignment="1" applyFill="1" applyFont="1" applyNumberFormat="1">
      <alignment readingOrder="0"/>
    </xf>
    <xf borderId="0" fillId="3" fontId="28" numFmtId="166" xfId="0" applyFill="1" applyFont="1" applyNumberFormat="1"/>
    <xf borderId="0" fillId="2" fontId="3" numFmtId="164" xfId="0" applyFill="1" applyFont="1" applyNumberFormat="1"/>
    <xf borderId="0" fillId="4" fontId="3" numFmtId="166" xfId="0" applyAlignment="1" applyFill="1" applyFont="1" applyNumberFormat="1">
      <alignment horizontal="right"/>
    </xf>
    <xf borderId="0" fillId="4" fontId="3" numFmtId="166" xfId="0" applyAlignment="1" applyFill="1" applyFont="1" applyNumberFormat="1">
      <alignment horizontal="right" readingOrder="0"/>
    </xf>
    <xf borderId="0" fillId="0" fontId="3" numFmtId="0" xfId="0" applyAlignment="1" applyFont="1">
      <alignment vertical="top"/>
    </xf>
    <xf borderId="0" fillId="0" fontId="3" numFmtId="0" xfId="0" applyAlignment="1" applyFont="1">
      <alignment readingOrder="0" vertical="top"/>
    </xf>
    <xf borderId="0" fillId="3" fontId="3" numFmtId="11" xfId="0" applyAlignment="1" applyFill="1" applyFont="1" applyNumberFormat="1">
      <alignment vertical="top"/>
    </xf>
    <xf borderId="0" fillId="4" fontId="3" numFmtId="11" xfId="0" applyAlignment="1" applyFill="1" applyFont="1" applyNumberFormat="1">
      <alignment vertical="top"/>
    </xf>
    <xf borderId="0" fillId="0" fontId="3" numFmtId="4" xfId="0" applyAlignment="1" applyFont="1" applyNumberFormat="1">
      <alignment vertical="top"/>
    </xf>
    <xf borderId="0" fillId="0" fontId="11" numFmtId="0" xfId="0" applyAlignment="1" applyFont="1">
      <alignment vertical="top"/>
    </xf>
    <xf borderId="0" fillId="3" fontId="3" numFmtId="171" xfId="0" applyFill="1" applyFont="1" applyNumberFormat="1"/>
    <xf borderId="0" fillId="4" fontId="22" numFmtId="164" xfId="0" applyFill="1" applyFont="1" applyNumberFormat="1"/>
    <xf borderId="0" fillId="3" fontId="3" numFmtId="172" xfId="0" applyFill="1" applyFont="1" applyNumberFormat="1"/>
    <xf borderId="0" fillId="3" fontId="3" numFmtId="164" xfId="0" applyAlignment="1" applyFill="1" applyFont="1" applyNumberFormat="1">
      <alignment horizontal="right"/>
    </xf>
    <xf borderId="0" fillId="0" fontId="29" numFmtId="0" xfId="0" applyAlignment="1" applyFont="1">
      <alignment readingOrder="0"/>
    </xf>
    <xf borderId="0" fillId="0" fontId="29" numFmtId="0" xfId="0" applyFont="1"/>
    <xf borderId="0" fillId="3" fontId="29" numFmtId="173" xfId="0" applyFill="1" applyFont="1" applyNumberFormat="1"/>
    <xf borderId="0" fillId="3" fontId="3" numFmtId="173" xfId="0" applyFill="1" applyFont="1" applyNumberFormat="1"/>
    <xf borderId="0" fillId="4" fontId="3" numFmtId="164" xfId="0" applyAlignment="1" applyFill="1" applyFont="1" applyNumberFormat="1">
      <alignment readingOrder="0"/>
    </xf>
    <xf borderId="0" fillId="3" fontId="3" numFmtId="3" xfId="0" applyFill="1" applyFont="1" applyNumberFormat="1"/>
    <xf borderId="0" fillId="3" fontId="22" numFmtId="166" xfId="0" applyFill="1" applyFont="1" applyNumberFormat="1"/>
    <xf borderId="0" fillId="0" fontId="21" numFmtId="0" xfId="0" applyFont="1"/>
    <xf borderId="0" fillId="2" fontId="3" numFmtId="1" xfId="0" applyFill="1" applyFont="1" applyNumberFormat="1"/>
    <xf borderId="0" fillId="4" fontId="3" numFmtId="2" xfId="0" applyFill="1" applyFont="1" applyNumberFormat="1"/>
    <xf borderId="0" fillId="3" fontId="3" numFmtId="0" xfId="0" applyFill="1" applyFont="1"/>
    <xf borderId="0" fillId="3" fontId="3" numFmtId="174" xfId="0" applyFill="1" applyFont="1" applyNumberFormat="1"/>
    <xf borderId="0" fillId="4" fontId="3" numFmtId="11" xfId="0" applyFill="1" applyFont="1" applyNumberFormat="1"/>
    <xf borderId="0" fillId="4" fontId="3" numFmtId="165" xfId="0" applyFill="1" applyFont="1" applyNumberFormat="1"/>
    <xf borderId="0" fillId="3" fontId="29" numFmtId="3" xfId="0" applyFill="1" applyFont="1" applyNumberFormat="1"/>
    <xf borderId="0" fillId="0" fontId="30" numFmtId="0" xfId="0" applyFont="1"/>
    <xf borderId="1" fillId="3" fontId="24" numFmtId="2" xfId="0" applyBorder="1" applyFill="1" applyFont="1" applyNumberFormat="1"/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/>
    </xf>
  </cellXfs>
  <cellStyles count="1">
    <cellStyle xfId="0" name="Normal" builtinId="0"/>
  </cellStyles>
  <dxfs count="5">
    <dxf>
      <font/>
      <fill>
        <patternFill patternType="solid">
          <fgColor rgb="FFF4C7C3"/>
          <bgColor rgb="FFF4C7C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>
        <color rgb="FFCC0000"/>
      </font>
      <fill>
        <patternFill patternType="solid">
          <fgColor rgb="FFF4C7C3"/>
          <bgColor rgb="FFF4C7C3"/>
        </patternFill>
      </fill>
      <border/>
    </dxf>
    <dxf>
      <font>
        <color rgb="FF38761D"/>
      </font>
      <fill>
        <patternFill patternType="solid">
          <fgColor rgb="FFD9EAD3"/>
          <bgColor rgb="FFD9EAD3"/>
        </patternFill>
      </fill>
      <border/>
    </dxf>
    <dxf>
      <font>
        <color rgb="FFE06666"/>
      </font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Dyn. Viscosity [mPa.s] vs. Temp. [°C]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'H2O props'!$B$1</c:f>
            </c:strRef>
          </c:tx>
          <c:spPr>
            <a:ln cmpd="sng">
              <a:noFill/>
            </a:ln>
          </c:spPr>
          <c:marker>
            <c:symbol val="circle"/>
            <c:size val="7"/>
            <c:spPr>
              <a:solidFill>
                <a:srgbClr val="18A303"/>
              </a:solidFill>
              <a:ln cmpd="sng">
                <a:solidFill>
                  <a:srgbClr val="18A303"/>
                </a:solidFill>
              </a:ln>
            </c:spPr>
          </c:marker>
          <c:trendline>
            <c:name/>
            <c:spPr>
              <a:ln w="19050">
                <a:solidFill>
                  <a:srgbClr val="000000"/>
                </a:solidFill>
              </a:ln>
            </c:spPr>
            <c:trendlineType val="exp"/>
            <c:dispRSqr val="1"/>
            <c:dispEq val="1"/>
          </c:trendline>
          <c:cat>
            <c:strRef>
              <c:f>'H2O props'!$A$2:$A$48</c:f>
            </c:strRef>
          </c:cat>
          <c:val>
            <c:numRef>
              <c:f>'H2O props'!$B$2:$B$48</c:f>
              <c:numCache/>
            </c:numRef>
          </c:val>
          <c:smooth val="0"/>
        </c:ser>
        <c:axId val="197879510"/>
        <c:axId val="1671767713"/>
      </c:lineChart>
      <c:catAx>
        <c:axId val="1978795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Temp. [°C]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71767713"/>
      </c:catAx>
      <c:valAx>
        <c:axId val="167176771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Dyn. Viscosity [mPa.s]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787951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1.png"/><Relationship Id="rId5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952500</xdr:colOff>
      <xdr:row>3</xdr:row>
      <xdr:rowOff>114300</xdr:rowOff>
    </xdr:from>
    <xdr:ext cx="8048625" cy="4981575"/>
    <xdr:graphicFrame>
      <xdr:nvGraphicFramePr>
        <xdr:cNvPr id="271777277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0</xdr:rowOff>
    </xdr:from>
    <xdr:ext cx="9267825" cy="2733675"/>
    <xdr:pic>
      <xdr:nvPicPr>
        <xdr:cNvPr id="0" name="image5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</xdr:row>
      <xdr:rowOff>190500</xdr:rowOff>
    </xdr:from>
    <xdr:ext cx="10915650" cy="630555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52</xdr:row>
      <xdr:rowOff>0</xdr:rowOff>
    </xdr:from>
    <xdr:ext cx="10725150" cy="2895600"/>
    <xdr:pic>
      <xdr:nvPicPr>
        <xdr:cNvPr id="0" name="image3.pn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67</xdr:row>
      <xdr:rowOff>190500</xdr:rowOff>
    </xdr:from>
    <xdr:ext cx="11268075" cy="5857875"/>
    <xdr:pic>
      <xdr:nvPicPr>
        <xdr:cNvPr id="0" name="image1.png" title="Image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99</xdr:row>
      <xdr:rowOff>190500</xdr:rowOff>
    </xdr:from>
    <xdr:ext cx="11839575" cy="8601075"/>
    <xdr:pic>
      <xdr:nvPicPr>
        <xdr:cNvPr id="0" name="image4.png" title="Image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iki.anton-paar.com/en/water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38"/>
    <col customWidth="1" min="2" max="2" width="61.0"/>
    <col customWidth="1" min="3" max="3" width="13.5"/>
    <col customWidth="1" min="4" max="4" width="11.88"/>
    <col customWidth="1" min="5" max="8" width="12.25"/>
    <col customWidth="1" min="9" max="9" width="12.13"/>
    <col customWidth="1" min="10" max="10" width="13.13"/>
    <col customWidth="1" min="11" max="11" width="12.25"/>
    <col customWidth="1" min="12" max="12" width="8.75"/>
    <col customWidth="1" min="13" max="13" width="11.5"/>
    <col customWidth="1" min="14" max="14" width="14.75"/>
    <col customWidth="1" min="15" max="15" width="7.75"/>
    <col customWidth="1" min="16" max="20" width="7.13"/>
    <col customWidth="1" min="21" max="33" width="11.5"/>
  </cols>
  <sheetData>
    <row r="1">
      <c r="A1" s="2" t="s">
        <v>1</v>
      </c>
      <c r="C1" s="3"/>
      <c r="D1" s="4" t="s">
        <v>8</v>
      </c>
    </row>
    <row r="2" ht="12.75" customHeight="1">
      <c r="A2" s="5" t="s">
        <v>9</v>
      </c>
      <c r="C2" s="3"/>
      <c r="D2" s="6" t="s">
        <v>11</v>
      </c>
    </row>
    <row r="3" ht="12.75" customHeight="1">
      <c r="C3" s="3"/>
      <c r="D3" s="9" t="s">
        <v>12</v>
      </c>
    </row>
    <row r="4" ht="12.75" customHeight="1">
      <c r="A4" s="10" t="s">
        <v>13</v>
      </c>
      <c r="C4" s="3"/>
      <c r="D4" s="11" t="s">
        <v>14</v>
      </c>
    </row>
    <row r="5" ht="12.75" customHeight="1">
      <c r="A5" s="12" t="s">
        <v>15</v>
      </c>
      <c r="B5" s="13"/>
      <c r="C5" s="3"/>
      <c r="D5" s="3"/>
      <c r="E5" s="3"/>
    </row>
    <row r="6" ht="12.75" customHeight="1">
      <c r="A6" s="15" t="s">
        <v>16</v>
      </c>
    </row>
    <row r="7" ht="12.75" customHeight="1">
      <c r="A7" s="15" t="s">
        <v>17</v>
      </c>
    </row>
    <row r="8" ht="12.75" customHeight="1">
      <c r="A8" s="15" t="s">
        <v>18</v>
      </c>
    </row>
    <row r="9" ht="12.75" customHeight="1">
      <c r="A9" s="16"/>
    </row>
    <row r="10" ht="12.75" customHeight="1">
      <c r="A10" s="18" t="s">
        <v>19</v>
      </c>
    </row>
    <row r="11" ht="12.75" customHeight="1">
      <c r="A11" s="15" t="s">
        <v>20</v>
      </c>
    </row>
    <row r="12" ht="12.75" customHeight="1">
      <c r="A12" s="7"/>
    </row>
    <row r="13" ht="12.75" customHeight="1">
      <c r="A13" s="10" t="s">
        <v>22</v>
      </c>
    </row>
    <row r="14" ht="12.75" customHeight="1">
      <c r="A14" s="19" t="s">
        <v>23</v>
      </c>
      <c r="B14" s="19" t="s">
        <v>24</v>
      </c>
      <c r="C14" s="7" t="s">
        <v>25</v>
      </c>
      <c r="D14" s="20">
        <v>1000.0</v>
      </c>
    </row>
    <row r="15" ht="12.75" customHeight="1">
      <c r="A15" s="19" t="s">
        <v>27</v>
      </c>
      <c r="B15" s="19" t="s">
        <v>28</v>
      </c>
      <c r="C15" s="7" t="s">
        <v>29</v>
      </c>
      <c r="D15" s="25">
        <f>('H2O props'!L$2 + 'H2O props'!H$2*D27 + 'H2O props'!I$2*D27^2 + 'H2O props'!J$2*D27^3 + 'H2O props'!K$2*D27^4)/1000</f>
        <v>0.00105207187</v>
      </c>
    </row>
    <row r="16" ht="12.75" customHeight="1">
      <c r="A16" s="19" t="s">
        <v>34</v>
      </c>
      <c r="B16" s="19" t="s">
        <v>35</v>
      </c>
      <c r="C16" s="19" t="s">
        <v>36</v>
      </c>
      <c r="D16" s="26">
        <v>4184.0</v>
      </c>
    </row>
    <row r="17" ht="12.75" customHeight="1">
      <c r="A17" s="19" t="s">
        <v>37</v>
      </c>
      <c r="B17" s="19" t="s">
        <v>38</v>
      </c>
      <c r="C17" s="19" t="s">
        <v>39</v>
      </c>
      <c r="D17" s="27">
        <f>50000/(D27^2+155*D27+3700)</f>
        <v>7.337833871</v>
      </c>
    </row>
    <row r="18" ht="12.75" customHeight="1">
      <c r="A18" s="19" t="s">
        <v>40</v>
      </c>
      <c r="B18" s="19" t="s">
        <v>41</v>
      </c>
      <c r="C18" s="19" t="s">
        <v>42</v>
      </c>
      <c r="D18" s="26">
        <v>0.6</v>
      </c>
    </row>
    <row r="19" ht="12.75" customHeight="1">
      <c r="A19" s="7" t="s">
        <v>43</v>
      </c>
      <c r="B19" s="7" t="s">
        <v>44</v>
      </c>
      <c r="C19" s="7" t="s">
        <v>45</v>
      </c>
      <c r="D19" s="8">
        <v>273.15</v>
      </c>
    </row>
    <row r="20" ht="12.75" customHeight="1">
      <c r="A20" s="7" t="s">
        <v>46</v>
      </c>
      <c r="B20" s="7" t="s">
        <v>47</v>
      </c>
      <c r="C20" s="7" t="s">
        <v>39</v>
      </c>
      <c r="D20" s="28">
        <v>1.0E99</v>
      </c>
    </row>
    <row r="21" ht="12.75" customHeight="1">
      <c r="A21" s="7" t="s">
        <v>48</v>
      </c>
      <c r="B21" s="7" t="s">
        <v>49</v>
      </c>
      <c r="C21" s="7" t="s">
        <v>39</v>
      </c>
      <c r="D21" s="8">
        <v>100000.0</v>
      </c>
      <c r="H21" s="29"/>
      <c r="I21" s="29"/>
      <c r="J21" s="29"/>
    </row>
    <row r="22" ht="12.75" customHeight="1">
      <c r="A22" s="7" t="s">
        <v>50</v>
      </c>
      <c r="B22" s="7" t="s">
        <v>51</v>
      </c>
      <c r="C22" s="7" t="s">
        <v>39</v>
      </c>
      <c r="D22" s="8">
        <v>401.463</v>
      </c>
    </row>
    <row r="23" ht="12.75" customHeight="1">
      <c r="A23" s="7" t="s">
        <v>52</v>
      </c>
      <c r="B23" s="7" t="s">
        <v>53</v>
      </c>
      <c r="C23" s="7" t="s">
        <v>39</v>
      </c>
      <c r="D23" s="8">
        <v>14.5038</v>
      </c>
    </row>
    <row r="24" ht="12.75" customHeight="1">
      <c r="A24" s="7" t="s">
        <v>54</v>
      </c>
      <c r="B24" s="7" t="s">
        <v>55</v>
      </c>
      <c r="C24" s="7" t="s">
        <v>39</v>
      </c>
      <c r="D24" s="26">
        <v>1.01325</v>
      </c>
    </row>
    <row r="25" ht="12.75" customHeight="1">
      <c r="A25" s="7"/>
      <c r="B25" s="7"/>
      <c r="C25" s="7"/>
      <c r="D25" s="30"/>
    </row>
    <row r="26" ht="12.75" customHeight="1">
      <c r="A26" s="10" t="s">
        <v>56</v>
      </c>
    </row>
    <row r="27" ht="12.75" customHeight="1">
      <c r="A27" s="7" t="s">
        <v>57</v>
      </c>
      <c r="B27" s="7" t="s">
        <v>58</v>
      </c>
      <c r="C27" s="7" t="s">
        <v>59</v>
      </c>
      <c r="D27" s="31">
        <v>18.0</v>
      </c>
      <c r="E27" s="17">
        <f>D27+T_0</f>
        <v>291.15</v>
      </c>
      <c r="F27" s="5" t="s">
        <v>45</v>
      </c>
      <c r="G27" s="19" t="s">
        <v>60</v>
      </c>
      <c r="H27" s="7"/>
      <c r="I27" s="7"/>
      <c r="J27" s="7"/>
      <c r="K27" s="7"/>
      <c r="L27" s="7"/>
    </row>
    <row r="28" ht="12.75" customHeight="1">
      <c r="A28" s="7" t="s">
        <v>61</v>
      </c>
      <c r="B28" s="19" t="s">
        <v>62</v>
      </c>
      <c r="C28" s="7" t="s">
        <v>63</v>
      </c>
      <c r="D28" s="32">
        <v>0.1</v>
      </c>
      <c r="E28" s="7"/>
      <c r="F28" s="7"/>
      <c r="G28" s="7"/>
      <c r="H28" s="7"/>
      <c r="I28" s="7"/>
      <c r="J28" s="7"/>
      <c r="K28" s="7"/>
      <c r="L28" s="7"/>
    </row>
    <row r="29" ht="12.75" customHeight="1">
      <c r="A29" s="19" t="s">
        <v>64</v>
      </c>
      <c r="B29" s="19" t="s">
        <v>65</v>
      </c>
      <c r="C29" s="7" t="s">
        <v>66</v>
      </c>
      <c r="D29" s="25">
        <f>D28/D14</f>
        <v>0.0001</v>
      </c>
      <c r="E29" s="17">
        <f>D29*1000*60</f>
        <v>6</v>
      </c>
      <c r="F29" s="19" t="s">
        <v>67</v>
      </c>
      <c r="G29" s="7"/>
      <c r="H29" s="33"/>
      <c r="I29" s="33"/>
      <c r="J29" s="33"/>
      <c r="K29" s="33"/>
      <c r="L29" s="33"/>
      <c r="M29" s="33"/>
      <c r="N29" s="34"/>
      <c r="O29" s="34"/>
      <c r="P29" s="34"/>
      <c r="Q29" s="34"/>
      <c r="R29" s="34"/>
      <c r="S29" s="34"/>
      <c r="T29" s="34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ht="12.75" customHeight="1">
      <c r="A30" s="19" t="s">
        <v>68</v>
      </c>
      <c r="B30" s="36" t="s">
        <v>69</v>
      </c>
      <c r="C30" s="36" t="s">
        <v>70</v>
      </c>
      <c r="D30" s="37">
        <v>50000.0</v>
      </c>
      <c r="E30" s="38">
        <f>D30/Pa_per_bar</f>
        <v>0.5</v>
      </c>
      <c r="F30" s="36" t="s">
        <v>71</v>
      </c>
      <c r="G30" s="36" t="s">
        <v>72</v>
      </c>
    </row>
    <row r="31" ht="12.75" customHeight="1">
      <c r="A31" s="39"/>
    </row>
    <row r="32" ht="12.75" customHeight="1">
      <c r="A32" s="39" t="s">
        <v>74</v>
      </c>
      <c r="B32" s="19"/>
      <c r="C32" s="19"/>
      <c r="D32" s="19"/>
      <c r="E32" s="36"/>
    </row>
    <row r="33" ht="12.75" customHeight="1">
      <c r="A33" s="19" t="s">
        <v>75</v>
      </c>
      <c r="B33" s="19" t="s">
        <v>76</v>
      </c>
      <c r="C33" s="19" t="s">
        <v>77</v>
      </c>
      <c r="D33" s="26">
        <v>7.1</v>
      </c>
      <c r="E33" s="36" t="s">
        <v>78</v>
      </c>
    </row>
    <row r="34" ht="12.75" customHeight="1">
      <c r="A34" s="19" t="s">
        <v>80</v>
      </c>
      <c r="B34" s="19" t="s">
        <v>81</v>
      </c>
      <c r="C34" s="19" t="s">
        <v>77</v>
      </c>
      <c r="D34" s="43">
        <f>D33</f>
        <v>7.1</v>
      </c>
      <c r="E34" s="45" t="s">
        <v>87</v>
      </c>
    </row>
    <row r="35" ht="12.75" customHeight="1">
      <c r="A35" s="19" t="s">
        <v>88</v>
      </c>
      <c r="B35" s="19" t="s">
        <v>89</v>
      </c>
      <c r="C35" s="19" t="s">
        <v>39</v>
      </c>
      <c r="D35" s="47">
        <f t="shared" ref="D35:D36" si="1">D63*D65</f>
        <v>108</v>
      </c>
    </row>
    <row r="36" ht="12.75" customHeight="1">
      <c r="A36" s="19" t="s">
        <v>90</v>
      </c>
      <c r="B36" s="19" t="s">
        <v>91</v>
      </c>
      <c r="C36" s="19" t="s">
        <v>39</v>
      </c>
      <c r="D36" s="47">
        <f t="shared" si="1"/>
        <v>68</v>
      </c>
    </row>
    <row r="37" ht="12.75" customHeight="1">
      <c r="A37" s="19" t="s">
        <v>92</v>
      </c>
      <c r="B37" s="19" t="s">
        <v>93</v>
      </c>
      <c r="C37" s="19" t="s">
        <v>39</v>
      </c>
      <c r="D37" s="47">
        <f>D35+D36</f>
        <v>176</v>
      </c>
    </row>
    <row r="38" ht="12.75" customHeight="1">
      <c r="A38" s="19" t="s">
        <v>94</v>
      </c>
      <c r="B38" s="19" t="s">
        <v>95</v>
      </c>
      <c r="C38" s="19" t="s">
        <v>39</v>
      </c>
      <c r="D38" s="49">
        <f>D35/D37</f>
        <v>0.6136363636</v>
      </c>
    </row>
    <row r="39" ht="12.75" customHeight="1">
      <c r="A39" s="19" t="s">
        <v>96</v>
      </c>
      <c r="B39" s="19" t="s">
        <v>97</v>
      </c>
      <c r="C39" s="19" t="s">
        <v>39</v>
      </c>
      <c r="D39" s="49">
        <f>D36/D37</f>
        <v>0.3863636364</v>
      </c>
    </row>
    <row r="40" ht="12.75" customHeight="1">
      <c r="A40" s="19" t="s">
        <v>98</v>
      </c>
      <c r="B40" s="19" t="s">
        <v>99</v>
      </c>
      <c r="C40" s="19" t="s">
        <v>77</v>
      </c>
      <c r="D40" s="27">
        <f>D38*D33+D39*D34</f>
        <v>7.1</v>
      </c>
    </row>
    <row r="41" ht="12.75" customHeight="1">
      <c r="A41" s="51"/>
      <c r="B41" s="19"/>
      <c r="C41" s="19"/>
      <c r="D41" s="52"/>
    </row>
    <row r="42" ht="12.75" customHeight="1">
      <c r="A42" s="39" t="s">
        <v>100</v>
      </c>
    </row>
    <row r="43" ht="12.75" customHeight="1">
      <c r="A43" s="19" t="s">
        <v>101</v>
      </c>
      <c r="B43" s="19" t="s">
        <v>102</v>
      </c>
      <c r="C43" s="7" t="s">
        <v>103</v>
      </c>
      <c r="D43" s="26">
        <v>44.0</v>
      </c>
      <c r="E43" s="36" t="s">
        <v>104</v>
      </c>
    </row>
    <row r="44" ht="12.75" customHeight="1">
      <c r="A44" s="19" t="s">
        <v>105</v>
      </c>
      <c r="B44" s="19" t="s">
        <v>106</v>
      </c>
      <c r="C44" s="7" t="s">
        <v>103</v>
      </c>
      <c r="D44" s="26">
        <v>43.0</v>
      </c>
      <c r="E44" s="36" t="s">
        <v>104</v>
      </c>
    </row>
    <row r="45" ht="12.75" customHeight="1">
      <c r="A45" s="19" t="s">
        <v>107</v>
      </c>
      <c r="B45" s="19" t="s">
        <v>108</v>
      </c>
      <c r="C45" s="7" t="s">
        <v>103</v>
      </c>
      <c r="D45" s="26">
        <v>16.0</v>
      </c>
      <c r="E45" s="36" t="s">
        <v>109</v>
      </c>
    </row>
    <row r="46" ht="12.75" customHeight="1">
      <c r="A46" s="19" t="s">
        <v>110</v>
      </c>
      <c r="B46" s="19" t="s">
        <v>111</v>
      </c>
      <c r="C46" s="7" t="s">
        <v>103</v>
      </c>
      <c r="D46" s="26">
        <v>100.0</v>
      </c>
      <c r="E46" s="36" t="s">
        <v>109</v>
      </c>
    </row>
    <row r="47" ht="12.75" customHeight="1">
      <c r="A47" s="19" t="s">
        <v>112</v>
      </c>
      <c r="B47" s="19" t="s">
        <v>113</v>
      </c>
      <c r="C47" s="7" t="s">
        <v>103</v>
      </c>
      <c r="D47" s="31">
        <v>2.5</v>
      </c>
      <c r="E47" s="36" t="s">
        <v>104</v>
      </c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</row>
    <row r="48" ht="12.75" customHeight="1">
      <c r="A48" s="19" t="s">
        <v>114</v>
      </c>
      <c r="B48" s="19" t="s">
        <v>115</v>
      </c>
      <c r="C48" s="19" t="s">
        <v>103</v>
      </c>
      <c r="D48" s="31">
        <v>0.1</v>
      </c>
      <c r="F48" s="3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</row>
    <row r="49" ht="12.75" customHeight="1">
      <c r="A49" s="19" t="s">
        <v>116</v>
      </c>
      <c r="B49" s="19" t="s">
        <v>117</v>
      </c>
      <c r="C49" s="19" t="s">
        <v>103</v>
      </c>
      <c r="D49" s="27">
        <f>D47-D48</f>
        <v>2.4</v>
      </c>
      <c r="E49" s="58">
        <f t="shared" ref="E49:E51" si="2">D49/1000</f>
        <v>0.0024</v>
      </c>
      <c r="F49" s="36" t="s">
        <v>118</v>
      </c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</row>
    <row r="50" ht="12.75" customHeight="1">
      <c r="A50" s="19" t="s">
        <v>119</v>
      </c>
      <c r="B50" s="19" t="s">
        <v>120</v>
      </c>
      <c r="C50" s="19" t="s">
        <v>103</v>
      </c>
      <c r="D50" s="31">
        <v>0.4</v>
      </c>
      <c r="E50" s="58">
        <f t="shared" si="2"/>
        <v>0.0004</v>
      </c>
      <c r="F50" s="36" t="s">
        <v>118</v>
      </c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</row>
    <row r="51" ht="12.75" customHeight="1">
      <c r="A51" s="19" t="s">
        <v>121</v>
      </c>
      <c r="B51" s="19" t="s">
        <v>122</v>
      </c>
      <c r="C51" s="19" t="s">
        <v>103</v>
      </c>
      <c r="D51" s="31">
        <v>0.8</v>
      </c>
      <c r="E51" s="58">
        <f t="shared" si="2"/>
        <v>0.0008</v>
      </c>
      <c r="F51" s="36" t="s">
        <v>118</v>
      </c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</row>
    <row r="52" ht="12.75" customHeight="1">
      <c r="A52" s="19" t="s">
        <v>123</v>
      </c>
      <c r="B52" s="19" t="s">
        <v>124</v>
      </c>
      <c r="C52" s="19" t="s">
        <v>39</v>
      </c>
      <c r="D52" s="17">
        <f>D43/(D50+D51)</f>
        <v>36.66666667</v>
      </c>
      <c r="E52" s="60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</row>
    <row r="53" ht="12.75" customHeight="1">
      <c r="A53" s="19" t="s">
        <v>125</v>
      </c>
      <c r="B53" s="19" t="s">
        <v>126</v>
      </c>
      <c r="C53" s="19" t="s">
        <v>39</v>
      </c>
      <c r="D53" s="17">
        <f>D45/(D50+D51)</f>
        <v>13.33333333</v>
      </c>
      <c r="E53" s="60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</row>
    <row r="54" ht="12.75" customHeight="1">
      <c r="A54" s="19" t="s">
        <v>127</v>
      </c>
      <c r="B54" s="19" t="s">
        <v>128</v>
      </c>
      <c r="C54" s="19" t="s">
        <v>39</v>
      </c>
      <c r="D54" s="17">
        <f>D38*D52+D39*D53</f>
        <v>27.65151515</v>
      </c>
      <c r="E54" s="61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</row>
    <row r="55" ht="12.75" customHeight="1">
      <c r="A55" s="19" t="s">
        <v>129</v>
      </c>
      <c r="B55" s="19" t="s">
        <v>130</v>
      </c>
      <c r="C55" s="19" t="s">
        <v>103</v>
      </c>
      <c r="D55" s="17">
        <f>D38*D44+D39*D46</f>
        <v>65.02272727</v>
      </c>
      <c r="E55" s="29"/>
      <c r="F55" s="19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</row>
    <row r="56" ht="12.75" customHeight="1">
      <c r="A56" s="19" t="s">
        <v>131</v>
      </c>
      <c r="B56" s="19" t="s">
        <v>132</v>
      </c>
      <c r="C56" s="19" t="s">
        <v>103</v>
      </c>
      <c r="D56" s="27">
        <f>2*D54*(D49+D50+D51) + 2*D47</f>
        <v>204.0909091</v>
      </c>
    </row>
    <row r="57" ht="12.75" customHeight="1">
      <c r="A57" s="19" t="s">
        <v>133</v>
      </c>
      <c r="B57" s="19" t="s">
        <v>134</v>
      </c>
      <c r="C57" s="19" t="s">
        <v>135</v>
      </c>
      <c r="D57" s="27">
        <f>D49*(D54*D51) + (D47-D49)*D54*(D51+D50)</f>
        <v>56.40909091</v>
      </c>
      <c r="E57" s="62">
        <f t="shared" ref="E57:E59" si="3">D57/1000000</f>
        <v>0.00005640909091</v>
      </c>
      <c r="F57" s="19" t="s">
        <v>136</v>
      </c>
    </row>
    <row r="58" ht="12.75" customHeight="1">
      <c r="A58" s="19" t="s">
        <v>137</v>
      </c>
      <c r="B58" s="19" t="s">
        <v>138</v>
      </c>
      <c r="C58" s="19" t="s">
        <v>135</v>
      </c>
      <c r="D58" s="27">
        <f>D54*(2*D49+D50) * D55</f>
        <v>9349.480028</v>
      </c>
      <c r="E58" s="62">
        <f t="shared" si="3"/>
        <v>0.009349480028</v>
      </c>
      <c r="F58" s="19" t="s">
        <v>136</v>
      </c>
    </row>
    <row r="59" ht="12.75" customHeight="1">
      <c r="A59" s="19" t="s">
        <v>139</v>
      </c>
      <c r="B59" s="19" t="s">
        <v>140</v>
      </c>
      <c r="C59" s="19" t="s">
        <v>135</v>
      </c>
      <c r="D59" s="27">
        <f>D56*D55</f>
        <v>13270.54752</v>
      </c>
      <c r="E59" s="62">
        <f t="shared" si="3"/>
        <v>0.01327054752</v>
      </c>
      <c r="F59" s="19" t="s">
        <v>136</v>
      </c>
    </row>
    <row r="60" ht="12.75" customHeight="1">
      <c r="A60" s="19" t="s">
        <v>141</v>
      </c>
      <c r="B60" s="19" t="s">
        <v>142</v>
      </c>
      <c r="C60" s="7" t="s">
        <v>103</v>
      </c>
      <c r="D60" s="63">
        <f>4*D57/D56</f>
        <v>1.105567929</v>
      </c>
      <c r="E60" s="61"/>
      <c r="F60" s="19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</row>
    <row r="61" ht="12.75" customHeight="1">
      <c r="A61" s="39"/>
      <c r="B61" s="19"/>
      <c r="C61" s="19"/>
      <c r="D61" s="52"/>
    </row>
    <row r="62" ht="12.75" customHeight="1">
      <c r="A62" s="39" t="s">
        <v>143</v>
      </c>
      <c r="B62" s="19"/>
      <c r="C62" s="19"/>
      <c r="D62" s="52"/>
    </row>
    <row r="63" ht="12.75" customHeight="1">
      <c r="A63" s="19" t="s">
        <v>144</v>
      </c>
      <c r="B63" s="19" t="s">
        <v>145</v>
      </c>
      <c r="C63" s="19" t="s">
        <v>39</v>
      </c>
      <c r="D63" s="20">
        <v>9.0</v>
      </c>
    </row>
    <row r="64" ht="12.75" customHeight="1">
      <c r="A64" s="19" t="s">
        <v>146</v>
      </c>
      <c r="B64" s="19" t="s">
        <v>147</v>
      </c>
      <c r="C64" s="19" t="s">
        <v>39</v>
      </c>
      <c r="D64" s="20">
        <v>17.0</v>
      </c>
    </row>
    <row r="65" ht="12.75" customHeight="1">
      <c r="A65" s="19" t="s">
        <v>148</v>
      </c>
      <c r="B65" s="19" t="s">
        <v>149</v>
      </c>
      <c r="C65" s="19" t="s">
        <v>39</v>
      </c>
      <c r="D65" s="20">
        <f>3*2*2</f>
        <v>12</v>
      </c>
      <c r="E65" s="36" t="s">
        <v>150</v>
      </c>
    </row>
    <row r="66" ht="12.75" customHeight="1">
      <c r="A66" s="19" t="s">
        <v>151</v>
      </c>
      <c r="B66" s="19" t="s">
        <v>152</v>
      </c>
      <c r="C66" s="19" t="s">
        <v>39</v>
      </c>
      <c r="D66" s="20">
        <f>2*2</f>
        <v>4</v>
      </c>
      <c r="E66" s="36" t="s">
        <v>153</v>
      </c>
    </row>
    <row r="67" ht="12.75" customHeight="1">
      <c r="A67" s="19" t="s">
        <v>154</v>
      </c>
      <c r="B67" s="19" t="s">
        <v>155</v>
      </c>
      <c r="C67" s="19" t="s">
        <v>39</v>
      </c>
      <c r="D67" s="47">
        <f>D65+D66</f>
        <v>16</v>
      </c>
    </row>
    <row r="68" ht="12.75" customHeight="1">
      <c r="A68" s="19" t="s">
        <v>156</v>
      </c>
      <c r="B68" s="19" t="s">
        <v>157</v>
      </c>
      <c r="C68" s="19" t="s">
        <v>39</v>
      </c>
      <c r="D68" s="17">
        <f>(D35+D36)/D67</f>
        <v>11</v>
      </c>
    </row>
    <row r="69" ht="12.75" customHeight="1">
      <c r="A69" s="19" t="s">
        <v>158</v>
      </c>
      <c r="B69" s="19" t="s">
        <v>159</v>
      </c>
      <c r="C69" s="19" t="s">
        <v>103</v>
      </c>
      <c r="D69" s="26">
        <v>100.0</v>
      </c>
      <c r="E69" s="36" t="s">
        <v>160</v>
      </c>
    </row>
    <row r="70" ht="12.75" customHeight="1">
      <c r="A70" s="39"/>
      <c r="B70" s="7"/>
      <c r="C70" s="7"/>
      <c r="D70" s="64"/>
      <c r="E70" s="65"/>
    </row>
    <row r="71" ht="12.75" customHeight="1">
      <c r="A71" s="39" t="s">
        <v>161</v>
      </c>
    </row>
    <row r="72" ht="12.75" customHeight="1">
      <c r="A72" s="19" t="s">
        <v>162</v>
      </c>
      <c r="B72" s="19" t="s">
        <v>163</v>
      </c>
      <c r="C72" s="19" t="s">
        <v>164</v>
      </c>
      <c r="D72" s="20">
        <v>167.0</v>
      </c>
      <c r="E72" s="66" t="s">
        <v>165</v>
      </c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</row>
    <row r="73" ht="12.75" customHeight="1">
      <c r="A73" s="19" t="s">
        <v>166</v>
      </c>
      <c r="B73" s="19" t="s">
        <v>167</v>
      </c>
      <c r="C73" s="19" t="s">
        <v>39</v>
      </c>
      <c r="D73" s="31">
        <v>4.0</v>
      </c>
      <c r="E73" s="66" t="s">
        <v>168</v>
      </c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</row>
    <row r="74" ht="12.75" customHeight="1">
      <c r="A74" s="19" t="s">
        <v>169</v>
      </c>
      <c r="B74" s="19" t="s">
        <v>170</v>
      </c>
      <c r="C74" s="19" t="s">
        <v>171</v>
      </c>
      <c r="D74" s="17">
        <f>sqrt(2*D81/(D72*E50))</f>
        <v>266.1662099</v>
      </c>
      <c r="E74" s="67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</row>
    <row r="75" ht="12.75" customHeight="1">
      <c r="A75" s="19" t="s">
        <v>172</v>
      </c>
      <c r="B75" s="19" t="s">
        <v>173</v>
      </c>
      <c r="C75" s="19" t="s">
        <v>39</v>
      </c>
      <c r="D75" s="63">
        <f>tanh(D74*(E49+E50/2))/(D74*(E49+E50/2))</f>
        <v>0.8659798594</v>
      </c>
      <c r="E75" s="67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</row>
    <row r="76" ht="12.75" customHeight="1">
      <c r="A76" s="19" t="s">
        <v>176</v>
      </c>
      <c r="B76" s="19" t="s">
        <v>177</v>
      </c>
      <c r="C76" s="19" t="s">
        <v>63</v>
      </c>
      <c r="D76" s="68">
        <f>G103</f>
        <v>0.00625</v>
      </c>
      <c r="E76" s="69"/>
    </row>
    <row r="77" ht="12.75" customHeight="1">
      <c r="A77" s="19" t="s">
        <v>178</v>
      </c>
      <c r="B77" s="19" t="s">
        <v>179</v>
      </c>
      <c r="C77" s="19" t="s">
        <v>39</v>
      </c>
      <c r="D77" s="71">
        <f t="shared" ref="D77:D78" si="4">G113</f>
        <v>116.4316199</v>
      </c>
      <c r="E77" s="69"/>
    </row>
    <row r="78" ht="12.75" customHeight="1">
      <c r="A78" s="19" t="s">
        <v>180</v>
      </c>
      <c r="B78" s="19" t="s">
        <v>181</v>
      </c>
      <c r="C78" s="19" t="s">
        <v>39</v>
      </c>
      <c r="D78" s="71" t="str">
        <f t="shared" si="4"/>
        <v>laminar</v>
      </c>
      <c r="E78" s="69"/>
    </row>
    <row r="79" ht="12.75" customHeight="1">
      <c r="A79" s="19" t="s">
        <v>182</v>
      </c>
      <c r="B79" s="19" t="s">
        <v>181</v>
      </c>
      <c r="C79" s="19" t="s">
        <v>39</v>
      </c>
      <c r="D79" s="68">
        <f>G117</f>
        <v>0.549678859</v>
      </c>
      <c r="E79" s="61"/>
    </row>
    <row r="80">
      <c r="A80" s="19" t="s">
        <v>183</v>
      </c>
      <c r="B80" s="19" t="s">
        <v>184</v>
      </c>
      <c r="C80" s="19" t="s">
        <v>39</v>
      </c>
      <c r="D80" s="49">
        <f>if(D78="laminar", 4.36,
    if(D78="transitional", (D79/8) * (D77-1000) * D17 / (1 + 12.7*(D79/8)^0.5 * (D17^(2/3)-1)),
       if(D78="turbulent", 0.023*D77^0.8*D17^0.4,
           "error"
       )
    )
 )</f>
        <v>4.36</v>
      </c>
      <c r="E80" s="61"/>
    </row>
    <row r="81" ht="12.75" customHeight="1">
      <c r="A81" s="19" t="s">
        <v>185</v>
      </c>
      <c r="B81" s="19" t="s">
        <v>186</v>
      </c>
      <c r="C81" s="7" t="s">
        <v>187</v>
      </c>
      <c r="D81" s="17">
        <f>D80*D18/(D60/1000)</f>
        <v>2366.204674</v>
      </c>
      <c r="E81" s="69"/>
    </row>
    <row r="82" ht="12.75" customHeight="1">
      <c r="A82" s="19" t="s">
        <v>188</v>
      </c>
      <c r="B82" s="19" t="s">
        <v>189</v>
      </c>
      <c r="C82" s="19" t="s">
        <v>190</v>
      </c>
      <c r="D82" s="17">
        <f>D81*((E59-E58) + D75*(E58))</f>
        <v>28.43593303</v>
      </c>
      <c r="E82" s="69"/>
    </row>
    <row r="83" ht="12.75" customHeight="1">
      <c r="A83" s="19" t="s">
        <v>191</v>
      </c>
      <c r="B83" s="19" t="s">
        <v>192</v>
      </c>
      <c r="C83" s="19" t="s">
        <v>190</v>
      </c>
      <c r="D83" s="17">
        <f>D76*D16</f>
        <v>26.15</v>
      </c>
      <c r="E83" s="69"/>
    </row>
    <row r="84" ht="12.75" customHeight="1">
      <c r="A84" s="19" t="s">
        <v>193</v>
      </c>
      <c r="B84" s="19" t="s">
        <v>194</v>
      </c>
      <c r="C84" s="19" t="s">
        <v>39</v>
      </c>
      <c r="D84" s="49">
        <f>D82/D83</f>
        <v>1.087416177</v>
      </c>
      <c r="E84" s="74" t="s">
        <v>195</v>
      </c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</row>
    <row r="85" ht="12.75" customHeight="1">
      <c r="A85" s="75" t="s">
        <v>196</v>
      </c>
      <c r="B85" s="76" t="s">
        <v>197</v>
      </c>
      <c r="C85" s="75" t="s">
        <v>39</v>
      </c>
      <c r="D85" s="77">
        <f>1-exp(-D84)</f>
        <v>0.6629136591</v>
      </c>
      <c r="E85" s="78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</row>
    <row r="86" ht="12.75" customHeight="1">
      <c r="A86" s="75" t="s">
        <v>198</v>
      </c>
      <c r="B86" s="76" t="s">
        <v>199</v>
      </c>
      <c r="C86" s="80" t="s">
        <v>59</v>
      </c>
      <c r="D86" s="81">
        <f>G127/D68</f>
        <v>0.2715642118</v>
      </c>
      <c r="E86" s="78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</row>
    <row r="87">
      <c r="A87" s="19" t="s">
        <v>200</v>
      </c>
      <c r="B87" s="36" t="s">
        <v>201</v>
      </c>
      <c r="C87" s="7" t="s">
        <v>59</v>
      </c>
      <c r="D87" s="82">
        <f>D86*(1/D85-1) + G129</f>
        <v>21.12617386</v>
      </c>
      <c r="E87" s="69"/>
    </row>
    <row r="88" ht="12.75" customHeight="1">
      <c r="A88" s="51"/>
      <c r="B88" s="45"/>
      <c r="C88" s="51"/>
      <c r="D88" s="83"/>
      <c r="E88" s="83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</row>
    <row r="89" ht="12.75" customHeight="1">
      <c r="A89" s="39" t="s">
        <v>202</v>
      </c>
      <c r="B89" s="45"/>
      <c r="C89" s="51"/>
      <c r="D89" s="83"/>
      <c r="E89" s="83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</row>
    <row r="90" ht="12.75" customHeight="1">
      <c r="A90" s="19" t="s">
        <v>203</v>
      </c>
      <c r="B90" s="19" t="s">
        <v>204</v>
      </c>
      <c r="C90" s="19" t="s">
        <v>39</v>
      </c>
      <c r="D90" s="20">
        <v>3.0</v>
      </c>
      <c r="E90" s="69"/>
    </row>
    <row r="91" ht="12.75" customHeight="1">
      <c r="A91" s="19" t="s">
        <v>205</v>
      </c>
      <c r="B91" s="19" t="s">
        <v>206</v>
      </c>
      <c r="C91" s="19" t="s">
        <v>39</v>
      </c>
      <c r="D91" s="31">
        <v>1.0</v>
      </c>
      <c r="E91" s="61" t="s">
        <v>207</v>
      </c>
    </row>
    <row r="92" ht="12.75" customHeight="1">
      <c r="A92" s="19" t="s">
        <v>208</v>
      </c>
      <c r="B92" s="19" t="s">
        <v>209</v>
      </c>
      <c r="C92" s="19" t="s">
        <v>39</v>
      </c>
      <c r="D92" s="27">
        <f>D90*D91</f>
        <v>3</v>
      </c>
      <c r="E92" s="83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</row>
    <row r="93" ht="12.75" customHeight="1">
      <c r="A93" s="51"/>
      <c r="B93" s="45"/>
      <c r="C93" s="51"/>
      <c r="D93" s="83"/>
      <c r="E93" s="83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</row>
    <row r="94" ht="12.75" customHeight="1">
      <c r="A94" s="7"/>
      <c r="B94" s="7"/>
      <c r="C94" s="7"/>
      <c r="E94" s="7"/>
      <c r="F94" s="7"/>
      <c r="H94" s="7"/>
      <c r="I94" s="7"/>
      <c r="J94" s="7"/>
      <c r="K94" s="7"/>
      <c r="L94" s="7"/>
    </row>
    <row r="95" ht="12.75" customHeight="1">
      <c r="A95" s="10" t="s">
        <v>210</v>
      </c>
      <c r="B95" s="7"/>
      <c r="D95" s="84"/>
      <c r="P95" s="30"/>
      <c r="Q95" s="30"/>
      <c r="R95" s="30"/>
      <c r="S95" s="30"/>
      <c r="T95" s="30"/>
    </row>
    <row r="96" ht="12.75" customHeight="1">
      <c r="A96" s="24" t="s">
        <v>211</v>
      </c>
      <c r="B96" s="7"/>
      <c r="D96" s="85"/>
    </row>
    <row r="97" ht="12.75" customHeight="1">
      <c r="A97" s="24" t="s">
        <v>212</v>
      </c>
      <c r="B97" s="7"/>
      <c r="D97" s="84"/>
      <c r="P97" s="86"/>
      <c r="Q97" s="86"/>
      <c r="R97" s="86"/>
      <c r="S97" s="86"/>
      <c r="T97" s="86"/>
    </row>
    <row r="98" ht="12.75" customHeight="1">
      <c r="A98" s="24" t="s">
        <v>213</v>
      </c>
      <c r="D98" s="87"/>
      <c r="H98" s="65"/>
    </row>
    <row r="99">
      <c r="A99" s="88" t="s">
        <v>214</v>
      </c>
      <c r="B99" s="88" t="s">
        <v>39</v>
      </c>
      <c r="C99" s="88" t="s">
        <v>39</v>
      </c>
      <c r="D99" s="89" t="s">
        <v>215</v>
      </c>
      <c r="E99" s="89" t="s">
        <v>216</v>
      </c>
      <c r="F99" s="89" t="s">
        <v>217</v>
      </c>
      <c r="G99" s="89" t="s">
        <v>218</v>
      </c>
      <c r="H99" s="89" t="s">
        <v>219</v>
      </c>
      <c r="I99" s="89" t="s">
        <v>220</v>
      </c>
      <c r="J99" s="89" t="s">
        <v>221</v>
      </c>
      <c r="K99" s="89" t="s">
        <v>222</v>
      </c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</row>
    <row r="100" ht="12.75" customHeight="1">
      <c r="A100" s="7" t="s">
        <v>223</v>
      </c>
      <c r="B100" s="7" t="s">
        <v>39</v>
      </c>
      <c r="C100" s="7" t="s">
        <v>39</v>
      </c>
      <c r="D100" s="90">
        <v>0.0</v>
      </c>
      <c r="E100" s="90">
        <v>1.0</v>
      </c>
      <c r="F100" s="90">
        <v>2.0</v>
      </c>
      <c r="G100" s="90">
        <v>3.0</v>
      </c>
      <c r="H100" s="90">
        <v>4.0</v>
      </c>
      <c r="I100" s="90">
        <v>5.0</v>
      </c>
      <c r="J100" s="90">
        <v>6.0</v>
      </c>
      <c r="K100" s="90">
        <v>7.0</v>
      </c>
    </row>
    <row r="101" ht="12.75" customHeight="1">
      <c r="A101" s="7" t="s">
        <v>224</v>
      </c>
      <c r="B101" s="7" t="s">
        <v>225</v>
      </c>
      <c r="C101" s="7" t="s">
        <v>39</v>
      </c>
      <c r="D101" s="26">
        <v>2.0</v>
      </c>
      <c r="E101" s="8">
        <v>2.0</v>
      </c>
      <c r="F101" s="14">
        <f>($D$65+$D$66)/E102</f>
        <v>4</v>
      </c>
      <c r="G101" s="26">
        <v>1.0</v>
      </c>
      <c r="H101" s="91">
        <f>1/G101</f>
        <v>1</v>
      </c>
      <c r="I101" s="26">
        <v>1.0</v>
      </c>
      <c r="J101" s="14">
        <f>1/F101</f>
        <v>0.25</v>
      </c>
      <c r="K101" s="14">
        <f>1/E101</f>
        <v>0.5</v>
      </c>
      <c r="L101" s="7" t="s">
        <v>226</v>
      </c>
    </row>
    <row r="102" ht="12.75" customHeight="1">
      <c r="A102" s="19" t="s">
        <v>227</v>
      </c>
      <c r="B102" s="7" t="s">
        <v>228</v>
      </c>
      <c r="C102" s="19" t="s">
        <v>39</v>
      </c>
      <c r="D102" s="47">
        <f t="shared" ref="D102:K102" si="5">product($D101:D101)</f>
        <v>2</v>
      </c>
      <c r="E102" s="47">
        <f t="shared" si="5"/>
        <v>4</v>
      </c>
      <c r="F102" s="47">
        <f t="shared" si="5"/>
        <v>16</v>
      </c>
      <c r="G102" s="47">
        <f t="shared" si="5"/>
        <v>16</v>
      </c>
      <c r="H102" s="47">
        <f t="shared" si="5"/>
        <v>16</v>
      </c>
      <c r="I102" s="47">
        <f t="shared" si="5"/>
        <v>16</v>
      </c>
      <c r="J102" s="47">
        <f t="shared" si="5"/>
        <v>4</v>
      </c>
      <c r="K102" s="47">
        <f t="shared" si="5"/>
        <v>2</v>
      </c>
    </row>
    <row r="103" ht="12.75" customHeight="1">
      <c r="A103" s="7" t="s">
        <v>229</v>
      </c>
      <c r="B103" s="19" t="s">
        <v>230</v>
      </c>
      <c r="C103" s="7" t="s">
        <v>63</v>
      </c>
      <c r="D103" s="68">
        <f>D28/D101</f>
        <v>0.05</v>
      </c>
      <c r="E103" s="63">
        <f t="shared" ref="E103:K103" si="6">D103/E101</f>
        <v>0.025</v>
      </c>
      <c r="F103" s="63">
        <f t="shared" si="6"/>
        <v>0.00625</v>
      </c>
      <c r="G103" s="63">
        <f t="shared" si="6"/>
        <v>0.00625</v>
      </c>
      <c r="H103" s="63">
        <f t="shared" si="6"/>
        <v>0.00625</v>
      </c>
      <c r="I103" s="63">
        <f t="shared" si="6"/>
        <v>0.00625</v>
      </c>
      <c r="J103" s="63">
        <f t="shared" si="6"/>
        <v>0.025</v>
      </c>
      <c r="K103" s="63">
        <f t="shared" si="6"/>
        <v>0.05</v>
      </c>
      <c r="L103" s="92">
        <f>K103*K102</f>
        <v>0.1</v>
      </c>
      <c r="M103" s="7" t="s">
        <v>231</v>
      </c>
    </row>
    <row r="104" ht="12.75" customHeight="1">
      <c r="A104" s="19" t="s">
        <v>232</v>
      </c>
      <c r="B104" s="19" t="s">
        <v>233</v>
      </c>
      <c r="C104" s="19" t="s">
        <v>39</v>
      </c>
      <c r="D104" s="20">
        <v>1.0</v>
      </c>
      <c r="E104" s="20">
        <v>1.0</v>
      </c>
      <c r="F104" s="20">
        <v>1.0</v>
      </c>
      <c r="G104" s="43">
        <f>$D$68</f>
        <v>11</v>
      </c>
      <c r="H104" s="17">
        <f>G104-1</f>
        <v>10</v>
      </c>
      <c r="I104" s="20">
        <v>1.0</v>
      </c>
      <c r="J104" s="20">
        <v>1.0</v>
      </c>
      <c r="K104" s="20">
        <v>1.0</v>
      </c>
    </row>
    <row r="105" ht="12.75" customHeight="1">
      <c r="A105" s="7" t="s">
        <v>234</v>
      </c>
      <c r="B105" s="7" t="s">
        <v>235</v>
      </c>
      <c r="C105" s="7" t="s">
        <v>118</v>
      </c>
      <c r="D105" s="93">
        <v>10.0</v>
      </c>
      <c r="E105" s="31">
        <v>15.0</v>
      </c>
      <c r="F105" s="31">
        <v>7.0</v>
      </c>
      <c r="G105" s="94">
        <f>D55/1000</f>
        <v>0.06502272727</v>
      </c>
      <c r="H105" s="94">
        <f>D69/1000</f>
        <v>0.1</v>
      </c>
      <c r="I105" s="43">
        <f t="shared" ref="I105:I106" si="7">F105</f>
        <v>7</v>
      </c>
      <c r="J105" s="43">
        <f t="shared" ref="J105:J106" si="8">E105</f>
        <v>15</v>
      </c>
      <c r="K105" s="43">
        <f t="shared" ref="K105:K106" si="9">D105</f>
        <v>10</v>
      </c>
    </row>
    <row r="106" ht="12.75" customHeight="1">
      <c r="A106" s="7" t="s">
        <v>236</v>
      </c>
      <c r="B106" s="7" t="s">
        <v>237</v>
      </c>
      <c r="C106" s="7" t="s">
        <v>103</v>
      </c>
      <c r="D106" s="26">
        <v>19.0</v>
      </c>
      <c r="E106" s="26">
        <v>19.0</v>
      </c>
      <c r="F106" s="26">
        <v>5.0</v>
      </c>
      <c r="G106" s="95">
        <f>D60</f>
        <v>1.105567929</v>
      </c>
      <c r="H106" s="31">
        <v>3.6</v>
      </c>
      <c r="I106" s="43">
        <f t="shared" si="7"/>
        <v>5</v>
      </c>
      <c r="J106" s="43">
        <f t="shared" si="8"/>
        <v>19</v>
      </c>
      <c r="K106" s="43">
        <f t="shared" si="9"/>
        <v>19</v>
      </c>
      <c r="L106" s="7"/>
    </row>
    <row r="107" ht="12.75" customHeight="1">
      <c r="A107" s="7" t="s">
        <v>238</v>
      </c>
      <c r="B107" s="7" t="s">
        <v>239</v>
      </c>
      <c r="C107" s="7" t="s">
        <v>118</v>
      </c>
      <c r="D107" s="63">
        <f t="shared" ref="D107:K107" si="10">D106/1000</f>
        <v>0.019</v>
      </c>
      <c r="E107" s="63">
        <f t="shared" si="10"/>
        <v>0.019</v>
      </c>
      <c r="F107" s="63">
        <f t="shared" si="10"/>
        <v>0.005</v>
      </c>
      <c r="G107" s="63">
        <f t="shared" si="10"/>
        <v>0.001105567929</v>
      </c>
      <c r="H107" s="63">
        <f t="shared" si="10"/>
        <v>0.0036</v>
      </c>
      <c r="I107" s="63">
        <f t="shared" si="10"/>
        <v>0.005</v>
      </c>
      <c r="J107" s="63">
        <f t="shared" si="10"/>
        <v>0.019</v>
      </c>
      <c r="K107" s="63">
        <f t="shared" si="10"/>
        <v>0.019</v>
      </c>
    </row>
    <row r="108" ht="12.75" customHeight="1">
      <c r="A108" s="19" t="s">
        <v>240</v>
      </c>
      <c r="B108" s="19" t="s">
        <v>240</v>
      </c>
      <c r="C108" s="19" t="s">
        <v>241</v>
      </c>
      <c r="D108" s="63">
        <f t="shared" ref="D108:K108" si="11">D106/25.4</f>
        <v>0.7480314961</v>
      </c>
      <c r="E108" s="63">
        <f t="shared" si="11"/>
        <v>0.7480314961</v>
      </c>
      <c r="F108" s="63">
        <f t="shared" si="11"/>
        <v>0.1968503937</v>
      </c>
      <c r="G108" s="63">
        <f t="shared" si="11"/>
        <v>0.04352629641</v>
      </c>
      <c r="H108" s="63">
        <f t="shared" si="11"/>
        <v>0.1417322835</v>
      </c>
      <c r="I108" s="63">
        <f t="shared" si="11"/>
        <v>0.1968503937</v>
      </c>
      <c r="J108" s="63">
        <f t="shared" si="11"/>
        <v>0.7480314961</v>
      </c>
      <c r="K108" s="63">
        <f t="shared" si="11"/>
        <v>0.7480314961</v>
      </c>
    </row>
    <row r="109">
      <c r="A109" s="96" t="s">
        <v>242</v>
      </c>
      <c r="B109" s="97" t="s">
        <v>243</v>
      </c>
      <c r="C109" s="96" t="s">
        <v>136</v>
      </c>
      <c r="D109" s="98">
        <f t="shared" ref="D109:F109" si="12">pi()*D107^2/4</f>
        <v>0.000283528737</v>
      </c>
      <c r="E109" s="98">
        <f t="shared" si="12"/>
        <v>0.000283528737</v>
      </c>
      <c r="F109" s="98">
        <f t="shared" si="12"/>
        <v>0.00001963495408</v>
      </c>
      <c r="G109" s="99">
        <f>E57</f>
        <v>0.00005640909091</v>
      </c>
      <c r="H109" s="98">
        <f t="shared" ref="H109:K109" si="13">pi()*H107^2/4</f>
        <v>0.0000101787602</v>
      </c>
      <c r="I109" s="98">
        <f t="shared" si="13"/>
        <v>0.00001963495408</v>
      </c>
      <c r="J109" s="98">
        <f t="shared" si="13"/>
        <v>0.000283528737</v>
      </c>
      <c r="K109" s="98">
        <f t="shared" si="13"/>
        <v>0.000283528737</v>
      </c>
      <c r="L109" s="100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1"/>
      <c r="AD109" s="101"/>
      <c r="AE109" s="101"/>
      <c r="AF109" s="101"/>
      <c r="AG109" s="101"/>
    </row>
    <row r="110" ht="12.75" customHeight="1">
      <c r="A110" s="7" t="s">
        <v>244</v>
      </c>
      <c r="B110" s="7" t="s">
        <v>245</v>
      </c>
      <c r="C110" s="7" t="s">
        <v>136</v>
      </c>
      <c r="D110" s="25">
        <f t="shared" ref="D110:K110" si="14">D109*D102</f>
        <v>0.000567057474</v>
      </c>
      <c r="E110" s="25">
        <f t="shared" si="14"/>
        <v>0.001134114948</v>
      </c>
      <c r="F110" s="25">
        <f t="shared" si="14"/>
        <v>0.0003141592654</v>
      </c>
      <c r="G110" s="25">
        <f t="shared" si="14"/>
        <v>0.0009025454545</v>
      </c>
      <c r="H110" s="25">
        <f t="shared" si="14"/>
        <v>0.0001628601632</v>
      </c>
      <c r="I110" s="25">
        <f t="shared" si="14"/>
        <v>0.0003141592654</v>
      </c>
      <c r="J110" s="25">
        <f t="shared" si="14"/>
        <v>0.001134114948</v>
      </c>
      <c r="K110" s="25">
        <f t="shared" si="14"/>
        <v>0.000567057474</v>
      </c>
    </row>
    <row r="111" ht="12.75" customHeight="1">
      <c r="A111" s="7" t="s">
        <v>240</v>
      </c>
      <c r="B111" s="7" t="s">
        <v>240</v>
      </c>
      <c r="C111" s="7" t="s">
        <v>246</v>
      </c>
      <c r="D111" s="102">
        <f t="shared" ref="D111:K111" si="15">D110*100^2</f>
        <v>5.67057474</v>
      </c>
      <c r="E111" s="102">
        <f t="shared" si="15"/>
        <v>11.34114948</v>
      </c>
      <c r="F111" s="102">
        <f t="shared" si="15"/>
        <v>3.141592654</v>
      </c>
      <c r="G111" s="102">
        <f t="shared" si="15"/>
        <v>9.025454545</v>
      </c>
      <c r="H111" s="102">
        <f t="shared" si="15"/>
        <v>1.628601632</v>
      </c>
      <c r="I111" s="102">
        <f t="shared" si="15"/>
        <v>3.141592654</v>
      </c>
      <c r="J111" s="102">
        <f t="shared" si="15"/>
        <v>11.34114948</v>
      </c>
      <c r="K111" s="102">
        <f t="shared" si="15"/>
        <v>5.67057474</v>
      </c>
    </row>
    <row r="112" ht="12.75" customHeight="1">
      <c r="A112" s="7" t="s">
        <v>247</v>
      </c>
      <c r="B112" s="7" t="s">
        <v>248</v>
      </c>
      <c r="C112" s="7" t="s">
        <v>45</v>
      </c>
      <c r="D112" s="103">
        <f>E27</f>
        <v>291.15</v>
      </c>
      <c r="E112" s="77">
        <f t="shared" ref="E112:K112" si="16">D128</f>
        <v>291.1500935</v>
      </c>
      <c r="F112" s="77">
        <f t="shared" si="16"/>
        <v>291.1501258</v>
      </c>
      <c r="G112" s="77">
        <f t="shared" si="16"/>
        <v>291.1508793</v>
      </c>
      <c r="H112" s="77">
        <f t="shared" si="16"/>
        <v>294.1380856</v>
      </c>
      <c r="I112" s="77">
        <f t="shared" si="16"/>
        <v>294.138602</v>
      </c>
      <c r="J112" s="77">
        <f t="shared" si="16"/>
        <v>294.1393555</v>
      </c>
      <c r="K112" s="77">
        <f t="shared" si="16"/>
        <v>294.1393877</v>
      </c>
    </row>
    <row r="113" ht="12.75" customHeight="1">
      <c r="A113" s="7" t="s">
        <v>249</v>
      </c>
      <c r="B113" s="19" t="s">
        <v>250</v>
      </c>
      <c r="C113" s="7" t="s">
        <v>39</v>
      </c>
      <c r="D113" s="104">
        <f t="shared" ref="D113:K113" si="17">D103*D107/(D109*$D$15)</f>
        <v>3184.792292</v>
      </c>
      <c r="E113" s="104">
        <f t="shared" si="17"/>
        <v>1592.396146</v>
      </c>
      <c r="F113" s="104">
        <f t="shared" si="17"/>
        <v>1512.776339</v>
      </c>
      <c r="G113" s="104">
        <f t="shared" si="17"/>
        <v>116.4316199</v>
      </c>
      <c r="H113" s="104">
        <f t="shared" si="17"/>
        <v>2101.078248</v>
      </c>
      <c r="I113" s="104">
        <f t="shared" si="17"/>
        <v>1512.776339</v>
      </c>
      <c r="J113" s="104">
        <f t="shared" si="17"/>
        <v>1592.396146</v>
      </c>
      <c r="K113" s="104">
        <f t="shared" si="17"/>
        <v>3184.792292</v>
      </c>
    </row>
    <row r="114" ht="12.75" customHeight="1">
      <c r="A114" s="19" t="s">
        <v>180</v>
      </c>
      <c r="B114" s="19" t="s">
        <v>251</v>
      </c>
      <c r="C114" s="19" t="s">
        <v>39</v>
      </c>
      <c r="D114" s="105" t="str">
        <f t="shared" ref="D114:K114" si="18">if(D113&lt;=2300,"laminar", if(D113&gt;=4000, "turbulent", "transitional"))</f>
        <v>transitional</v>
      </c>
      <c r="E114" s="105" t="str">
        <f t="shared" si="18"/>
        <v>laminar</v>
      </c>
      <c r="F114" s="105" t="str">
        <f t="shared" si="18"/>
        <v>laminar</v>
      </c>
      <c r="G114" s="105" t="str">
        <f t="shared" si="18"/>
        <v>laminar</v>
      </c>
      <c r="H114" s="105" t="str">
        <f t="shared" si="18"/>
        <v>laminar</v>
      </c>
      <c r="I114" s="105" t="str">
        <f t="shared" si="18"/>
        <v>laminar</v>
      </c>
      <c r="J114" s="105" t="str">
        <f t="shared" si="18"/>
        <v>laminar</v>
      </c>
      <c r="K114" s="105" t="str">
        <f t="shared" si="18"/>
        <v>transitional</v>
      </c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</row>
    <row r="115" ht="12.75" customHeight="1">
      <c r="A115" s="106" t="s">
        <v>252</v>
      </c>
      <c r="B115" s="106" t="s">
        <v>253</v>
      </c>
      <c r="C115" s="107" t="s">
        <v>39</v>
      </c>
      <c r="D115" s="108">
        <f t="shared" ref="D115:K115" si="19">64/D113</f>
        <v>0.02009550204</v>
      </c>
      <c r="E115" s="108">
        <f t="shared" si="19"/>
        <v>0.04019100408</v>
      </c>
      <c r="F115" s="108">
        <f t="shared" si="19"/>
        <v>0.04230632009</v>
      </c>
      <c r="G115" s="108">
        <f t="shared" si="19"/>
        <v>0.549678859</v>
      </c>
      <c r="H115" s="108">
        <f t="shared" si="19"/>
        <v>0.03046055046</v>
      </c>
      <c r="I115" s="108">
        <f t="shared" si="19"/>
        <v>0.04230632009</v>
      </c>
      <c r="J115" s="108">
        <f t="shared" si="19"/>
        <v>0.04019100408</v>
      </c>
      <c r="K115" s="108">
        <f t="shared" si="19"/>
        <v>0.02009550204</v>
      </c>
    </row>
    <row r="116" ht="12.75" customHeight="1">
      <c r="A116" s="106" t="s">
        <v>254</v>
      </c>
      <c r="B116" s="106" t="s">
        <v>255</v>
      </c>
      <c r="C116" s="106" t="s">
        <v>39</v>
      </c>
      <c r="D116" s="108">
        <f t="shared" ref="D116:K116" si="20">0.3164/D113^0.25</f>
        <v>0.04211785028</v>
      </c>
      <c r="E116" s="108">
        <f t="shared" si="20"/>
        <v>0.05008684723</v>
      </c>
      <c r="F116" s="108">
        <f t="shared" si="20"/>
        <v>0.05073326282</v>
      </c>
      <c r="G116" s="108">
        <f t="shared" si="20"/>
        <v>0.09632050255</v>
      </c>
      <c r="H116" s="108">
        <f t="shared" si="20"/>
        <v>0.04673324286</v>
      </c>
      <c r="I116" s="108">
        <f t="shared" si="20"/>
        <v>0.05073326282</v>
      </c>
      <c r="J116" s="108">
        <f t="shared" si="20"/>
        <v>0.05008684723</v>
      </c>
      <c r="K116" s="108">
        <f t="shared" si="20"/>
        <v>0.04211785028</v>
      </c>
    </row>
    <row r="117" ht="12.75" customHeight="1">
      <c r="A117" s="19" t="s">
        <v>256</v>
      </c>
      <c r="B117" s="19" t="s">
        <v>257</v>
      </c>
      <c r="C117" s="19" t="s">
        <v>39</v>
      </c>
      <c r="D117" s="109">
        <f t="shared" ref="D117:K117" si="21">if(D114="laminar",D115,if(or(D114="turbulent", D114="transitional"),D116,"error"))</f>
        <v>0.04211785028</v>
      </c>
      <c r="E117" s="109">
        <f t="shared" si="21"/>
        <v>0.04019100408</v>
      </c>
      <c r="F117" s="109">
        <f t="shared" si="21"/>
        <v>0.04230632009</v>
      </c>
      <c r="G117" s="109">
        <f t="shared" si="21"/>
        <v>0.549678859</v>
      </c>
      <c r="H117" s="109">
        <f t="shared" si="21"/>
        <v>0.03046055046</v>
      </c>
      <c r="I117" s="109">
        <f t="shared" si="21"/>
        <v>0.04230632009</v>
      </c>
      <c r="J117" s="109">
        <f t="shared" si="21"/>
        <v>0.04019100408</v>
      </c>
      <c r="K117" s="109">
        <f t="shared" si="21"/>
        <v>0.04211785028</v>
      </c>
    </row>
    <row r="118" ht="12.75" customHeight="1">
      <c r="A118" s="19" t="s">
        <v>258</v>
      </c>
      <c r="B118" s="19" t="s">
        <v>167</v>
      </c>
      <c r="C118" s="19" t="s">
        <v>39</v>
      </c>
      <c r="D118" s="20">
        <v>0.0</v>
      </c>
      <c r="E118" s="20">
        <v>0.0</v>
      </c>
      <c r="F118" s="20">
        <v>0.0</v>
      </c>
      <c r="G118" s="110">
        <f>D73</f>
        <v>4</v>
      </c>
      <c r="H118" s="20">
        <v>0.0</v>
      </c>
      <c r="I118" s="20">
        <v>0.0</v>
      </c>
      <c r="J118" s="20">
        <v>0.0</v>
      </c>
      <c r="K118" s="20">
        <v>0.0</v>
      </c>
    </row>
    <row r="119" ht="12.75" customHeight="1">
      <c r="A119" s="7" t="s">
        <v>259</v>
      </c>
      <c r="B119" s="19" t="s">
        <v>260</v>
      </c>
      <c r="C119" s="7" t="s">
        <v>70</v>
      </c>
      <c r="D119" s="111">
        <f t="shared" ref="D119:K119" si="22">(D117*D105/D107 + D118 + $D92/D104)*D103^2/(2*$D$14*D109^2)*D104</f>
        <v>391.3382454</v>
      </c>
      <c r="E119" s="111">
        <f t="shared" si="22"/>
        <v>135.0073423</v>
      </c>
      <c r="F119" s="111">
        <f t="shared" si="22"/>
        <v>3152.550274</v>
      </c>
      <c r="G119" s="111">
        <f t="shared" si="22"/>
        <v>2471.28608</v>
      </c>
      <c r="H119" s="111">
        <f t="shared" si="22"/>
        <v>2160.592131</v>
      </c>
      <c r="I119" s="111">
        <f t="shared" si="22"/>
        <v>3152.550274</v>
      </c>
      <c r="J119" s="111">
        <f t="shared" si="22"/>
        <v>135.0073423</v>
      </c>
      <c r="K119" s="111">
        <f t="shared" si="22"/>
        <v>391.3382454</v>
      </c>
    </row>
    <row r="120" ht="12.75" customHeight="1">
      <c r="A120" s="7" t="s">
        <v>240</v>
      </c>
      <c r="B120" s="7" t="s">
        <v>240</v>
      </c>
      <c r="C120" s="7" t="s">
        <v>71</v>
      </c>
      <c r="D120" s="112">
        <f>D119/Pa_per_bar</f>
        <v>0.003913382454</v>
      </c>
      <c r="E120" s="112">
        <f>E119/Pa_per_bar</f>
        <v>0.001350073423</v>
      </c>
      <c r="F120" s="112">
        <f>F119/Pa_per_bar</f>
        <v>0.03152550274</v>
      </c>
      <c r="G120" s="112">
        <f>G119/Pa_per_bar</f>
        <v>0.0247128608</v>
      </c>
      <c r="H120" s="112">
        <f>H119/Pa_per_bar</f>
        <v>0.02160592131</v>
      </c>
      <c r="I120" s="112">
        <f>I119/Pa_per_bar</f>
        <v>0.03152550274</v>
      </c>
      <c r="J120" s="112">
        <f>J119/Pa_per_bar</f>
        <v>0.001350073423</v>
      </c>
      <c r="K120" s="112">
        <f>K119/Pa_per_bar</f>
        <v>0.003913382454</v>
      </c>
      <c r="L120" s="113"/>
    </row>
    <row r="121" ht="12.75" customHeight="1">
      <c r="A121" s="19" t="s">
        <v>240</v>
      </c>
      <c r="B121" s="19" t="s">
        <v>240</v>
      </c>
      <c r="C121" s="19" t="s">
        <v>261</v>
      </c>
      <c r="D121" s="81">
        <f>D120*psi_per_bar</f>
        <v>0.05675891643</v>
      </c>
      <c r="E121" s="81">
        <f>E120*psi_per_bar</f>
        <v>0.01958119491</v>
      </c>
      <c r="F121" s="81">
        <f>F120*psi_per_bar</f>
        <v>0.4572395867</v>
      </c>
      <c r="G121" s="81">
        <f>G120*psi_per_bar</f>
        <v>0.3584303905</v>
      </c>
      <c r="H121" s="81">
        <f>H120*psi_per_bar</f>
        <v>0.3133679615</v>
      </c>
      <c r="I121" s="81">
        <f>I120*psi_per_bar</f>
        <v>0.4572395867</v>
      </c>
      <c r="J121" s="81">
        <f>J120*psi_per_bar</f>
        <v>0.01958119491</v>
      </c>
      <c r="K121" s="81">
        <f>K120*psi_per_bar</f>
        <v>0.05675891643</v>
      </c>
      <c r="L121" s="5"/>
    </row>
    <row r="122" ht="12.75" customHeight="1">
      <c r="A122" s="19" t="s">
        <v>262</v>
      </c>
      <c r="B122" s="19" t="s">
        <v>263</v>
      </c>
      <c r="C122" s="7" t="s">
        <v>77</v>
      </c>
      <c r="D122" s="114">
        <v>0.0</v>
      </c>
      <c r="E122" s="114">
        <v>0.0</v>
      </c>
      <c r="F122" s="114">
        <v>0.0</v>
      </c>
      <c r="G122" s="115">
        <f>D40*G104</f>
        <v>78.1</v>
      </c>
      <c r="H122" s="114">
        <v>0.0</v>
      </c>
      <c r="I122" s="114">
        <v>0.0</v>
      </c>
      <c r="J122" s="114">
        <v>0.0</v>
      </c>
      <c r="K122" s="114">
        <v>0.0</v>
      </c>
    </row>
    <row r="123" ht="12.75" customHeight="1">
      <c r="A123" s="19" t="s">
        <v>264</v>
      </c>
      <c r="B123" s="36" t="s">
        <v>265</v>
      </c>
      <c r="C123" s="7" t="s">
        <v>77</v>
      </c>
      <c r="D123" s="116">
        <f t="shared" ref="D123:K123" si="23">D122*D102</f>
        <v>0</v>
      </c>
      <c r="E123" s="116">
        <f t="shared" si="23"/>
        <v>0</v>
      </c>
      <c r="F123" s="116">
        <f t="shared" si="23"/>
        <v>0</v>
      </c>
      <c r="G123" s="116">
        <f t="shared" si="23"/>
        <v>1249.6</v>
      </c>
      <c r="H123" s="116">
        <f t="shared" si="23"/>
        <v>0</v>
      </c>
      <c r="I123" s="116">
        <f t="shared" si="23"/>
        <v>0</v>
      </c>
      <c r="J123" s="116">
        <f t="shared" si="23"/>
        <v>0</v>
      </c>
      <c r="K123" s="116">
        <f t="shared" si="23"/>
        <v>0</v>
      </c>
      <c r="L123" s="19" t="s">
        <v>266</v>
      </c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</row>
    <row r="124" ht="12.75" customHeight="1">
      <c r="A124" s="19" t="s">
        <v>267</v>
      </c>
      <c r="B124" s="36" t="s">
        <v>268</v>
      </c>
      <c r="C124" s="7" t="s">
        <v>66</v>
      </c>
      <c r="D124" s="117">
        <f t="shared" ref="D124:K124" si="24">D$103/$D$14</f>
        <v>0.00005</v>
      </c>
      <c r="E124" s="117">
        <f t="shared" si="24"/>
        <v>0.000025</v>
      </c>
      <c r="F124" s="117">
        <f t="shared" si="24"/>
        <v>0.00000625</v>
      </c>
      <c r="G124" s="117">
        <f t="shared" si="24"/>
        <v>0.00000625</v>
      </c>
      <c r="H124" s="117">
        <f t="shared" si="24"/>
        <v>0.00000625</v>
      </c>
      <c r="I124" s="117">
        <f t="shared" si="24"/>
        <v>0.00000625</v>
      </c>
      <c r="J124" s="117">
        <f t="shared" si="24"/>
        <v>0.000025</v>
      </c>
      <c r="K124" s="117">
        <f t="shared" si="24"/>
        <v>0.00005</v>
      </c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</row>
    <row r="125" ht="12.75" customHeight="1">
      <c r="A125" s="19" t="s">
        <v>269</v>
      </c>
      <c r="B125" s="19" t="s">
        <v>270</v>
      </c>
      <c r="C125" s="7" t="s">
        <v>271</v>
      </c>
      <c r="D125" s="27">
        <f t="shared" ref="D125:K125" si="25">D124/D109</f>
        <v>0.1763489674</v>
      </c>
      <c r="E125" s="27">
        <f t="shared" si="25"/>
        <v>0.08817448371</v>
      </c>
      <c r="F125" s="27">
        <f t="shared" si="25"/>
        <v>0.3183098862</v>
      </c>
      <c r="G125" s="27">
        <f t="shared" si="25"/>
        <v>0.1107977438</v>
      </c>
      <c r="H125" s="27">
        <f t="shared" si="25"/>
        <v>0.6140237002</v>
      </c>
      <c r="I125" s="27">
        <f t="shared" si="25"/>
        <v>0.3183098862</v>
      </c>
      <c r="J125" s="27">
        <f t="shared" si="25"/>
        <v>0.08817448371</v>
      </c>
      <c r="K125" s="27">
        <f t="shared" si="25"/>
        <v>0.1763489674</v>
      </c>
      <c r="L125" s="7"/>
    </row>
    <row r="126" ht="12.75" customHeight="1">
      <c r="A126" s="19" t="s">
        <v>272</v>
      </c>
      <c r="B126" s="36" t="s">
        <v>273</v>
      </c>
      <c r="C126" s="19" t="s">
        <v>77</v>
      </c>
      <c r="D126" s="17">
        <f t="shared" ref="D126:K126" si="26">D119*D124</f>
        <v>0.01956691227</v>
      </c>
      <c r="E126" s="17">
        <f t="shared" si="26"/>
        <v>0.003375183557</v>
      </c>
      <c r="F126" s="17">
        <f t="shared" si="26"/>
        <v>0.01970343921</v>
      </c>
      <c r="G126" s="17">
        <f t="shared" si="26"/>
        <v>0.015445538</v>
      </c>
      <c r="H126" s="17">
        <f t="shared" si="26"/>
        <v>0.01350370082</v>
      </c>
      <c r="I126" s="17">
        <f t="shared" si="26"/>
        <v>0.01970343921</v>
      </c>
      <c r="J126" s="17">
        <f t="shared" si="26"/>
        <v>0.003375183557</v>
      </c>
      <c r="K126" s="17">
        <f t="shared" si="26"/>
        <v>0.01956691227</v>
      </c>
    </row>
    <row r="127" ht="12.75" customHeight="1">
      <c r="A127" s="19" t="s">
        <v>274</v>
      </c>
      <c r="B127" s="19" t="s">
        <v>275</v>
      </c>
      <c r="C127" s="7" t="s">
        <v>45</v>
      </c>
      <c r="D127" s="17">
        <f t="shared" ref="D127:K127" si="27">(D122+D126)/(D103*$D$16)</f>
        <v>0.00009353208541</v>
      </c>
      <c r="E127" s="17">
        <f t="shared" si="27"/>
        <v>0.00003226752923</v>
      </c>
      <c r="F127" s="17">
        <f t="shared" si="27"/>
        <v>0.000753477599</v>
      </c>
      <c r="G127" s="17">
        <f t="shared" si="27"/>
        <v>2.98720633</v>
      </c>
      <c r="H127" s="17">
        <f t="shared" si="27"/>
        <v>0.0005163939128</v>
      </c>
      <c r="I127" s="17">
        <f t="shared" si="27"/>
        <v>0.000753477599</v>
      </c>
      <c r="J127" s="17">
        <f t="shared" si="27"/>
        <v>0.00003226752923</v>
      </c>
      <c r="K127" s="17">
        <f t="shared" si="27"/>
        <v>0.00009353208541</v>
      </c>
    </row>
    <row r="128" ht="12.75" customHeight="1">
      <c r="A128" s="7" t="s">
        <v>276</v>
      </c>
      <c r="B128" s="19" t="s">
        <v>277</v>
      </c>
      <c r="C128" s="7" t="s">
        <v>45</v>
      </c>
      <c r="D128" s="17">
        <f t="shared" ref="D128:K128" si="28">D112+D127</f>
        <v>291.1500935</v>
      </c>
      <c r="E128" s="17">
        <f t="shared" si="28"/>
        <v>291.1501258</v>
      </c>
      <c r="F128" s="17">
        <f t="shared" si="28"/>
        <v>291.1508793</v>
      </c>
      <c r="G128" s="17">
        <f t="shared" si="28"/>
        <v>294.1380856</v>
      </c>
      <c r="H128" s="17">
        <f t="shared" si="28"/>
        <v>294.138602</v>
      </c>
      <c r="I128" s="17">
        <f t="shared" si="28"/>
        <v>294.1393555</v>
      </c>
      <c r="J128" s="17">
        <f t="shared" si="28"/>
        <v>294.1393877</v>
      </c>
      <c r="K128" s="17">
        <f t="shared" si="28"/>
        <v>294.1394813</v>
      </c>
    </row>
    <row r="129" ht="15.0" customHeight="1">
      <c r="A129" s="7" t="s">
        <v>240</v>
      </c>
      <c r="B129" s="7" t="s">
        <v>240</v>
      </c>
      <c r="C129" s="7" t="s">
        <v>59</v>
      </c>
      <c r="D129" s="82">
        <f>D128-T_0</f>
        <v>18.00009353</v>
      </c>
      <c r="E129" s="82">
        <f>E128-T_0</f>
        <v>18.0001258</v>
      </c>
      <c r="F129" s="82">
        <f>F128-T_0</f>
        <v>18.00087928</v>
      </c>
      <c r="G129" s="82">
        <f>G128-T_0</f>
        <v>20.98808561</v>
      </c>
      <c r="H129" s="82">
        <f>H128-T_0</f>
        <v>20.988602</v>
      </c>
      <c r="I129" s="82">
        <f>I128-T_0</f>
        <v>20.98935548</v>
      </c>
      <c r="J129" s="82">
        <f>J128-T_0</f>
        <v>20.98938775</v>
      </c>
      <c r="K129" s="82">
        <f>K128-T_0</f>
        <v>20.98948128</v>
      </c>
    </row>
    <row r="130" ht="12.75" customHeight="1">
      <c r="A130" s="7" t="s">
        <v>278</v>
      </c>
      <c r="B130" s="19" t="s">
        <v>279</v>
      </c>
      <c r="C130" s="7" t="s">
        <v>136</v>
      </c>
      <c r="D130" s="25">
        <f t="shared" ref="D130:G130" si="29">E109*E101</f>
        <v>0.000567057474</v>
      </c>
      <c r="E130" s="25">
        <f t="shared" si="29"/>
        <v>0.00007853981634</v>
      </c>
      <c r="F130" s="25">
        <f t="shared" si="29"/>
        <v>0.00005640909091</v>
      </c>
      <c r="G130" s="25">
        <f t="shared" si="29"/>
        <v>0.0000101787602</v>
      </c>
      <c r="H130" s="118">
        <f>G109</f>
        <v>0.00005640909091</v>
      </c>
      <c r="I130" s="25">
        <f t="shared" ref="I130:J130" si="30">J109*J101</f>
        <v>0.00007088218425</v>
      </c>
      <c r="J130" s="25">
        <f t="shared" si="30"/>
        <v>0.0001417643685</v>
      </c>
      <c r="K130" s="119">
        <f>infinity</f>
        <v>1E+99</v>
      </c>
    </row>
    <row r="131" ht="12.75" customHeight="1">
      <c r="A131" s="106" t="s">
        <v>280</v>
      </c>
      <c r="B131" s="106" t="s">
        <v>281</v>
      </c>
      <c r="C131" s="107" t="s">
        <v>70</v>
      </c>
      <c r="D131" s="120">
        <f t="shared" ref="D131:K131" si="31">D$104*D$103^2/(2*$D$14)*(1-D$109/D$130)^2/D$109^2</f>
        <v>3.887369789</v>
      </c>
      <c r="E131" s="120">
        <f t="shared" si="31"/>
        <v>26.48115174</v>
      </c>
      <c r="F131" s="120">
        <f t="shared" si="31"/>
        <v>21.53064463</v>
      </c>
      <c r="G131" s="120">
        <f t="shared" si="31"/>
        <v>1392.799998</v>
      </c>
      <c r="H131" s="120">
        <f t="shared" si="31"/>
        <v>1266.181816</v>
      </c>
      <c r="I131" s="120">
        <f t="shared" si="31"/>
        <v>26.48115174</v>
      </c>
      <c r="J131" s="120">
        <f t="shared" si="31"/>
        <v>3.887369789</v>
      </c>
      <c r="K131" s="120">
        <f t="shared" si="31"/>
        <v>15.54947915</v>
      </c>
      <c r="L131" s="106" t="s">
        <v>282</v>
      </c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1"/>
      <c r="AC131" s="121"/>
      <c r="AD131" s="121"/>
      <c r="AE131" s="121"/>
      <c r="AF131" s="121"/>
      <c r="AG131" s="121"/>
    </row>
    <row r="132" ht="12.75" customHeight="1">
      <c r="A132" s="106" t="s">
        <v>283</v>
      </c>
      <c r="B132" s="106" t="s">
        <v>284</v>
      </c>
      <c r="C132" s="106" t="s">
        <v>70</v>
      </c>
      <c r="D132" s="120">
        <f t="shared" ref="D132:K132" si="32">D$104*D$103^2/(2*$D$14)*(1-D$130/D$109)/D$130^2*0.42</f>
        <v>-1.632695311</v>
      </c>
      <c r="E132" s="120">
        <f t="shared" si="32"/>
        <v>15.38341849</v>
      </c>
      <c r="F132" s="120">
        <f t="shared" si="32"/>
        <v>-4.828294208</v>
      </c>
      <c r="G132" s="120">
        <f t="shared" si="32"/>
        <v>713.7730534</v>
      </c>
      <c r="H132" s="120">
        <f t="shared" si="32"/>
        <v>-117.0882312</v>
      </c>
      <c r="I132" s="120">
        <f t="shared" si="32"/>
        <v>-4.261334762</v>
      </c>
      <c r="J132" s="120">
        <f t="shared" si="32"/>
        <v>3.265390622</v>
      </c>
      <c r="K132" s="120">
        <f t="shared" si="32"/>
        <v>0</v>
      </c>
      <c r="L132" s="106" t="s">
        <v>285</v>
      </c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1"/>
      <c r="AC132" s="121"/>
      <c r="AD132" s="121"/>
      <c r="AE132" s="121"/>
      <c r="AF132" s="121"/>
      <c r="AG132" s="121"/>
    </row>
    <row r="133" ht="12.75" customHeight="1">
      <c r="A133" s="19" t="s">
        <v>286</v>
      </c>
      <c r="B133" s="19" t="s">
        <v>287</v>
      </c>
      <c r="C133" s="7" t="s">
        <v>70</v>
      </c>
      <c r="D133" s="111">
        <f t="shared" ref="D133:K133" si="33">if(D130&gt;D109,D131,D132)</f>
        <v>3.887369789</v>
      </c>
      <c r="E133" s="111">
        <f t="shared" si="33"/>
        <v>15.38341849</v>
      </c>
      <c r="F133" s="111">
        <f t="shared" si="33"/>
        <v>21.53064463</v>
      </c>
      <c r="G133" s="111">
        <f t="shared" si="33"/>
        <v>713.7730534</v>
      </c>
      <c r="H133" s="111">
        <f t="shared" si="33"/>
        <v>1266.181816</v>
      </c>
      <c r="I133" s="111">
        <f t="shared" si="33"/>
        <v>26.48115174</v>
      </c>
      <c r="J133" s="111">
        <f t="shared" si="33"/>
        <v>3.265390622</v>
      </c>
      <c r="K133" s="111">
        <f t="shared" si="33"/>
        <v>15.54947915</v>
      </c>
      <c r="L133" s="7"/>
    </row>
    <row r="134" ht="12.75" customHeight="1">
      <c r="A134" s="19" t="s">
        <v>288</v>
      </c>
      <c r="B134" s="19" t="s">
        <v>289</v>
      </c>
      <c r="C134" s="7" t="s">
        <v>70</v>
      </c>
      <c r="D134" s="111">
        <f t="shared" ref="D134:K134" si="34">D119 + D133</f>
        <v>395.2256151</v>
      </c>
      <c r="E134" s="111">
        <f t="shared" si="34"/>
        <v>150.3907608</v>
      </c>
      <c r="F134" s="111">
        <f t="shared" si="34"/>
        <v>3174.080919</v>
      </c>
      <c r="G134" s="111">
        <f t="shared" si="34"/>
        <v>3185.059134</v>
      </c>
      <c r="H134" s="111">
        <f t="shared" si="34"/>
        <v>3426.773948</v>
      </c>
      <c r="I134" s="111">
        <f t="shared" si="34"/>
        <v>3179.031426</v>
      </c>
      <c r="J134" s="111">
        <f t="shared" si="34"/>
        <v>138.2727329</v>
      </c>
      <c r="K134" s="111">
        <f t="shared" si="34"/>
        <v>406.8877245</v>
      </c>
      <c r="L134" s="19"/>
    </row>
    <row r="135">
      <c r="A135" s="19" t="s">
        <v>290</v>
      </c>
      <c r="B135" s="19" t="s">
        <v>291</v>
      </c>
      <c r="C135" s="19" t="s">
        <v>70</v>
      </c>
      <c r="D135" s="111">
        <f t="shared" ref="D135:K135" si="35">sum($D134:D134)</f>
        <v>395.2256151</v>
      </c>
      <c r="E135" s="111">
        <f t="shared" si="35"/>
        <v>545.6163759</v>
      </c>
      <c r="F135" s="111">
        <f t="shared" si="35"/>
        <v>3719.697295</v>
      </c>
      <c r="G135" s="111">
        <f t="shared" si="35"/>
        <v>6904.756428</v>
      </c>
      <c r="H135" s="111">
        <f t="shared" si="35"/>
        <v>10331.53038</v>
      </c>
      <c r="I135" s="111">
        <f t="shared" si="35"/>
        <v>13510.5618</v>
      </c>
      <c r="J135" s="111">
        <f t="shared" si="35"/>
        <v>13648.83453</v>
      </c>
      <c r="K135" s="111">
        <f t="shared" si="35"/>
        <v>14055.72226</v>
      </c>
      <c r="L135" s="122">
        <f>D30/K135</f>
        <v>3.557270063</v>
      </c>
      <c r="M135" s="36" t="s">
        <v>292</v>
      </c>
    </row>
    <row r="136" ht="12.75" customHeight="1">
      <c r="A136" s="7" t="s">
        <v>240</v>
      </c>
      <c r="B136" s="7" t="s">
        <v>240</v>
      </c>
      <c r="C136" s="7" t="s">
        <v>71</v>
      </c>
      <c r="D136" s="112">
        <f>D135/Pa_per_bar</f>
        <v>0.003952256151</v>
      </c>
      <c r="E136" s="112">
        <f>E135/Pa_per_bar</f>
        <v>0.005456163759</v>
      </c>
      <c r="F136" s="112">
        <f>F135/Pa_per_bar</f>
        <v>0.03719697295</v>
      </c>
      <c r="G136" s="112">
        <f>G135/Pa_per_bar</f>
        <v>0.06904756428</v>
      </c>
      <c r="H136" s="112">
        <f>H135/Pa_per_bar</f>
        <v>0.1033153038</v>
      </c>
      <c r="I136" s="112">
        <f>I135/Pa_per_bar</f>
        <v>0.135105618</v>
      </c>
      <c r="J136" s="112">
        <f>J135/Pa_per_bar</f>
        <v>0.1364883453</v>
      </c>
      <c r="K136" s="112">
        <f>K135/Pa_per_bar</f>
        <v>0.1405572226</v>
      </c>
    </row>
    <row r="137" ht="12.75" customHeight="1">
      <c r="A137" s="19" t="s">
        <v>240</v>
      </c>
      <c r="B137" s="19" t="s">
        <v>240</v>
      </c>
      <c r="C137" s="19" t="s">
        <v>261</v>
      </c>
      <c r="D137" s="81">
        <f>D136*psi_per_bar</f>
        <v>0.05732273277</v>
      </c>
      <c r="E137" s="81">
        <f>E136*psi_per_bar</f>
        <v>0.07913510793</v>
      </c>
      <c r="F137" s="81">
        <f>F136*psi_per_bar</f>
        <v>0.5394974562</v>
      </c>
      <c r="G137" s="81">
        <f>G136*psi_per_bar</f>
        <v>1.001452063</v>
      </c>
      <c r="H137" s="81">
        <f>H136*psi_per_bar</f>
        <v>1.498464503</v>
      </c>
      <c r="I137" s="81">
        <f>I136*psi_per_bar</f>
        <v>1.959544863</v>
      </c>
      <c r="J137" s="81">
        <f>J136*psi_per_bar</f>
        <v>1.979599663</v>
      </c>
      <c r="K137" s="81">
        <f>K136*psi_per_bar</f>
        <v>2.038613845</v>
      </c>
      <c r="L137" s="5"/>
    </row>
    <row r="138" ht="12.75" customHeight="1">
      <c r="B138" s="123"/>
      <c r="G138" s="124"/>
    </row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</sheetData>
  <conditionalFormatting sqref="L103">
    <cfRule type="cellIs" dxfId="0" priority="1" operator="notEqual">
      <formula>D28</formula>
    </cfRule>
  </conditionalFormatting>
  <conditionalFormatting sqref="L135">
    <cfRule type="cellIs" dxfId="1" priority="2" operator="greaterThanOrEqual">
      <formula>1</formula>
    </cfRule>
  </conditionalFormatting>
  <conditionalFormatting sqref="L135">
    <cfRule type="cellIs" dxfId="2" priority="3" operator="lessThan">
      <formula>1</formula>
    </cfRule>
  </conditionalFormatting>
  <conditionalFormatting sqref="E48">
    <cfRule type="cellIs" dxfId="3" priority="4" operator="equal">
      <formula>"TRUE"</formula>
    </cfRule>
  </conditionalFormatting>
  <conditionalFormatting sqref="E48">
    <cfRule type="cellIs" dxfId="4" priority="5" operator="equal">
      <formula>"FALSE"</formula>
    </cfRule>
  </conditionalFormatting>
  <conditionalFormatting sqref="D134:K134">
    <cfRule type="colorScale" priority="6">
      <colorScale>
        <cfvo type="formula" val="0"/>
        <cfvo type="formula" val="50000"/>
        <color rgb="FFF3F3F3"/>
        <color rgb="FF6D9EEB"/>
      </colorScale>
    </cfRule>
  </conditionalFormatting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40" t="s">
        <v>73</v>
      </c>
      <c r="B1" s="40" t="s">
        <v>79</v>
      </c>
      <c r="C1" s="41" t="s">
        <v>82</v>
      </c>
      <c r="D1" s="41" t="s">
        <v>83</v>
      </c>
      <c r="E1" s="40" t="s">
        <v>84</v>
      </c>
      <c r="F1" s="40" t="s">
        <v>85</v>
      </c>
      <c r="G1" s="42"/>
      <c r="H1" s="44" t="s">
        <v>86</v>
      </c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>
      <c r="A2" s="46">
        <v>2.0</v>
      </c>
      <c r="B2" s="48">
        <v>1.6735</v>
      </c>
      <c r="C2" s="50">
        <f t="shared" ref="C2:C48" si="1">L$2 + H$2*A2 + I$2*A2^2 + J$2*A2^3 + K$2*A2^4</f>
        <v>1.666729581</v>
      </c>
      <c r="D2" s="53">
        <f t="shared" ref="D2:D48" si="2">C2/B2-1</f>
        <v>-0.00404566424</v>
      </c>
      <c r="E2" s="54">
        <v>1.6736</v>
      </c>
      <c r="F2" s="46">
        <v>0.9999</v>
      </c>
      <c r="H2" s="56">
        <f t="array" ref="H2:L2">LINEST(
 B2:B48,
 HSTACK(
  A2:A48^4,
  A2:A48^3,
  A2:A48^2,
  A2:A48
 ),
 TRUE,
 FALSE
)</f>
        <v>-0.05659779459</v>
      </c>
      <c r="I2" s="57">
        <v>0.0011096069739989659</v>
      </c>
      <c r="J2" s="56">
        <v>-1.1955031576414172E-5</v>
      </c>
      <c r="K2" s="56">
        <v>5.2009093456674795E-8</v>
      </c>
      <c r="L2" s="56">
        <v>1.7755815502906223</v>
      </c>
    </row>
    <row r="3">
      <c r="A3" s="46">
        <v>3.0</v>
      </c>
      <c r="B3" s="48">
        <v>1.619</v>
      </c>
      <c r="C3" s="50">
        <f t="shared" si="1"/>
        <v>1.615456056</v>
      </c>
      <c r="D3" s="53">
        <f t="shared" si="2"/>
        <v>-0.00218897087</v>
      </c>
      <c r="E3" s="54">
        <v>1.6191</v>
      </c>
      <c r="F3" s="46">
        <v>1.0</v>
      </c>
      <c r="H3" s="59"/>
    </row>
    <row r="4">
      <c r="A4" s="46">
        <v>4.0</v>
      </c>
      <c r="B4" s="48">
        <v>1.5673</v>
      </c>
      <c r="C4" s="50">
        <f t="shared" si="1"/>
        <v>1.566192276</v>
      </c>
      <c r="D4" s="53">
        <f t="shared" si="2"/>
        <v>-0.0007067722769</v>
      </c>
      <c r="E4" s="54">
        <v>1.5674</v>
      </c>
      <c r="F4" s="46">
        <v>1.0</v>
      </c>
    </row>
    <row r="5">
      <c r="A5" s="46">
        <v>5.0</v>
      </c>
      <c r="B5" s="48">
        <v>1.5182</v>
      </c>
      <c r="C5" s="50">
        <f t="shared" si="1"/>
        <v>1.518870878</v>
      </c>
      <c r="D5" s="53">
        <f t="shared" si="2"/>
        <v>0.0004418906685</v>
      </c>
      <c r="E5" s="54">
        <v>1.5182</v>
      </c>
      <c r="F5" s="46">
        <v>1.0</v>
      </c>
    </row>
    <row r="6">
      <c r="A6" s="46">
        <v>6.0</v>
      </c>
      <c r="B6" s="48">
        <v>1.4715</v>
      </c>
      <c r="C6" s="50">
        <f t="shared" si="1"/>
        <v>1.473425751</v>
      </c>
      <c r="D6" s="53">
        <f t="shared" si="2"/>
        <v>0.001308699125</v>
      </c>
      <c r="E6" s="54">
        <v>1.4716</v>
      </c>
      <c r="F6" s="46">
        <v>0.9999</v>
      </c>
    </row>
    <row r="7">
      <c r="A7" s="46">
        <v>7.0</v>
      </c>
      <c r="B7" s="48">
        <v>1.4271</v>
      </c>
      <c r="C7" s="50">
        <f t="shared" si="1"/>
        <v>1.429792028</v>
      </c>
      <c r="D7" s="53">
        <f t="shared" si="2"/>
        <v>0.001886362462</v>
      </c>
      <c r="E7" s="54">
        <v>1.4272</v>
      </c>
      <c r="F7" s="46">
        <v>0.9999</v>
      </c>
    </row>
    <row r="8">
      <c r="A8" s="46">
        <v>8.0</v>
      </c>
      <c r="B8" s="48">
        <v>1.3847</v>
      </c>
      <c r="C8" s="50">
        <f t="shared" si="1"/>
        <v>1.387906093</v>
      </c>
      <c r="D8" s="53">
        <f t="shared" si="2"/>
        <v>0.00231537009</v>
      </c>
      <c r="E8" s="54">
        <v>1.3849</v>
      </c>
      <c r="F8" s="46">
        <v>0.9999</v>
      </c>
    </row>
    <row r="9">
      <c r="A9" s="46">
        <v>9.0</v>
      </c>
      <c r="B9" s="48">
        <v>1.3444</v>
      </c>
      <c r="C9" s="50">
        <f t="shared" si="1"/>
        <v>1.347705577</v>
      </c>
      <c r="D9" s="53">
        <f t="shared" si="2"/>
        <v>0.002458775284</v>
      </c>
      <c r="E9" s="54">
        <v>1.3447</v>
      </c>
      <c r="F9" s="46">
        <v>0.9998</v>
      </c>
    </row>
    <row r="10">
      <c r="A10" s="46">
        <v>10.0</v>
      </c>
      <c r="B10" s="48">
        <v>1.3059</v>
      </c>
      <c r="C10" s="50">
        <f t="shared" si="1"/>
        <v>1.309129361</v>
      </c>
      <c r="D10" s="53">
        <f t="shared" si="2"/>
        <v>0.002472900774</v>
      </c>
      <c r="E10" s="54">
        <v>1.3063</v>
      </c>
      <c r="F10" s="46">
        <v>0.9997</v>
      </c>
    </row>
    <row r="11">
      <c r="A11" s="46">
        <v>11.0</v>
      </c>
      <c r="B11" s="48">
        <v>1.2692</v>
      </c>
      <c r="C11" s="50">
        <f t="shared" si="1"/>
        <v>1.272117572</v>
      </c>
      <c r="D11" s="53">
        <f t="shared" si="2"/>
        <v>0.002298748607</v>
      </c>
      <c r="E11" s="54">
        <v>1.2696</v>
      </c>
      <c r="F11" s="46">
        <v>0.9996</v>
      </c>
    </row>
    <row r="12">
      <c r="A12" s="46">
        <v>12.0</v>
      </c>
      <c r="B12" s="48">
        <v>1.234</v>
      </c>
      <c r="C12" s="50">
        <f t="shared" si="1"/>
        <v>1.236611585</v>
      </c>
      <c r="D12" s="53">
        <f t="shared" si="2"/>
        <v>0.002116357723</v>
      </c>
      <c r="E12" s="54">
        <v>1.2347</v>
      </c>
      <c r="F12" s="46">
        <v>0.9995</v>
      </c>
    </row>
    <row r="13">
      <c r="A13" s="46">
        <v>13.0</v>
      </c>
      <c r="B13" s="48">
        <v>1.2005</v>
      </c>
      <c r="C13" s="50">
        <f t="shared" si="1"/>
        <v>1.202554027</v>
      </c>
      <c r="D13" s="53">
        <f t="shared" si="2"/>
        <v>0.001710975872</v>
      </c>
      <c r="E13" s="54">
        <v>1.2012</v>
      </c>
      <c r="F13" s="46">
        <v>0.9994</v>
      </c>
    </row>
    <row r="14">
      <c r="A14" s="46">
        <v>14.0</v>
      </c>
      <c r="B14" s="48">
        <v>1.1683</v>
      </c>
      <c r="C14" s="50">
        <f t="shared" si="1"/>
        <v>1.169888768</v>
      </c>
      <c r="D14" s="53">
        <f t="shared" si="2"/>
        <v>0.00135989693</v>
      </c>
      <c r="E14" s="54">
        <v>1.1692</v>
      </c>
      <c r="F14" s="46">
        <v>0.9992</v>
      </c>
    </row>
    <row r="15">
      <c r="A15" s="46">
        <v>15.0</v>
      </c>
      <c r="B15" s="48">
        <v>1.1375</v>
      </c>
      <c r="C15" s="50">
        <f t="shared" si="1"/>
        <v>1.138560929</v>
      </c>
      <c r="D15" s="53">
        <f t="shared" si="2"/>
        <v>0.0009326851288</v>
      </c>
      <c r="E15" s="54">
        <v>1.1386</v>
      </c>
      <c r="F15" s="46">
        <v>0.9991</v>
      </c>
    </row>
    <row r="16">
      <c r="A16" s="46">
        <v>16.0</v>
      </c>
      <c r="B16" s="48">
        <v>1.1081</v>
      </c>
      <c r="C16" s="50">
        <f t="shared" si="1"/>
        <v>1.108516881</v>
      </c>
      <c r="D16" s="53">
        <f t="shared" si="2"/>
        <v>0.0003762122201</v>
      </c>
      <c r="E16" s="54">
        <v>1.1092</v>
      </c>
      <c r="F16" s="46">
        <v>0.9989</v>
      </c>
    </row>
    <row r="17">
      <c r="A17" s="46">
        <v>17.0</v>
      </c>
      <c r="B17" s="48">
        <v>1.0798</v>
      </c>
      <c r="C17" s="50">
        <f t="shared" si="1"/>
        <v>1.079704239</v>
      </c>
      <c r="D17" s="53">
        <f t="shared" si="2"/>
        <v>-0.00008868396176</v>
      </c>
      <c r="E17" s="54">
        <v>1.0811</v>
      </c>
      <c r="F17" s="46">
        <v>0.9988</v>
      </c>
    </row>
    <row r="18">
      <c r="A18" s="46">
        <v>18.0</v>
      </c>
      <c r="B18" s="48">
        <v>1.0526</v>
      </c>
      <c r="C18" s="50">
        <f t="shared" si="1"/>
        <v>1.05207187</v>
      </c>
      <c r="D18" s="53">
        <f t="shared" si="2"/>
        <v>-0.0005017388974</v>
      </c>
      <c r="E18" s="54">
        <v>1.0541</v>
      </c>
      <c r="F18" s="46">
        <v>0.9986</v>
      </c>
    </row>
    <row r="19">
      <c r="A19" s="46">
        <v>19.0</v>
      </c>
      <c r="B19" s="48">
        <v>1.0266</v>
      </c>
      <c r="C19" s="50">
        <f t="shared" si="1"/>
        <v>1.025569886</v>
      </c>
      <c r="D19" s="53">
        <f t="shared" si="2"/>
        <v>-0.001003422826</v>
      </c>
      <c r="E19" s="54">
        <v>1.0282</v>
      </c>
      <c r="F19" s="46">
        <v>0.9984</v>
      </c>
    </row>
    <row r="20">
      <c r="A20" s="46">
        <v>20.0</v>
      </c>
      <c r="B20" s="48">
        <v>1.0016</v>
      </c>
      <c r="C20" s="50">
        <f t="shared" si="1"/>
        <v>1.00014965</v>
      </c>
      <c r="D20" s="53">
        <f t="shared" si="2"/>
        <v>-0.001448032772</v>
      </c>
      <c r="E20" s="54">
        <v>1.0034</v>
      </c>
      <c r="F20" s="46">
        <v>0.9982</v>
      </c>
    </row>
    <row r="21">
      <c r="A21" s="46">
        <v>21.0</v>
      </c>
      <c r="B21" s="48">
        <v>0.9775</v>
      </c>
      <c r="C21" s="50">
        <f t="shared" si="1"/>
        <v>0.9757637725</v>
      </c>
      <c r="D21" s="53">
        <f t="shared" si="2"/>
        <v>-0.001776191867</v>
      </c>
      <c r="E21" s="54">
        <v>0.9795</v>
      </c>
      <c r="F21" s="46">
        <v>0.998</v>
      </c>
    </row>
    <row r="22">
      <c r="A22" s="46">
        <v>22.0</v>
      </c>
      <c r="B22" s="48">
        <v>0.9544</v>
      </c>
      <c r="C22" s="50">
        <f t="shared" si="1"/>
        <v>0.9523661106</v>
      </c>
      <c r="D22" s="53">
        <f t="shared" si="2"/>
        <v>-0.002131065973</v>
      </c>
      <c r="E22" s="54">
        <v>0.9565</v>
      </c>
      <c r="F22" s="46">
        <v>0.9978</v>
      </c>
    </row>
    <row r="23">
      <c r="A23" s="46">
        <v>23.0</v>
      </c>
      <c r="B23" s="48">
        <v>0.9321</v>
      </c>
      <c r="C23" s="50">
        <f t="shared" si="1"/>
        <v>0.9299117714</v>
      </c>
      <c r="D23" s="53">
        <f t="shared" si="2"/>
        <v>-0.002347632837</v>
      </c>
      <c r="E23" s="54">
        <v>0.9344</v>
      </c>
      <c r="F23" s="46">
        <v>0.9975</v>
      </c>
    </row>
    <row r="24">
      <c r="A24" s="46">
        <v>24.0</v>
      </c>
      <c r="B24" s="48">
        <v>0.9107</v>
      </c>
      <c r="C24" s="50">
        <f t="shared" si="1"/>
        <v>0.9083571096</v>
      </c>
      <c r="D24" s="53">
        <f t="shared" si="2"/>
        <v>-0.002572625931</v>
      </c>
      <c r="E24" s="54">
        <v>0.9131</v>
      </c>
      <c r="F24" s="46">
        <v>0.9973</v>
      </c>
    </row>
    <row r="25">
      <c r="A25" s="46">
        <v>25.0</v>
      </c>
      <c r="B25" s="48">
        <v>0.89</v>
      </c>
      <c r="C25" s="50">
        <f t="shared" si="1"/>
        <v>0.887659728</v>
      </c>
      <c r="D25" s="53">
        <f t="shared" si="2"/>
        <v>-0.002629519135</v>
      </c>
      <c r="E25" s="54">
        <v>0.8926</v>
      </c>
      <c r="F25" s="46">
        <v>0.997</v>
      </c>
    </row>
    <row r="26">
      <c r="A26" s="46">
        <v>26.0</v>
      </c>
      <c r="B26" s="48">
        <v>0.8701</v>
      </c>
      <c r="C26" s="50">
        <f t="shared" si="1"/>
        <v>0.8677784778</v>
      </c>
      <c r="D26" s="53">
        <f t="shared" si="2"/>
        <v>-0.002668109637</v>
      </c>
      <c r="E26" s="54">
        <v>0.8729</v>
      </c>
      <c r="F26" s="46">
        <v>0.9968</v>
      </c>
    </row>
    <row r="27">
      <c r="A27" s="46">
        <v>27.0</v>
      </c>
      <c r="B27" s="48">
        <v>0.8509</v>
      </c>
      <c r="C27" s="50">
        <f t="shared" si="1"/>
        <v>0.8486734584</v>
      </c>
      <c r="D27" s="53">
        <f t="shared" si="2"/>
        <v>-0.002616690038</v>
      </c>
      <c r="E27" s="54">
        <v>0.8539</v>
      </c>
      <c r="F27" s="46">
        <v>0.9965</v>
      </c>
    </row>
    <row r="28">
      <c r="A28" s="46">
        <v>28.0</v>
      </c>
      <c r="B28" s="48">
        <v>0.8324</v>
      </c>
      <c r="C28" s="50">
        <f t="shared" si="1"/>
        <v>0.8303060175</v>
      </c>
      <c r="D28" s="53">
        <f t="shared" si="2"/>
        <v>-0.002515596481</v>
      </c>
      <c r="E28" s="54">
        <v>0.8355</v>
      </c>
      <c r="F28" s="46">
        <v>0.9962</v>
      </c>
    </row>
    <row r="29">
      <c r="A29" s="46">
        <v>29.0</v>
      </c>
      <c r="B29" s="48">
        <v>0.8145</v>
      </c>
      <c r="C29" s="50">
        <f t="shared" si="1"/>
        <v>0.8126387507</v>
      </c>
      <c r="D29" s="53">
        <f t="shared" si="2"/>
        <v>-0.002285143347</v>
      </c>
      <c r="E29" s="54">
        <v>0.8178</v>
      </c>
      <c r="F29" s="46">
        <v>0.9959</v>
      </c>
    </row>
    <row r="30">
      <c r="A30" s="46">
        <v>30.0</v>
      </c>
      <c r="B30" s="48">
        <v>0.7972</v>
      </c>
      <c r="C30" s="50">
        <f t="shared" si="1"/>
        <v>0.7956355022</v>
      </c>
      <c r="D30" s="53">
        <f t="shared" si="2"/>
        <v>-0.001962490916</v>
      </c>
      <c r="E30" s="54">
        <v>0.8007</v>
      </c>
      <c r="F30" s="46">
        <v>0.9956</v>
      </c>
    </row>
    <row r="31">
      <c r="A31" s="46">
        <v>31.0</v>
      </c>
      <c r="B31" s="48">
        <v>0.7805</v>
      </c>
      <c r="C31" s="50">
        <f t="shared" si="1"/>
        <v>0.7792613642</v>
      </c>
      <c r="D31" s="53">
        <f t="shared" si="2"/>
        <v>-0.001586977282</v>
      </c>
      <c r="E31" s="54">
        <v>0.7842</v>
      </c>
      <c r="F31" s="46">
        <v>0.9953</v>
      </c>
    </row>
    <row r="32">
      <c r="A32" s="46">
        <v>32.0</v>
      </c>
      <c r="B32" s="48">
        <v>0.7644</v>
      </c>
      <c r="C32" s="50">
        <f t="shared" si="1"/>
        <v>0.7634826772</v>
      </c>
      <c r="D32" s="53">
        <f t="shared" si="2"/>
        <v>-0.001200056018</v>
      </c>
      <c r="E32" s="54">
        <v>0.7682</v>
      </c>
      <c r="F32" s="46">
        <v>0.995</v>
      </c>
    </row>
    <row r="33">
      <c r="A33" s="46">
        <v>33.0</v>
      </c>
      <c r="B33" s="48">
        <v>0.7488</v>
      </c>
      <c r="C33" s="50">
        <f t="shared" si="1"/>
        <v>0.7482670298</v>
      </c>
      <c r="D33" s="53">
        <f t="shared" si="2"/>
        <v>-0.0007117657958</v>
      </c>
      <c r="E33" s="54">
        <v>0.7528</v>
      </c>
      <c r="F33" s="46">
        <v>0.9947</v>
      </c>
    </row>
    <row r="34">
      <c r="A34" s="46">
        <v>34.0</v>
      </c>
      <c r="B34" s="48">
        <v>0.7337</v>
      </c>
      <c r="C34" s="50">
        <f t="shared" si="1"/>
        <v>0.7335832589</v>
      </c>
      <c r="D34" s="53">
        <f t="shared" si="2"/>
        <v>-0.0001591128367</v>
      </c>
      <c r="E34" s="54">
        <v>0.7379</v>
      </c>
      <c r="F34" s="46">
        <v>0.9944</v>
      </c>
    </row>
    <row r="35">
      <c r="A35" s="46">
        <v>35.0</v>
      </c>
      <c r="B35" s="48">
        <v>0.7191</v>
      </c>
      <c r="C35" s="50">
        <f t="shared" si="1"/>
        <v>0.7194014497</v>
      </c>
      <c r="D35" s="53">
        <f t="shared" si="2"/>
        <v>0.0004192041724</v>
      </c>
      <c r="E35" s="54">
        <v>0.7234</v>
      </c>
      <c r="F35" s="46">
        <v>0.994</v>
      </c>
    </row>
    <row r="36">
      <c r="A36" s="46">
        <v>36.0</v>
      </c>
      <c r="B36" s="48">
        <v>0.705</v>
      </c>
      <c r="C36" s="50">
        <f t="shared" si="1"/>
        <v>0.7056929355</v>
      </c>
      <c r="D36" s="53">
        <f t="shared" si="2"/>
        <v>0.0009828872879</v>
      </c>
      <c r="E36" s="54">
        <v>0.7095</v>
      </c>
      <c r="F36" s="46">
        <v>0.9937</v>
      </c>
    </row>
    <row r="37">
      <c r="A37" s="46">
        <v>37.0</v>
      </c>
      <c r="B37" s="48">
        <v>0.6913</v>
      </c>
      <c r="C37" s="50">
        <f t="shared" si="1"/>
        <v>0.6924302979</v>
      </c>
      <c r="D37" s="53">
        <f t="shared" si="2"/>
        <v>0.001635032436</v>
      </c>
      <c r="E37" s="54">
        <v>0.6959</v>
      </c>
      <c r="F37" s="46">
        <v>0.9933</v>
      </c>
    </row>
    <row r="38">
      <c r="A38" s="46">
        <v>38.0</v>
      </c>
      <c r="B38" s="48">
        <v>0.678</v>
      </c>
      <c r="C38" s="50">
        <f t="shared" si="1"/>
        <v>0.6795873667</v>
      </c>
      <c r="D38" s="53">
        <f t="shared" si="2"/>
        <v>0.002341248748</v>
      </c>
      <c r="E38" s="54">
        <v>0.6828</v>
      </c>
      <c r="F38" s="46">
        <v>0.993</v>
      </c>
    </row>
    <row r="39">
      <c r="A39" s="46">
        <v>39.0</v>
      </c>
      <c r="B39" s="48">
        <v>0.6652</v>
      </c>
      <c r="C39" s="50">
        <f t="shared" si="1"/>
        <v>0.6671392197</v>
      </c>
      <c r="D39" s="53">
        <f t="shared" si="2"/>
        <v>0.002915243111</v>
      </c>
      <c r="E39" s="54">
        <v>0.6702</v>
      </c>
      <c r="F39" s="46">
        <v>0.9926</v>
      </c>
    </row>
    <row r="40">
      <c r="A40" s="46">
        <v>40.0</v>
      </c>
      <c r="B40" s="48">
        <v>0.6527</v>
      </c>
      <c r="C40" s="50">
        <f t="shared" si="1"/>
        <v>0.6550621833</v>
      </c>
      <c r="D40" s="53">
        <f t="shared" si="2"/>
        <v>0.003619095043</v>
      </c>
      <c r="E40" s="54">
        <v>0.6579</v>
      </c>
      <c r="F40" s="46">
        <v>0.9922</v>
      </c>
    </row>
    <row r="41">
      <c r="A41" s="46">
        <v>45.0</v>
      </c>
      <c r="B41" s="48">
        <v>0.5958</v>
      </c>
      <c r="C41" s="50">
        <f t="shared" si="1"/>
        <v>0.5995024524</v>
      </c>
      <c r="D41" s="53">
        <f t="shared" si="2"/>
        <v>0.006214253805</v>
      </c>
      <c r="E41" s="54">
        <v>0.6017</v>
      </c>
      <c r="F41" s="46">
        <v>0.9902</v>
      </c>
    </row>
    <row r="42">
      <c r="A42" s="46">
        <v>50.0</v>
      </c>
      <c r="B42" s="48">
        <v>0.5465</v>
      </c>
      <c r="C42" s="50">
        <f t="shared" si="1"/>
        <v>0.5503871427</v>
      </c>
      <c r="D42" s="53">
        <f t="shared" si="2"/>
        <v>0.007112795425</v>
      </c>
      <c r="E42" s="54">
        <v>0.5531</v>
      </c>
      <c r="F42" s="46">
        <v>0.988</v>
      </c>
    </row>
    <row r="43">
      <c r="A43" s="46">
        <v>55.0</v>
      </c>
      <c r="B43" s="48">
        <v>0.5036</v>
      </c>
      <c r="C43" s="50">
        <f t="shared" si="1"/>
        <v>0.5061612763</v>
      </c>
      <c r="D43" s="53">
        <f t="shared" si="2"/>
        <v>0.005085933913</v>
      </c>
      <c r="E43" s="54">
        <v>0.5109</v>
      </c>
      <c r="F43" s="46">
        <v>0.9857</v>
      </c>
    </row>
    <row r="44">
      <c r="A44" s="46">
        <v>60.0</v>
      </c>
      <c r="B44" s="48">
        <v>0.466</v>
      </c>
      <c r="C44" s="50">
        <f t="shared" si="1"/>
        <v>0.4660500118</v>
      </c>
      <c r="D44" s="53">
        <f t="shared" si="2"/>
        <v>0.0001073214825</v>
      </c>
      <c r="E44" s="54">
        <v>0.474</v>
      </c>
      <c r="F44" s="46">
        <v>0.9832</v>
      </c>
    </row>
    <row r="45">
      <c r="A45" s="46">
        <v>65.0</v>
      </c>
      <c r="B45" s="48">
        <v>0.4329</v>
      </c>
      <c r="C45" s="50">
        <f t="shared" si="1"/>
        <v>0.4300586441</v>
      </c>
      <c r="D45" s="53">
        <f t="shared" si="2"/>
        <v>-0.006563538657</v>
      </c>
      <c r="E45" s="54">
        <v>0.4415</v>
      </c>
      <c r="F45" s="46">
        <v>0.9806</v>
      </c>
    </row>
    <row r="46">
      <c r="A46" s="46">
        <v>70.0</v>
      </c>
      <c r="B46" s="48">
        <v>0.4035</v>
      </c>
      <c r="C46" s="50">
        <f t="shared" si="1"/>
        <v>0.3989726046</v>
      </c>
      <c r="D46" s="53">
        <f t="shared" si="2"/>
        <v>-0.01122031085</v>
      </c>
      <c r="E46" s="54">
        <v>0.4127</v>
      </c>
      <c r="F46" s="46">
        <v>0.9778</v>
      </c>
    </row>
    <row r="47">
      <c r="A47" s="46">
        <v>75.0</v>
      </c>
      <c r="B47" s="48">
        <v>0.3774</v>
      </c>
      <c r="C47" s="50">
        <f t="shared" si="1"/>
        <v>0.3743574609</v>
      </c>
      <c r="D47" s="53">
        <f t="shared" si="2"/>
        <v>-0.008061841743</v>
      </c>
      <c r="E47" s="54">
        <v>0.3872</v>
      </c>
      <c r="F47" s="46">
        <v>0.9748</v>
      </c>
    </row>
    <row r="48">
      <c r="A48" s="46">
        <v>80.0</v>
      </c>
      <c r="B48" s="48">
        <v>0.354</v>
      </c>
      <c r="C48" s="50">
        <f t="shared" si="1"/>
        <v>0.3585589173</v>
      </c>
      <c r="D48" s="53">
        <f t="shared" si="2"/>
        <v>0.01287829751</v>
      </c>
      <c r="E48" s="54">
        <v>0.3643</v>
      </c>
      <c r="F48" s="46">
        <v>0.9718</v>
      </c>
    </row>
    <row r="49">
      <c r="A49" s="36" t="s">
        <v>174</v>
      </c>
      <c r="B49" s="70" t="s">
        <v>175</v>
      </c>
      <c r="C49" s="72"/>
      <c r="D49" s="73"/>
    </row>
  </sheetData>
  <hyperlinks>
    <hyperlink r:id="rId1" ref="B49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25"/>
    <col customWidth="1" min="3" max="3" width="11.63"/>
    <col customWidth="1" min="4" max="4" width="10.63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>
      <c r="A2" s="7" t="s">
        <v>10</v>
      </c>
      <c r="B2" s="8">
        <v>16.0</v>
      </c>
      <c r="C2" s="8">
        <v>70.0</v>
      </c>
      <c r="D2" s="8">
        <v>1.0</v>
      </c>
      <c r="E2" s="14">
        <f t="shared" ref="E2:E6" si="1">product(B2:D2)</f>
        <v>1120</v>
      </c>
      <c r="F2" s="17">
        <f t="shared" ref="F2:F6" si="2">$F$7*E2/$E$7</f>
        <v>30.62039958</v>
      </c>
      <c r="G2" s="17">
        <f t="shared" ref="G2:G6" si="3">F2/D2</f>
        <v>30.62039958</v>
      </c>
    </row>
    <row r="3">
      <c r="A3" s="7" t="s">
        <v>21</v>
      </c>
      <c r="B3" s="8">
        <v>8.0</v>
      </c>
      <c r="C3" s="8">
        <v>46.0</v>
      </c>
      <c r="D3" s="8">
        <v>1.0</v>
      </c>
      <c r="E3" s="14">
        <f t="shared" si="1"/>
        <v>368</v>
      </c>
      <c r="F3" s="17">
        <f t="shared" si="2"/>
        <v>10.06098843</v>
      </c>
      <c r="G3" s="17">
        <f t="shared" si="3"/>
        <v>10.06098843</v>
      </c>
    </row>
    <row r="4">
      <c r="A4" s="7" t="s">
        <v>26</v>
      </c>
      <c r="B4" s="21">
        <v>102.0</v>
      </c>
      <c r="C4" s="8">
        <v>1.0</v>
      </c>
      <c r="D4" s="8">
        <v>2.0</v>
      </c>
      <c r="E4" s="14">
        <f t="shared" si="1"/>
        <v>204</v>
      </c>
      <c r="F4" s="17">
        <f t="shared" si="2"/>
        <v>5.577287066</v>
      </c>
      <c r="G4" s="17">
        <f t="shared" si="3"/>
        <v>2.788643533</v>
      </c>
    </row>
    <row r="5">
      <c r="A5" s="7" t="s">
        <v>30</v>
      </c>
      <c r="B5" s="8">
        <v>258.0</v>
      </c>
      <c r="C5" s="8">
        <v>1.0</v>
      </c>
      <c r="D5" s="8">
        <v>2.0</v>
      </c>
      <c r="E5" s="14">
        <f t="shared" si="1"/>
        <v>516</v>
      </c>
      <c r="F5" s="17">
        <f t="shared" si="2"/>
        <v>14.10725552</v>
      </c>
      <c r="G5" s="17">
        <f t="shared" si="3"/>
        <v>7.05362776</v>
      </c>
    </row>
    <row r="6">
      <c r="A6" s="7" t="s">
        <v>31</v>
      </c>
      <c r="B6" s="8">
        <v>266.0</v>
      </c>
      <c r="C6" s="8">
        <v>1.0</v>
      </c>
      <c r="D6" s="8">
        <v>6.0</v>
      </c>
      <c r="E6" s="14">
        <f t="shared" si="1"/>
        <v>1596</v>
      </c>
      <c r="F6" s="17">
        <f t="shared" si="2"/>
        <v>43.6340694</v>
      </c>
      <c r="G6" s="17">
        <f t="shared" si="3"/>
        <v>7.2723449</v>
      </c>
    </row>
    <row r="7">
      <c r="D7" s="22" t="s">
        <v>32</v>
      </c>
      <c r="E7" s="23">
        <f>SUM(E2:E6)</f>
        <v>3804</v>
      </c>
      <c r="F7" s="8">
        <v>104.0</v>
      </c>
      <c r="G7" s="24" t="s">
        <v>33</v>
      </c>
    </row>
    <row r="8">
      <c r="E8" s="2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2025-06-23T13:57:07Z</dcterms:created>
</cp:coreProperties>
</file>