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NagleArea\sPHENIXRates\"/>
    </mc:Choice>
  </mc:AlternateContent>
  <bookViews>
    <workbookView xWindow="0" yWindow="0" windowWidth="19200" windowHeight="6620" activeTab="3"/>
  </bookViews>
  <sheets>
    <sheet name="AuAu200" sheetId="3" r:id="rId1"/>
    <sheet name="pp200" sheetId="1" r:id="rId2"/>
    <sheet name="pAu200" sheetId="2" r:id="rId3"/>
    <sheet name="RunPlan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3" l="1"/>
  <c r="X18" i="3"/>
  <c r="I16" i="4" l="1"/>
  <c r="I11" i="4"/>
  <c r="X22" i="3"/>
  <c r="X19" i="3"/>
  <c r="X16" i="3"/>
  <c r="X15" i="3" s="1"/>
  <c r="I6" i="4" l="1"/>
  <c r="D14" i="4"/>
  <c r="D9" i="4"/>
  <c r="D13" i="4"/>
  <c r="D8" i="4"/>
  <c r="E6" i="4"/>
  <c r="D11" i="4"/>
  <c r="D16" i="4"/>
  <c r="D6" i="4"/>
  <c r="H1" i="2"/>
  <c r="T21" i="3" l="1"/>
  <c r="S21" i="3"/>
  <c r="U21" i="3" s="1"/>
  <c r="P21" i="3"/>
  <c r="F16" i="4" s="1"/>
  <c r="O21" i="3"/>
  <c r="I21" i="3"/>
  <c r="H21" i="3"/>
  <c r="J21" i="3" s="1"/>
  <c r="T18" i="3"/>
  <c r="S18" i="3"/>
  <c r="U18" i="3" s="1"/>
  <c r="P18" i="3"/>
  <c r="F11" i="4" s="1"/>
  <c r="O18" i="3"/>
  <c r="I18" i="3"/>
  <c r="K18" i="3" s="1"/>
  <c r="H18" i="3"/>
  <c r="J18" i="3" s="1"/>
  <c r="X12" i="3"/>
  <c r="T15" i="3"/>
  <c r="S15" i="3"/>
  <c r="P15" i="3"/>
  <c r="F6" i="4" s="1"/>
  <c r="O15" i="3"/>
  <c r="I15" i="3"/>
  <c r="K15" i="3" s="1"/>
  <c r="H15" i="3"/>
  <c r="J15" i="3" s="1"/>
  <c r="I8" i="3"/>
  <c r="K8" i="3" s="1"/>
  <c r="H8" i="3"/>
  <c r="J8" i="3" s="1"/>
  <c r="T8" i="3"/>
  <c r="T9" i="3" s="1"/>
  <c r="S8" i="3"/>
  <c r="P8" i="3"/>
  <c r="P9" i="3" s="1"/>
  <c r="O8" i="3"/>
  <c r="I12" i="2"/>
  <c r="I10" i="2"/>
  <c r="I8" i="2"/>
  <c r="K8" i="2" s="1"/>
  <c r="H12" i="2"/>
  <c r="J12" i="2" s="1"/>
  <c r="H10" i="2"/>
  <c r="J10" i="2" s="1"/>
  <c r="H8" i="2"/>
  <c r="T12" i="2"/>
  <c r="S12" i="2"/>
  <c r="P12" i="2"/>
  <c r="F14" i="4" s="1"/>
  <c r="O12" i="2"/>
  <c r="Q12" i="2" s="1"/>
  <c r="H14" i="4" s="1"/>
  <c r="T10" i="2"/>
  <c r="S10" i="2"/>
  <c r="U10" i="2" s="1"/>
  <c r="G9" i="4" s="1"/>
  <c r="P10" i="2"/>
  <c r="O10" i="2"/>
  <c r="T8" i="2"/>
  <c r="S8" i="2"/>
  <c r="U8" i="2" s="1"/>
  <c r="P8" i="2"/>
  <c r="O8" i="2"/>
  <c r="Q8" i="2" s="1"/>
  <c r="J8" i="2"/>
  <c r="J10" i="1"/>
  <c r="K8" i="1"/>
  <c r="J8" i="1"/>
  <c r="H8" i="1"/>
  <c r="T12" i="1"/>
  <c r="T10" i="1"/>
  <c r="T8" i="1"/>
  <c r="S12" i="1"/>
  <c r="S10" i="1"/>
  <c r="S8" i="1"/>
  <c r="P12" i="1"/>
  <c r="F13" i="4" s="1"/>
  <c r="P10" i="1"/>
  <c r="F8" i="4" s="1"/>
  <c r="P8" i="1"/>
  <c r="O12" i="1"/>
  <c r="O10" i="1"/>
  <c r="O8" i="1"/>
  <c r="K12" i="2" l="1"/>
  <c r="E14" i="4"/>
  <c r="U12" i="2"/>
  <c r="G14" i="4" s="1"/>
  <c r="K10" i="2"/>
  <c r="E9" i="4"/>
  <c r="Q10" i="2"/>
  <c r="H9" i="4" s="1"/>
  <c r="F9" i="4"/>
  <c r="Q15" i="3"/>
  <c r="H6" i="4" s="1"/>
  <c r="U15" i="3"/>
  <c r="U16" i="3" s="1"/>
  <c r="K21" i="3"/>
  <c r="E16" i="4"/>
  <c r="E11" i="4"/>
  <c r="U22" i="3"/>
  <c r="G16" i="4"/>
  <c r="U19" i="3"/>
  <c r="G11" i="4"/>
  <c r="F18" i="4"/>
  <c r="Q18" i="3"/>
  <c r="Q21" i="3"/>
  <c r="U8" i="3"/>
  <c r="Q8" i="3"/>
  <c r="U12" i="1"/>
  <c r="G13" i="4" s="1"/>
  <c r="Q12" i="1"/>
  <c r="H13" i="4" s="1"/>
  <c r="I12" i="1"/>
  <c r="H12" i="1"/>
  <c r="J12" i="1" s="1"/>
  <c r="U10" i="1"/>
  <c r="I10" i="1"/>
  <c r="H10" i="1"/>
  <c r="U8" i="1"/>
  <c r="Q8" i="1"/>
  <c r="I8" i="1"/>
  <c r="Q16" i="3" l="1"/>
  <c r="G6" i="4"/>
  <c r="Q22" i="3"/>
  <c r="H16" i="4"/>
  <c r="H11" i="4"/>
  <c r="Q19" i="3"/>
  <c r="E13" i="4"/>
  <c r="K12" i="1"/>
  <c r="E8" i="4"/>
  <c r="K10" i="1"/>
  <c r="U14" i="1"/>
  <c r="G8" i="4"/>
  <c r="Q10" i="1"/>
  <c r="H8" i="4" s="1"/>
</calcChain>
</file>

<file path=xl/sharedStrings.xml><?xml version="1.0" encoding="utf-8"?>
<sst xmlns="http://schemas.openxmlformats.org/spreadsheetml/2006/main" count="146" uniqueCount="66">
  <si>
    <t>p+p @ 200 GeV</t>
  </si>
  <si>
    <t>min/week</t>
  </si>
  <si>
    <t>max/week</t>
  </si>
  <si>
    <t>minzfrac</t>
  </si>
  <si>
    <t>maxzfrac</t>
  </si>
  <si>
    <t>minpeakrate</t>
  </si>
  <si>
    <t>maxpeakrate</t>
  </si>
  <si>
    <t>RHIC uptime</t>
  </si>
  <si>
    <t>Weeks</t>
  </si>
  <si>
    <t>pb-1/wk</t>
  </si>
  <si>
    <t>ave/peak</t>
  </si>
  <si>
    <t>MIN</t>
  </si>
  <si>
    <t>MAX</t>
  </si>
  <si>
    <t>MIDDLE</t>
  </si>
  <si>
    <t xml:space="preserve">MAX </t>
  </si>
  <si>
    <t>pb-1 (ALL ZVERTICES)</t>
  </si>
  <si>
    <t>* Claim for ramp up during physics… (25% week 1, 50% week 2, 75% week 3, then steady state at median of MIN/MAX) - this means that 11.5 weeks is like 10 weeks at median</t>
  </si>
  <si>
    <t xml:space="preserve">sPHX uptime </t>
  </si>
  <si>
    <t>includes DAQ livetime</t>
  </si>
  <si>
    <t>pb-1 (WITH ZCUTS)</t>
  </si>
  <si>
    <t>Updated study j.nagle 04/20/2017</t>
  </si>
  <si>
    <t>Within zrange (for triggers)</t>
  </si>
  <si>
    <t>Total rate (for radiation/charge)</t>
  </si>
  <si>
    <t>Z Vertex Impact</t>
  </si>
  <si>
    <t>p+Au @ 200 GeV</t>
  </si>
  <si>
    <t>* Red bold values are those used in the sPHENIX Proposal - for a nominal 10 week physics run (which below equates to 11.5 weeks with ramp on)</t>
  </si>
  <si>
    <t>Au+Au @ 200 GeV</t>
  </si>
  <si>
    <t>nb-1/wk</t>
  </si>
  <si>
    <t>nb-1 (ALL ZVERTICES)</t>
  </si>
  <si>
    <t>nb-1 (WITH ZCUTS)</t>
  </si>
  <si>
    <t>* 1 nb-1 --&gt; 6.8E9 Au+Au MB events</t>
  </si>
  <si>
    <t>* Above numbers are sampled by rare triggers</t>
  </si>
  <si>
    <t>Billion Events</t>
  </si>
  <si>
    <t>** Most of the Au+Au physics comes from recording (not sampling) 100 Billion Events which just maxes out 15 kHz</t>
  </si>
  <si>
    <t xml:space="preserve">*** If luminosity above 15 kHz --&gt; then 15 kHz * Nweeks * RHIC uptime * sPHENIX uptime </t>
  </si>
  <si>
    <t>sPHENIX Proposal</t>
  </si>
  <si>
    <t>sPHENIX PROPOSAL</t>
  </si>
  <si>
    <t>dNch/deta=</t>
  </si>
  <si>
    <t>dNch/deta</t>
  </si>
  <si>
    <t>Year</t>
  </si>
  <si>
    <t>Species</t>
  </si>
  <si>
    <t>Energy</t>
  </si>
  <si>
    <t>Max dNch/deta / second</t>
  </si>
  <si>
    <t>Physics Weeks</t>
  </si>
  <si>
    <t>Sampled Evts w/ zcut</t>
  </si>
  <si>
    <t>Sampled Evts w/o zcut</t>
  </si>
  <si>
    <t>Straight MB</t>
  </si>
  <si>
    <t>Au+Au</t>
  </si>
  <si>
    <t>TPC Charge Issue</t>
  </si>
  <si>
    <t>Radiation Issue</t>
  </si>
  <si>
    <t>p+p</t>
  </si>
  <si>
    <t>p+Au</t>
  </si>
  <si>
    <t>Max Integrated dNch/deta run</t>
  </si>
  <si>
    <t>Integrated Charge over Run --&gt;</t>
  </si>
  <si>
    <t>MB Events</t>
  </si>
  <si>
    <t>Possible Sampled</t>
  </si>
  <si>
    <t>Recorded</t>
  </si>
  <si>
    <t>Mode</t>
  </si>
  <si>
    <t>* minzfrac/maxzfrac values are nominally for +/- 10 cm (this gives |eta| &lt; 1.0 coverage with 2 of 3 hits required in MAPS</t>
  </si>
  <si>
    <t>Run-AuAu-I (2022)</t>
  </si>
  <si>
    <t>Run-AuAu-II (2024)</t>
  </si>
  <si>
    <t>Run-AuAu-III (2026)</t>
  </si>
  <si>
    <t>Run-pp-I (2023)</t>
  </si>
  <si>
    <t>Run-pp-II (2025)</t>
  </si>
  <si>
    <t>Run-pAu-I (2023)</t>
  </si>
  <si>
    <t>Run-pAu-II (2025)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</si>
</sst>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E+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2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6" fillId="0" borderId="0" xfId="0" applyNumberFormat="1" applyFont="1"/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1" xfId="0" applyBorder="1"/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1" fontId="0" fillId="0" borderId="0" xfId="0" applyNumberFormat="1"/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/>
  </sheetViews>
  <sheetFormatPr defaultRowHeight="14.75" x14ac:dyDescent="0.75"/>
  <cols>
    <col min="1" max="1" width="26.1796875" customWidth="1"/>
    <col min="4" max="4" width="11.5" customWidth="1"/>
    <col min="8" max="9" width="12.1328125" customWidth="1"/>
    <col min="10" max="10" width="11.54296875" customWidth="1"/>
    <col min="11" max="11" width="11.04296875" customWidth="1"/>
    <col min="12" max="12" width="11.90625" customWidth="1"/>
    <col min="13" max="13" width="19.953125" customWidth="1"/>
    <col min="16" max="16" width="12.7265625" bestFit="1" customWidth="1"/>
    <col min="20" max="20" width="12.7265625" bestFit="1" customWidth="1"/>
    <col min="23" max="23" width="11.6796875" bestFit="1" customWidth="1"/>
    <col min="24" max="24" width="14.2265625" style="35" bestFit="1" customWidth="1"/>
  </cols>
  <sheetData>
    <row r="1" spans="1:25" ht="23.5" x14ac:dyDescent="1.1000000000000001">
      <c r="A1" s="11" t="s">
        <v>26</v>
      </c>
      <c r="B1" s="4" t="s">
        <v>20</v>
      </c>
      <c r="C1" s="1"/>
      <c r="D1" s="1"/>
      <c r="E1" s="1"/>
      <c r="F1" s="1"/>
      <c r="G1" s="1" t="s">
        <v>38</v>
      </c>
      <c r="H1" s="1">
        <v>190</v>
      </c>
      <c r="I1" s="1"/>
      <c r="J1" s="1"/>
      <c r="K1" s="1"/>
      <c r="L1" s="1"/>
      <c r="M1" s="1"/>
    </row>
    <row r="2" spans="1:25" ht="16" x14ac:dyDescent="0.8">
      <c r="A2" s="3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" ht="16" x14ac:dyDescent="0.8">
      <c r="A3" s="10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ht="16" x14ac:dyDescent="0.8">
      <c r="A4" s="14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t="s">
        <v>30</v>
      </c>
    </row>
    <row r="5" spans="1:25" ht="16" x14ac:dyDescent="0.8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t="s">
        <v>55</v>
      </c>
      <c r="S5" t="s">
        <v>55</v>
      </c>
    </row>
    <row r="6" spans="1:25" ht="16" x14ac:dyDescent="0.8">
      <c r="A6" s="3"/>
      <c r="B6" s="1"/>
      <c r="C6" s="1" t="s">
        <v>1</v>
      </c>
      <c r="D6" s="1" t="s">
        <v>2</v>
      </c>
      <c r="E6" s="4" t="s">
        <v>23</v>
      </c>
      <c r="F6" s="1"/>
      <c r="G6" s="1"/>
      <c r="H6" s="12" t="s">
        <v>22</v>
      </c>
      <c r="I6" s="13"/>
      <c r="J6" s="12" t="s">
        <v>21</v>
      </c>
      <c r="K6" s="13"/>
      <c r="L6" s="1"/>
      <c r="M6" s="1" t="s">
        <v>17</v>
      </c>
      <c r="O6" t="s">
        <v>28</v>
      </c>
      <c r="S6" t="s">
        <v>29</v>
      </c>
      <c r="X6" s="35" t="s">
        <v>56</v>
      </c>
    </row>
    <row r="7" spans="1:25" ht="16" x14ac:dyDescent="0.8">
      <c r="A7" s="3" t="s">
        <v>57</v>
      </c>
      <c r="B7" s="1" t="s">
        <v>8</v>
      </c>
      <c r="C7" s="1" t="s">
        <v>27</v>
      </c>
      <c r="D7" s="1" t="s">
        <v>27</v>
      </c>
      <c r="E7" s="15" t="s">
        <v>3</v>
      </c>
      <c r="F7" s="15" t="s">
        <v>4</v>
      </c>
      <c r="G7" s="1" t="s">
        <v>10</v>
      </c>
      <c r="H7" s="13" t="s">
        <v>5</v>
      </c>
      <c r="I7" s="13" t="s">
        <v>6</v>
      </c>
      <c r="J7" s="13" t="s">
        <v>5</v>
      </c>
      <c r="K7" s="13" t="s">
        <v>6</v>
      </c>
      <c r="L7" s="1" t="s">
        <v>7</v>
      </c>
      <c r="M7" s="1" t="s">
        <v>18</v>
      </c>
      <c r="O7" s="1" t="s">
        <v>11</v>
      </c>
      <c r="P7" s="1" t="s">
        <v>12</v>
      </c>
      <c r="Q7" s="1" t="s">
        <v>13</v>
      </c>
      <c r="S7" s="1" t="s">
        <v>11</v>
      </c>
      <c r="T7" s="1" t="s">
        <v>14</v>
      </c>
      <c r="U7" s="1" t="s">
        <v>13</v>
      </c>
      <c r="X7" s="1" t="s">
        <v>54</v>
      </c>
    </row>
    <row r="8" spans="1:25" ht="16" x14ac:dyDescent="0.8">
      <c r="A8" s="3" t="s">
        <v>35</v>
      </c>
      <c r="B8" s="1">
        <v>23.5</v>
      </c>
      <c r="C8" s="1">
        <v>3</v>
      </c>
      <c r="D8" s="7">
        <v>5.5</v>
      </c>
      <c r="E8" s="15">
        <v>0.23</v>
      </c>
      <c r="F8" s="7">
        <v>0.3</v>
      </c>
      <c r="G8" s="1">
        <v>0.6</v>
      </c>
      <c r="H8" s="2">
        <f>((C8*1000000000)*6.8)/(600000*L8*G8)</f>
        <v>94444.444444444438</v>
      </c>
      <c r="I8" s="2">
        <f>(D8*1000000000*6.8)/(600000*L8*G8)</f>
        <v>173148.14814814815</v>
      </c>
      <c r="J8" s="2">
        <f>H8*E8</f>
        <v>21722.222222222223</v>
      </c>
      <c r="K8" s="2">
        <f>I8*F8</f>
        <v>51944.444444444445</v>
      </c>
      <c r="L8" s="1">
        <v>0.6</v>
      </c>
      <c r="M8" s="7">
        <v>0.8</v>
      </c>
      <c r="O8" s="8">
        <f>(B8-1.5)*C8*M8</f>
        <v>52.800000000000004</v>
      </c>
      <c r="P8" s="6">
        <f>(B8-1.5)*D8*M8</f>
        <v>96.800000000000011</v>
      </c>
      <c r="Q8" s="8">
        <f>AVERAGE(O8,P8)</f>
        <v>74.800000000000011</v>
      </c>
      <c r="R8" s="8"/>
      <c r="S8" s="8">
        <f>(B8-1.5)*C8*E8*M8</f>
        <v>12.144000000000002</v>
      </c>
      <c r="T8" s="6">
        <f>(B8-1.5)*D8*F8*M8</f>
        <v>29.04</v>
      </c>
      <c r="U8" s="8">
        <f>AVERAGE(S8,T8)</f>
        <v>20.591999999999999</v>
      </c>
    </row>
    <row r="9" spans="1:25" ht="16" x14ac:dyDescent="0.8">
      <c r="A9" s="3"/>
      <c r="B9" s="1"/>
      <c r="C9" s="1"/>
      <c r="D9" s="1"/>
      <c r="E9" s="15"/>
      <c r="F9" s="15"/>
      <c r="G9" s="1"/>
      <c r="H9" s="1"/>
      <c r="I9" s="1"/>
      <c r="J9" s="1"/>
      <c r="K9" s="1"/>
      <c r="L9" s="1"/>
      <c r="M9" s="1"/>
      <c r="O9" s="8"/>
      <c r="P9" s="6">
        <f>P8*6800000000/1000000000</f>
        <v>658.24000000000012</v>
      </c>
      <c r="Q9" s="22" t="s">
        <v>32</v>
      </c>
      <c r="R9" s="8"/>
      <c r="S9" s="8"/>
      <c r="T9" s="24">
        <f>T8*6800000000/1000000000</f>
        <v>197.47200000000001</v>
      </c>
      <c r="U9" s="22" t="s">
        <v>32</v>
      </c>
    </row>
    <row r="10" spans="1:25" ht="16" x14ac:dyDescent="0.8">
      <c r="A10" s="3"/>
      <c r="B10" s="1"/>
      <c r="C10" s="1"/>
      <c r="D10" s="1"/>
      <c r="E10" s="15"/>
      <c r="F10" s="15"/>
      <c r="G10" s="1"/>
      <c r="H10" s="1"/>
      <c r="I10" s="1"/>
      <c r="J10" s="1"/>
      <c r="K10" s="1"/>
      <c r="L10" s="1"/>
      <c r="M10" s="1"/>
      <c r="O10" t="s">
        <v>31</v>
      </c>
      <c r="P10" s="9"/>
      <c r="Q10" s="9"/>
      <c r="R10" s="9"/>
      <c r="S10" s="9"/>
      <c r="T10" s="19"/>
      <c r="U10" s="9"/>
    </row>
    <row r="11" spans="1:25" ht="16" x14ac:dyDescent="0.8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t="s">
        <v>33</v>
      </c>
    </row>
    <row r="12" spans="1:25" x14ac:dyDescent="0.75">
      <c r="O12" t="s">
        <v>34</v>
      </c>
      <c r="X12" s="6">
        <f>15000*(B8-1.5)*600000*L8*M8/1000000000</f>
        <v>95.04</v>
      </c>
      <c r="Y12" s="5" t="s">
        <v>32</v>
      </c>
    </row>
    <row r="15" spans="1:25" ht="16" x14ac:dyDescent="0.8">
      <c r="A15" s="3" t="s">
        <v>59</v>
      </c>
      <c r="B15" s="1">
        <v>16</v>
      </c>
      <c r="C15" s="1">
        <v>3</v>
      </c>
      <c r="D15" s="1">
        <v>4.75</v>
      </c>
      <c r="E15" s="15">
        <v>0.19</v>
      </c>
      <c r="F15" s="15">
        <v>0.3</v>
      </c>
      <c r="G15" s="1">
        <v>0.6</v>
      </c>
      <c r="H15" s="2">
        <f>((C15*1000000000)*6.8)/(600000*L15*G15)</f>
        <v>94444.444444444438</v>
      </c>
      <c r="I15" s="2">
        <f>(D15*1000000000*6.8)/(600000*L15*G15)</f>
        <v>149537.03703703705</v>
      </c>
      <c r="J15" s="2">
        <f>H15*E15</f>
        <v>17944.444444444442</v>
      </c>
      <c r="K15" s="2">
        <f>I15*F15</f>
        <v>44861.111111111117</v>
      </c>
      <c r="L15" s="1">
        <v>0.6</v>
      </c>
      <c r="M15" s="7">
        <v>0.6</v>
      </c>
      <c r="O15" s="8">
        <f>(B15-1.5)*C15*M15</f>
        <v>26.099999999999998</v>
      </c>
      <c r="P15" s="8">
        <f>(B15-1.5)*D15*M15</f>
        <v>41.324999999999996</v>
      </c>
      <c r="Q15" s="6">
        <f>AVERAGE(O15,P15)</f>
        <v>33.712499999999999</v>
      </c>
      <c r="R15" s="8"/>
      <c r="S15" s="8">
        <f>(B15-1.5)*C15*E15*M15</f>
        <v>4.9590000000000005</v>
      </c>
      <c r="T15" s="23">
        <f>(B15-1.5)*D15*F15*M15</f>
        <v>12.397499999999999</v>
      </c>
      <c r="U15" s="37">
        <f>AVERAGE(S15,T15)</f>
        <v>8.6782500000000002</v>
      </c>
      <c r="X15" s="37">
        <f>X16*1000000000/6800000000</f>
        <v>6.9640941176470585</v>
      </c>
    </row>
    <row r="16" spans="1:25" ht="16" x14ac:dyDescent="0.8">
      <c r="A16" s="3"/>
      <c r="B16" s="1"/>
      <c r="C16" s="1"/>
      <c r="D16" s="1"/>
      <c r="E16" s="15"/>
      <c r="F16" s="15"/>
      <c r="G16" s="1"/>
      <c r="H16" s="1"/>
      <c r="I16" s="1"/>
      <c r="J16" s="1"/>
      <c r="K16" s="1"/>
      <c r="L16" s="1"/>
      <c r="M16" s="1"/>
      <c r="O16" s="8"/>
      <c r="P16" s="6"/>
      <c r="Q16" s="6">
        <f>Q15*6800000000/1000000000</f>
        <v>229.245</v>
      </c>
      <c r="R16" s="22" t="s">
        <v>32</v>
      </c>
      <c r="S16" s="8"/>
      <c r="T16" s="8"/>
      <c r="U16" s="24">
        <f>U15*6800000000/1000000000</f>
        <v>59.012099999999997</v>
      </c>
      <c r="V16" s="22" t="s">
        <v>32</v>
      </c>
      <c r="X16" s="6">
        <f>15000*M15*L15*(B15-1.5)*7*24*60*60/1000000000</f>
        <v>47.355840000000001</v>
      </c>
      <c r="Y16" s="5" t="s">
        <v>32</v>
      </c>
    </row>
    <row r="17" spans="1:25" ht="16" x14ac:dyDescent="0.8">
      <c r="D17" s="3"/>
      <c r="F17" s="25"/>
      <c r="X17" s="6"/>
      <c r="Y17" s="5"/>
    </row>
    <row r="18" spans="1:25" ht="16" x14ac:dyDescent="0.8">
      <c r="A18" s="3" t="s">
        <v>60</v>
      </c>
      <c r="B18" s="1">
        <v>23.5</v>
      </c>
      <c r="C18" s="1">
        <v>3</v>
      </c>
      <c r="D18" s="1">
        <v>7.02</v>
      </c>
      <c r="E18" s="15">
        <v>0.3</v>
      </c>
      <c r="F18" s="15">
        <v>0.3</v>
      </c>
      <c r="G18" s="1">
        <v>0.6</v>
      </c>
      <c r="H18" s="2">
        <f>((C18*1000000000)*6.8)/(600000*L18*G18)</f>
        <v>94444.444444444438</v>
      </c>
      <c r="I18" s="2">
        <f>(D18*1000000000*6.8)/(600000*L18*G18)</f>
        <v>221000</v>
      </c>
      <c r="J18" s="2">
        <f>H18*E18</f>
        <v>28333.333333333332</v>
      </c>
      <c r="K18" s="2">
        <f>I18*F18</f>
        <v>66300</v>
      </c>
      <c r="L18" s="1">
        <v>0.6</v>
      </c>
      <c r="M18" s="7">
        <v>0.8</v>
      </c>
      <c r="O18" s="8">
        <f>(B18-1.5)*C18*M18</f>
        <v>52.800000000000004</v>
      </c>
      <c r="P18" s="23">
        <f>(B18-1.5)*D18*M18</f>
        <v>123.55200000000001</v>
      </c>
      <c r="Q18" s="6">
        <f>AVERAGE(O18,P18)</f>
        <v>88.176000000000002</v>
      </c>
      <c r="R18" s="8"/>
      <c r="S18" s="8">
        <f>(B18-1.5)*C18*E18*M18</f>
        <v>15.840000000000002</v>
      </c>
      <c r="T18" s="23">
        <f>(B18-1.5)*D18*F18*M18</f>
        <v>37.065600000000003</v>
      </c>
      <c r="U18" s="6">
        <f>AVERAGE(S18,T18)</f>
        <v>26.452800000000003</v>
      </c>
      <c r="X18" s="6">
        <f>X19*1000000000/6800000000</f>
        <v>14.088282352941176</v>
      </c>
      <c r="Y18" s="5"/>
    </row>
    <row r="19" spans="1:25" ht="16" x14ac:dyDescent="0.8">
      <c r="A19" s="3"/>
      <c r="B19" s="1"/>
      <c r="C19" s="1"/>
      <c r="D19" s="1"/>
      <c r="E19" s="15"/>
      <c r="F19" s="15"/>
      <c r="G19" s="1"/>
      <c r="H19" s="1"/>
      <c r="I19" s="1"/>
      <c r="J19" s="1"/>
      <c r="K19" s="1"/>
      <c r="L19" s="1"/>
      <c r="M19" s="1"/>
      <c r="O19" s="8"/>
      <c r="Q19" s="6">
        <f>Q18*6800000000/1000000000</f>
        <v>599.59680000000003</v>
      </c>
      <c r="R19" s="22" t="s">
        <v>32</v>
      </c>
      <c r="S19" s="8"/>
      <c r="T19" s="8"/>
      <c r="U19" s="24">
        <f>U18*6800000000/1000000000</f>
        <v>179.87904000000003</v>
      </c>
      <c r="V19" s="22" t="s">
        <v>32</v>
      </c>
      <c r="X19" s="6">
        <f>15000*L18*M18*(B18-1.5)*7*24*60*60/1000000000</f>
        <v>95.800319999999999</v>
      </c>
      <c r="Y19" s="5" t="s">
        <v>32</v>
      </c>
    </row>
    <row r="20" spans="1:25" ht="16" x14ac:dyDescent="0.8">
      <c r="D20" s="3"/>
      <c r="F20" s="25"/>
      <c r="X20" s="6"/>
      <c r="Y20" s="5"/>
    </row>
    <row r="21" spans="1:25" ht="16" x14ac:dyDescent="0.8">
      <c r="A21" s="3" t="s">
        <v>61</v>
      </c>
      <c r="B21" s="1">
        <v>23.5</v>
      </c>
      <c r="C21" s="1">
        <v>3</v>
      </c>
      <c r="D21" s="1">
        <v>7.51</v>
      </c>
      <c r="E21" s="15">
        <v>0.3</v>
      </c>
      <c r="F21" s="15">
        <v>0.3</v>
      </c>
      <c r="G21" s="1">
        <v>0.6</v>
      </c>
      <c r="H21" s="2">
        <f>((C21*1000000000)*6.8)/(600000*L21*G21)</f>
        <v>94444.444444444438</v>
      </c>
      <c r="I21" s="2">
        <f>(D21*1000000000*6.8)/(600000*L21*G21)</f>
        <v>236425.92592592593</v>
      </c>
      <c r="J21" s="2">
        <f>H21*E21</f>
        <v>28333.333333333332</v>
      </c>
      <c r="K21" s="2">
        <f>I21*F21</f>
        <v>70927.777777777781</v>
      </c>
      <c r="L21" s="1">
        <v>0.6</v>
      </c>
      <c r="M21" s="7">
        <v>0.8</v>
      </c>
      <c r="O21" s="8">
        <f>(B21-1.5)*C21*M21</f>
        <v>52.800000000000004</v>
      </c>
      <c r="P21" s="23">
        <f>(B21-1.5)*D21*M21</f>
        <v>132.17600000000002</v>
      </c>
      <c r="Q21" s="6">
        <f>AVERAGE(O21,P21)</f>
        <v>92.488000000000014</v>
      </c>
      <c r="R21" s="8"/>
      <c r="S21" s="8">
        <f>(B21-1.5)*C21*E21*M21</f>
        <v>15.840000000000002</v>
      </c>
      <c r="T21" s="23">
        <f>(B21-1.5)*D21*F21*M21</f>
        <v>39.652799999999999</v>
      </c>
      <c r="U21" s="6">
        <f>AVERAGE(S21,T21)</f>
        <v>27.746400000000001</v>
      </c>
      <c r="X21" s="6">
        <f>X22*1000000000/6800000000</f>
        <v>14.088282352941176</v>
      </c>
      <c r="Y21" s="5"/>
    </row>
    <row r="22" spans="1:25" ht="16" x14ac:dyDescent="0.8">
      <c r="A22" s="3"/>
      <c r="B22" s="1"/>
      <c r="C22" s="1"/>
      <c r="D22" s="1"/>
      <c r="E22" s="15"/>
      <c r="F22" s="15"/>
      <c r="G22" s="1"/>
      <c r="H22" s="1"/>
      <c r="I22" s="1"/>
      <c r="J22" s="1"/>
      <c r="K22" s="1"/>
      <c r="L22" s="1"/>
      <c r="M22" s="1"/>
      <c r="O22" s="8"/>
      <c r="Q22" s="6">
        <f>Q21*6800000000/1000000000</f>
        <v>628.91840000000013</v>
      </c>
      <c r="R22" s="22" t="s">
        <v>32</v>
      </c>
      <c r="S22" s="8"/>
      <c r="T22" s="8"/>
      <c r="U22" s="24">
        <f>U21*6800000000/1000000000</f>
        <v>188.67552000000001</v>
      </c>
      <c r="V22" s="22" t="s">
        <v>32</v>
      </c>
      <c r="X22" s="6">
        <f>15000*L21*M21*(B21-1.5)*7*24*60*60/1000000000</f>
        <v>95.800319999999999</v>
      </c>
      <c r="Y22" s="5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opLeftCell="H1" workbookViewId="0">
      <selection activeCell="U12" sqref="U12"/>
    </sheetView>
  </sheetViews>
  <sheetFormatPr defaultRowHeight="16" x14ac:dyDescent="0.8"/>
  <cols>
    <col min="1" max="1" width="24.5" style="3" customWidth="1"/>
    <col min="2" max="2" width="8.7265625" style="1"/>
    <col min="3" max="3" width="10" style="1" customWidth="1"/>
    <col min="4" max="4" width="10.1328125" style="1" customWidth="1"/>
    <col min="5" max="7" width="8.7265625" style="1"/>
    <col min="8" max="8" width="14.08984375" style="1" customWidth="1"/>
    <col min="9" max="9" width="17.1796875" style="1" customWidth="1"/>
    <col min="10" max="11" width="12.58984375" style="1" customWidth="1"/>
    <col min="12" max="12" width="16.04296875" style="1" customWidth="1"/>
    <col min="13" max="13" width="21.7265625" style="1" customWidth="1"/>
  </cols>
  <sheetData>
    <row r="1" spans="1:21" ht="23.5" x14ac:dyDescent="1.1000000000000001">
      <c r="A1" s="11" t="s">
        <v>0</v>
      </c>
      <c r="B1" s="4" t="s">
        <v>20</v>
      </c>
      <c r="G1" s="1" t="s">
        <v>38</v>
      </c>
      <c r="H1" s="1">
        <v>2.29</v>
      </c>
    </row>
    <row r="2" spans="1:21" x14ac:dyDescent="0.8">
      <c r="A2" s="3" t="s">
        <v>16</v>
      </c>
    </row>
    <row r="3" spans="1:21" x14ac:dyDescent="0.8">
      <c r="A3" s="10" t="s">
        <v>25</v>
      </c>
    </row>
    <row r="4" spans="1:21" x14ac:dyDescent="0.8">
      <c r="A4" s="14" t="s">
        <v>58</v>
      </c>
    </row>
    <row r="6" spans="1:21" x14ac:dyDescent="0.8">
      <c r="C6" s="1" t="s">
        <v>1</v>
      </c>
      <c r="D6" s="1" t="s">
        <v>2</v>
      </c>
      <c r="E6" s="4" t="s">
        <v>23</v>
      </c>
      <c r="H6" s="12" t="s">
        <v>22</v>
      </c>
      <c r="I6" s="13"/>
      <c r="J6" s="12" t="s">
        <v>21</v>
      </c>
      <c r="K6" s="13"/>
      <c r="M6" s="1" t="s">
        <v>17</v>
      </c>
      <c r="O6" t="s">
        <v>15</v>
      </c>
      <c r="S6" t="s">
        <v>19</v>
      </c>
    </row>
    <row r="7" spans="1:21" x14ac:dyDescent="0.8">
      <c r="B7" s="1" t="s">
        <v>8</v>
      </c>
      <c r="C7" s="1" t="s">
        <v>9</v>
      </c>
      <c r="D7" s="1" t="s">
        <v>9</v>
      </c>
      <c r="E7" s="15" t="s">
        <v>3</v>
      </c>
      <c r="F7" s="15" t="s">
        <v>4</v>
      </c>
      <c r="G7" s="1" t="s">
        <v>10</v>
      </c>
      <c r="H7" s="13" t="s">
        <v>5</v>
      </c>
      <c r="I7" s="13" t="s">
        <v>6</v>
      </c>
      <c r="J7" s="13" t="s">
        <v>5</v>
      </c>
      <c r="K7" s="13" t="s">
        <v>6</v>
      </c>
      <c r="L7" s="1" t="s">
        <v>7</v>
      </c>
      <c r="M7" s="1" t="s">
        <v>18</v>
      </c>
      <c r="O7" s="1" t="s">
        <v>11</v>
      </c>
      <c r="P7" s="1" t="s">
        <v>12</v>
      </c>
      <c r="Q7" s="1" t="s">
        <v>13</v>
      </c>
      <c r="S7" s="1" t="s">
        <v>11</v>
      </c>
      <c r="T7" s="1" t="s">
        <v>14</v>
      </c>
      <c r="U7" s="1" t="s">
        <v>13</v>
      </c>
    </row>
    <row r="8" spans="1:21" x14ac:dyDescent="0.8">
      <c r="A8" s="3" t="s">
        <v>36</v>
      </c>
      <c r="B8" s="1">
        <v>11.5</v>
      </c>
      <c r="C8" s="1">
        <v>25</v>
      </c>
      <c r="D8" s="7">
        <v>63</v>
      </c>
      <c r="E8" s="15">
        <v>0.16</v>
      </c>
      <c r="F8" s="7">
        <v>0.35</v>
      </c>
      <c r="G8" s="1">
        <v>0.6</v>
      </c>
      <c r="H8" s="2">
        <f>((C8*1000000000000)*0.042)/(600000*L8*G8)</f>
        <v>4861111.1111111119</v>
      </c>
      <c r="I8" s="2">
        <f>(D8*1000000000000*0.042)/(600000*L8*G8)</f>
        <v>12250000</v>
      </c>
      <c r="J8" s="2">
        <f>H8*E8</f>
        <v>777777.77777777787</v>
      </c>
      <c r="K8" s="2">
        <f>I8*F8</f>
        <v>4287500</v>
      </c>
      <c r="L8" s="1">
        <v>0.6</v>
      </c>
      <c r="M8" s="7">
        <v>0.8</v>
      </c>
      <c r="O8" s="8">
        <f>(B8-1.5)*C8*M8</f>
        <v>200</v>
      </c>
      <c r="P8" s="6">
        <f>(B8-1.5)*D8*M8</f>
        <v>504</v>
      </c>
      <c r="Q8" s="8">
        <f>AVERAGE(O8,P8)</f>
        <v>352</v>
      </c>
      <c r="R8" s="8"/>
      <c r="S8" s="8">
        <f>(B8-1.5)*C8*E8*M8</f>
        <v>32</v>
      </c>
      <c r="T8" s="6">
        <f>(B8-1.5)*D8*F8*M8</f>
        <v>176.4</v>
      </c>
      <c r="U8" s="8">
        <f>AVERAGE(S8,T8)</f>
        <v>104.2</v>
      </c>
    </row>
    <row r="9" spans="1:21" x14ac:dyDescent="0.8">
      <c r="E9" s="15"/>
      <c r="F9" s="15"/>
      <c r="O9" s="8"/>
      <c r="P9" s="8"/>
      <c r="Q9" s="8"/>
      <c r="R9" s="8"/>
      <c r="S9" s="8"/>
      <c r="T9" s="8"/>
      <c r="U9" s="8"/>
    </row>
    <row r="10" spans="1:21" x14ac:dyDescent="0.8">
      <c r="A10" s="3" t="s">
        <v>62</v>
      </c>
      <c r="B10" s="1">
        <v>11.5</v>
      </c>
      <c r="C10" s="1">
        <v>25</v>
      </c>
      <c r="D10" s="1">
        <v>64</v>
      </c>
      <c r="E10" s="15">
        <v>0.16</v>
      </c>
      <c r="F10" s="15">
        <v>0.19</v>
      </c>
      <c r="G10" s="1">
        <v>0.6</v>
      </c>
      <c r="H10" s="2">
        <f>((C10*1000000000000)*0.042)/(600000*L10*G10)</f>
        <v>4861111.1111111119</v>
      </c>
      <c r="I10" s="2">
        <f>(D10*1000000000000*0.042)/(600000*L10*G10)</f>
        <v>12444444.444444444</v>
      </c>
      <c r="J10" s="2">
        <f>H10*E10</f>
        <v>777777.77777777787</v>
      </c>
      <c r="K10" s="2">
        <f>I10*F10</f>
        <v>2364444.4444444445</v>
      </c>
      <c r="L10" s="1">
        <v>0.6</v>
      </c>
      <c r="M10" s="1">
        <v>0.6</v>
      </c>
      <c r="O10" s="8">
        <f>(B10-1.5)*C10*M10</f>
        <v>150</v>
      </c>
      <c r="P10" s="8">
        <f>(B10-1.5)*D10*M10</f>
        <v>384</v>
      </c>
      <c r="Q10" s="21">
        <f>AVERAGE(O10,P10)</f>
        <v>267</v>
      </c>
      <c r="R10" s="8"/>
      <c r="S10" s="8">
        <f>(B10-1.5)*C10*E10*M10</f>
        <v>24</v>
      </c>
      <c r="T10" s="8">
        <f>(B10-1.5)*D10*F10*M10</f>
        <v>72.959999999999994</v>
      </c>
      <c r="U10" s="21">
        <f>AVERAGE(S10,T10)</f>
        <v>48.48</v>
      </c>
    </row>
    <row r="11" spans="1:21" x14ac:dyDescent="0.8">
      <c r="E11" s="15"/>
      <c r="F11" s="15"/>
      <c r="O11" s="9"/>
      <c r="P11" s="9"/>
      <c r="Q11" s="9"/>
      <c r="R11" s="9"/>
      <c r="S11" s="9"/>
      <c r="T11" s="9"/>
      <c r="U11" s="9"/>
    </row>
    <row r="12" spans="1:21" x14ac:dyDescent="0.8">
      <c r="A12" s="3" t="s">
        <v>63</v>
      </c>
      <c r="B12" s="1">
        <v>23.5</v>
      </c>
      <c r="C12" s="1">
        <v>25</v>
      </c>
      <c r="D12" s="1">
        <v>64</v>
      </c>
      <c r="E12" s="15">
        <v>0.19</v>
      </c>
      <c r="F12" s="15">
        <v>0.19</v>
      </c>
      <c r="G12" s="1">
        <v>0.6</v>
      </c>
      <c r="H12" s="2">
        <f>((C12*1000000000000)*0.042)/(600000*L12*G12)</f>
        <v>4861111.1111111119</v>
      </c>
      <c r="I12" s="2">
        <f>(D12*1000000000000*0.042)/(600000*L12*G12)</f>
        <v>12444444.444444444</v>
      </c>
      <c r="J12" s="2">
        <f>H12*E12</f>
        <v>923611.11111111124</v>
      </c>
      <c r="K12" s="2">
        <f>I12*F12</f>
        <v>2364444.4444444445</v>
      </c>
      <c r="L12" s="1">
        <v>0.6</v>
      </c>
      <c r="M12" s="1">
        <v>0.8</v>
      </c>
      <c r="O12" s="8">
        <f>(B12-1.5)*C12*M12</f>
        <v>440</v>
      </c>
      <c r="P12" s="8">
        <f>(B12-1.5)*D12*M12</f>
        <v>1126.4000000000001</v>
      </c>
      <c r="Q12" s="21">
        <f>AVERAGE(O12,P12)</f>
        <v>783.2</v>
      </c>
      <c r="R12" s="8"/>
      <c r="S12" s="8">
        <f>(B12-1.5)*C12*E12*M12</f>
        <v>83.600000000000009</v>
      </c>
      <c r="T12" s="8">
        <f>(B12-1.5)*D12*F12*M12</f>
        <v>214.01599999999999</v>
      </c>
      <c r="U12" s="21">
        <f>AVERAGE(S12,T12)</f>
        <v>148.80799999999999</v>
      </c>
    </row>
    <row r="14" spans="1:21" x14ac:dyDescent="0.8">
      <c r="U14" s="36">
        <f>SUM(U10,U12)</f>
        <v>197.28799999999998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opLeftCell="L1" workbookViewId="0">
      <selection activeCell="U10" sqref="U10"/>
    </sheetView>
  </sheetViews>
  <sheetFormatPr defaultRowHeight="14.75" x14ac:dyDescent="0.75"/>
  <cols>
    <col min="1" max="1" width="26.04296875" customWidth="1"/>
    <col min="8" max="8" width="10.58984375" customWidth="1"/>
    <col min="9" max="9" width="10.7265625" customWidth="1"/>
    <col min="10" max="10" width="10.5" customWidth="1"/>
    <col min="11" max="11" width="13.90625" customWidth="1"/>
    <col min="12" max="12" width="11.2265625" customWidth="1"/>
    <col min="13" max="13" width="20.36328125" customWidth="1"/>
  </cols>
  <sheetData>
    <row r="1" spans="1:21" ht="23.5" x14ac:dyDescent="1.1000000000000001">
      <c r="A1" s="11" t="s">
        <v>24</v>
      </c>
      <c r="B1" s="4" t="s">
        <v>20</v>
      </c>
      <c r="C1" s="1"/>
      <c r="D1" s="1"/>
      <c r="E1" s="1"/>
      <c r="F1" s="1"/>
      <c r="G1" s="1" t="s">
        <v>37</v>
      </c>
      <c r="H1" s="1">
        <f>2.29*4</f>
        <v>9.16</v>
      </c>
      <c r="I1" s="1"/>
      <c r="J1" s="1"/>
      <c r="K1" s="1"/>
      <c r="L1" s="1"/>
      <c r="M1" s="1"/>
    </row>
    <row r="2" spans="1:21" ht="16" x14ac:dyDescent="0.8">
      <c r="A2" s="3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ht="16" x14ac:dyDescent="0.8">
      <c r="A3" s="10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16" x14ac:dyDescent="0.8">
      <c r="A4" s="14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ht="16" x14ac:dyDescent="0.8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6" x14ac:dyDescent="0.8">
      <c r="A6" s="3"/>
      <c r="B6" s="1"/>
      <c r="C6" s="1" t="s">
        <v>1</v>
      </c>
      <c r="D6" s="1" t="s">
        <v>2</v>
      </c>
      <c r="E6" s="4" t="s">
        <v>23</v>
      </c>
      <c r="F6" s="1"/>
      <c r="G6" s="1"/>
      <c r="H6" s="12" t="s">
        <v>22</v>
      </c>
      <c r="I6" s="13"/>
      <c r="J6" s="12" t="s">
        <v>21</v>
      </c>
      <c r="K6" s="13"/>
      <c r="L6" s="1"/>
      <c r="M6" s="1" t="s">
        <v>17</v>
      </c>
      <c r="O6" t="s">
        <v>15</v>
      </c>
      <c r="S6" t="s">
        <v>19</v>
      </c>
    </row>
    <row r="7" spans="1:21" ht="16" x14ac:dyDescent="0.8">
      <c r="A7" s="3"/>
      <c r="B7" s="1" t="s">
        <v>8</v>
      </c>
      <c r="C7" s="1" t="s">
        <v>9</v>
      </c>
      <c r="D7" s="1" t="s">
        <v>9</v>
      </c>
      <c r="E7" s="15" t="s">
        <v>3</v>
      </c>
      <c r="F7" s="15" t="s">
        <v>4</v>
      </c>
      <c r="G7" s="1" t="s">
        <v>10</v>
      </c>
      <c r="H7" s="13" t="s">
        <v>5</v>
      </c>
      <c r="I7" s="13" t="s">
        <v>6</v>
      </c>
      <c r="J7" s="13" t="s">
        <v>5</v>
      </c>
      <c r="K7" s="13" t="s">
        <v>6</v>
      </c>
      <c r="L7" s="1" t="s">
        <v>7</v>
      </c>
      <c r="M7" s="1" t="s">
        <v>18</v>
      </c>
      <c r="O7" s="1" t="s">
        <v>11</v>
      </c>
      <c r="P7" s="1" t="s">
        <v>12</v>
      </c>
      <c r="Q7" s="1" t="s">
        <v>13</v>
      </c>
      <c r="S7" s="1" t="s">
        <v>11</v>
      </c>
      <c r="T7" s="1" t="s">
        <v>14</v>
      </c>
      <c r="U7" s="1" t="s">
        <v>13</v>
      </c>
    </row>
    <row r="8" spans="1:21" ht="16" x14ac:dyDescent="0.8">
      <c r="A8" s="3" t="s">
        <v>36</v>
      </c>
      <c r="B8" s="1">
        <v>11.5</v>
      </c>
      <c r="C8" s="1">
        <v>0.14000000000000001</v>
      </c>
      <c r="D8" s="7">
        <v>0.4</v>
      </c>
      <c r="E8" s="15">
        <v>0.16</v>
      </c>
      <c r="F8" s="16">
        <v>0.35</v>
      </c>
      <c r="G8" s="1">
        <v>0.6</v>
      </c>
      <c r="H8" s="2">
        <f>((C8*1000000000000)*1.71)/(600000*L8*G8)</f>
        <v>1108333.3333333333</v>
      </c>
      <c r="I8" s="2">
        <f>(D8*1000000000000*1.71)/(600000*L8*G8)</f>
        <v>3166666.6666666665</v>
      </c>
      <c r="J8" s="2">
        <f>H8*E8</f>
        <v>177333.33333333331</v>
      </c>
      <c r="K8" s="2">
        <f>I8*F8</f>
        <v>1108333.3333333333</v>
      </c>
      <c r="L8" s="1">
        <v>0.6</v>
      </c>
      <c r="M8" s="7">
        <v>0.8</v>
      </c>
      <c r="O8" s="17">
        <f>(B8-1.5)*C8*M8</f>
        <v>1.1200000000000001</v>
      </c>
      <c r="P8" s="18">
        <f>(B8-1.5)*D8*M8</f>
        <v>3.2</v>
      </c>
      <c r="Q8" s="17">
        <f>AVERAGE(O8,P8)</f>
        <v>2.16</v>
      </c>
      <c r="R8" s="17"/>
      <c r="S8" s="17">
        <f>(B8-1.5)*C8*E8*M8</f>
        <v>0.17920000000000003</v>
      </c>
      <c r="T8" s="18">
        <f>(B8-1.5)*D8*F8*M8</f>
        <v>1.1199999999999999</v>
      </c>
      <c r="U8" s="17">
        <f>AVERAGE(S8,T8)</f>
        <v>0.64959999999999996</v>
      </c>
    </row>
    <row r="9" spans="1:21" ht="16" x14ac:dyDescent="0.8">
      <c r="A9" s="3"/>
      <c r="B9" s="1"/>
      <c r="C9" s="1"/>
      <c r="D9" s="1"/>
      <c r="E9" s="15"/>
      <c r="F9" s="15"/>
      <c r="G9" s="1"/>
      <c r="H9" s="1"/>
      <c r="I9" s="1"/>
      <c r="J9" s="1"/>
      <c r="K9" s="1"/>
      <c r="L9" s="1"/>
      <c r="M9" s="1"/>
      <c r="O9" s="17"/>
      <c r="P9" s="17"/>
      <c r="Q9" s="17"/>
      <c r="R9" s="17"/>
      <c r="S9" s="17"/>
      <c r="T9" s="17"/>
      <c r="U9" s="17"/>
    </row>
    <row r="10" spans="1:21" ht="16" x14ac:dyDescent="0.8">
      <c r="A10" s="3" t="s">
        <v>64</v>
      </c>
      <c r="B10" s="1">
        <v>11.5</v>
      </c>
      <c r="C10" s="1">
        <v>0.14000000000000001</v>
      </c>
      <c r="D10" s="1">
        <v>0.34699999999999998</v>
      </c>
      <c r="E10" s="15">
        <v>0.17</v>
      </c>
      <c r="F10" s="15">
        <v>0.25</v>
      </c>
      <c r="G10" s="1">
        <v>0.6</v>
      </c>
      <c r="H10" s="2">
        <f>((C10*1000000000000)*1.71)/(600000*L10*G10)</f>
        <v>1108333.3333333333</v>
      </c>
      <c r="I10" s="2">
        <f>(D10*1000000000000*1.71)/(600000*L10*G10)</f>
        <v>2747083.3333333335</v>
      </c>
      <c r="J10" s="2">
        <f>H10*E10</f>
        <v>188416.66666666666</v>
      </c>
      <c r="K10" s="2">
        <f>I10*F10</f>
        <v>686770.83333333337</v>
      </c>
      <c r="L10" s="1">
        <v>0.6</v>
      </c>
      <c r="M10" s="1">
        <v>0.6</v>
      </c>
      <c r="O10" s="17">
        <f>(B10-1.5)*C10*M10</f>
        <v>0.84000000000000008</v>
      </c>
      <c r="P10" s="17">
        <f>(B10-1.5)*D10*M10</f>
        <v>2.0819999999999999</v>
      </c>
      <c r="Q10" s="17">
        <f>AVERAGE(O10,P10)</f>
        <v>1.4609999999999999</v>
      </c>
      <c r="R10" s="17"/>
      <c r="S10" s="17">
        <f>(B10-1.5)*C10*E10*M10</f>
        <v>0.14280000000000001</v>
      </c>
      <c r="T10" s="17">
        <f>(B10-1.5)*D10*F10*M10</f>
        <v>0.52049999999999996</v>
      </c>
      <c r="U10" s="20">
        <f>AVERAGE(S10,T10)</f>
        <v>0.33165</v>
      </c>
    </row>
    <row r="11" spans="1:21" ht="16" x14ac:dyDescent="0.8">
      <c r="A11" s="3"/>
      <c r="B11" s="1"/>
      <c r="C11" s="1"/>
      <c r="D11" s="1"/>
      <c r="E11" s="15"/>
      <c r="F11" s="15"/>
      <c r="G11" s="1"/>
      <c r="H11" s="1"/>
      <c r="I11" s="1"/>
      <c r="J11" s="1"/>
      <c r="K11" s="1"/>
      <c r="L11" s="1"/>
      <c r="M11" s="1"/>
      <c r="O11" s="19"/>
      <c r="P11" s="19"/>
      <c r="Q11" s="19"/>
      <c r="R11" s="19"/>
      <c r="S11" s="19"/>
      <c r="T11" s="19"/>
      <c r="U11" s="19"/>
    </row>
    <row r="12" spans="1:21" ht="16" x14ac:dyDescent="0.8">
      <c r="A12" s="3" t="s">
        <v>65</v>
      </c>
      <c r="B12" s="1">
        <v>0</v>
      </c>
      <c r="C12" s="1">
        <v>0.14000000000000001</v>
      </c>
      <c r="D12" s="1">
        <v>0.39200000000000002</v>
      </c>
      <c r="E12" s="15">
        <v>0.17</v>
      </c>
      <c r="F12" s="15">
        <v>0.25</v>
      </c>
      <c r="G12" s="1">
        <v>0.6</v>
      </c>
      <c r="H12" s="2">
        <f>((C12*1000000000000)*1.71)/(600000*L12*G12)</f>
        <v>1108333.3333333333</v>
      </c>
      <c r="I12" s="2">
        <f>(D12*1000000000000*1.71)/(600000*L12*G12)</f>
        <v>3103333.3333333335</v>
      </c>
      <c r="J12" s="2">
        <f>H12*E12</f>
        <v>188416.66666666666</v>
      </c>
      <c r="K12" s="2">
        <f>I12*F12</f>
        <v>775833.33333333337</v>
      </c>
      <c r="L12" s="1">
        <v>0.6</v>
      </c>
      <c r="M12" s="1">
        <v>0.8</v>
      </c>
      <c r="O12" s="17">
        <f>(B12-1.5)*C12*M12</f>
        <v>-0.16800000000000004</v>
      </c>
      <c r="P12" s="17">
        <f>(B12-1.5)*D12*M12</f>
        <v>-0.4704000000000001</v>
      </c>
      <c r="Q12" s="17">
        <f>AVERAGE(O12,P12)</f>
        <v>-0.31920000000000004</v>
      </c>
      <c r="R12" s="17"/>
      <c r="S12" s="17">
        <f>(B12-1.5)*C12*E12*M12</f>
        <v>-2.8560000000000002E-2</v>
      </c>
      <c r="T12" s="17">
        <f>(B12-1.5)*D12*F12*M12</f>
        <v>-0.11760000000000002</v>
      </c>
      <c r="U12" s="20">
        <f>AVERAGE(S12,T12)</f>
        <v>-7.3080000000000006E-2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D14" sqref="D14"/>
    </sheetView>
  </sheetViews>
  <sheetFormatPr defaultRowHeight="14.75" x14ac:dyDescent="0.75"/>
  <cols>
    <col min="1" max="1" width="11.58984375" customWidth="1"/>
    <col min="2" max="2" width="13.36328125" customWidth="1"/>
    <col min="3" max="3" width="12" customWidth="1"/>
    <col min="4" max="4" width="14.6796875" customWidth="1"/>
    <col min="5" max="5" width="27.953125" customWidth="1"/>
    <col min="6" max="6" width="27.58984375" customWidth="1"/>
    <col min="7" max="7" width="20.81640625" customWidth="1"/>
    <col min="8" max="8" width="21.04296875" customWidth="1"/>
    <col min="9" max="9" width="12.54296875" customWidth="1"/>
  </cols>
  <sheetData>
    <row r="3" spans="1:9" x14ac:dyDescent="0.75">
      <c r="E3" t="s">
        <v>48</v>
      </c>
      <c r="F3" t="s">
        <v>49</v>
      </c>
    </row>
    <row r="4" spans="1:9" s="27" customFormat="1" x14ac:dyDescent="0.75">
      <c r="A4" s="29" t="s">
        <v>39</v>
      </c>
      <c r="B4" s="29" t="s">
        <v>40</v>
      </c>
      <c r="C4" s="29" t="s">
        <v>41</v>
      </c>
      <c r="D4" s="29" t="s">
        <v>43</v>
      </c>
      <c r="E4" s="29" t="s">
        <v>42</v>
      </c>
      <c r="F4" s="29" t="s">
        <v>52</v>
      </c>
      <c r="G4" s="29" t="s">
        <v>44</v>
      </c>
      <c r="H4" s="29" t="s">
        <v>45</v>
      </c>
      <c r="I4" s="29" t="s">
        <v>46</v>
      </c>
    </row>
    <row r="5" spans="1:9" x14ac:dyDescent="0.75">
      <c r="A5" s="28"/>
      <c r="B5" s="28"/>
      <c r="C5" s="28"/>
      <c r="D5" s="28"/>
      <c r="E5" s="28"/>
      <c r="F5" s="28"/>
      <c r="G5" s="28"/>
      <c r="H5" s="28"/>
      <c r="I5" s="28"/>
    </row>
    <row r="6" spans="1:9" s="26" customFormat="1" x14ac:dyDescent="0.75">
      <c r="A6" s="30">
        <v>2022</v>
      </c>
      <c r="B6" s="30" t="s">
        <v>47</v>
      </c>
      <c r="C6" s="30">
        <v>200</v>
      </c>
      <c r="D6" s="30">
        <f>AuAu200!B15</f>
        <v>16</v>
      </c>
      <c r="E6" s="31">
        <f>AuAu200!H1*AuAu200!I15</f>
        <v>28412037.037037041</v>
      </c>
      <c r="F6" s="31">
        <f>AuAu200!H1*AuAu200!P15*6800000000</f>
        <v>53391899999999.992</v>
      </c>
      <c r="G6" s="31">
        <f>AuAu200!U15*6800000000</f>
        <v>59012100000</v>
      </c>
      <c r="H6" s="31">
        <f>AuAu200!Q15*6800000000</f>
        <v>229245000000</v>
      </c>
      <c r="I6" s="31">
        <f>AuAu200!X16*1000000000</f>
        <v>47355840000</v>
      </c>
    </row>
    <row r="7" spans="1:9" s="26" customFormat="1" x14ac:dyDescent="0.75">
      <c r="A7" s="30"/>
      <c r="B7" s="30"/>
      <c r="C7" s="30"/>
      <c r="D7" s="30"/>
      <c r="E7" s="31"/>
      <c r="F7" s="31"/>
      <c r="G7" s="31"/>
      <c r="H7" s="31"/>
      <c r="I7" s="31"/>
    </row>
    <row r="8" spans="1:9" s="26" customFormat="1" x14ac:dyDescent="0.75">
      <c r="A8" s="30">
        <v>2023</v>
      </c>
      <c r="B8" s="30" t="s">
        <v>50</v>
      </c>
      <c r="C8" s="30">
        <v>200</v>
      </c>
      <c r="D8" s="30">
        <f>'pp200'!B10</f>
        <v>11.5</v>
      </c>
      <c r="E8" s="31">
        <f>'pp200'!H1*'pp200'!I10</f>
        <v>28497777.777777776</v>
      </c>
      <c r="F8" s="31">
        <f>'pp200'!H1*42000000000*'pp200'!P10</f>
        <v>36933120000000</v>
      </c>
      <c r="G8" s="31">
        <f>'pp200'!U10*42000000000</f>
        <v>2036159999999.9998</v>
      </c>
      <c r="H8" s="31">
        <f>'pp200'!Q10*42000000000</f>
        <v>11214000000000</v>
      </c>
      <c r="I8" s="31"/>
    </row>
    <row r="9" spans="1:9" s="26" customFormat="1" x14ac:dyDescent="0.75">
      <c r="A9" s="30"/>
      <c r="B9" s="30" t="s">
        <v>51</v>
      </c>
      <c r="C9" s="30">
        <v>200</v>
      </c>
      <c r="D9" s="30">
        <f>'pAu200'!B10</f>
        <v>11.5</v>
      </c>
      <c r="E9" s="31">
        <f>'pAu200'!H1*'pAu200'!I10</f>
        <v>25163283.333333336</v>
      </c>
      <c r="F9" s="31">
        <f>'pAu200'!H1*'pAu200'!P10*1700000000000</f>
        <v>32420904000000</v>
      </c>
      <c r="G9" s="31">
        <f>'pAu200'!U10*1700000000000</f>
        <v>563805000000</v>
      </c>
      <c r="H9" s="31">
        <f>'pAu200'!Q10*1700000000000</f>
        <v>2483699999999.9995</v>
      </c>
      <c r="I9" s="31"/>
    </row>
    <row r="10" spans="1:9" s="26" customFormat="1" x14ac:dyDescent="0.75">
      <c r="A10" s="30"/>
      <c r="B10" s="30"/>
      <c r="C10" s="30"/>
      <c r="D10" s="30"/>
      <c r="E10" s="31"/>
      <c r="F10" s="31"/>
      <c r="G10" s="31"/>
      <c r="H10" s="31"/>
      <c r="I10" s="31"/>
    </row>
    <row r="11" spans="1:9" s="26" customFormat="1" x14ac:dyDescent="0.75">
      <c r="A11" s="30">
        <v>2024</v>
      </c>
      <c r="B11" s="30" t="s">
        <v>47</v>
      </c>
      <c r="C11" s="30">
        <v>200</v>
      </c>
      <c r="D11" s="30">
        <f>AuAu200!B18</f>
        <v>23.5</v>
      </c>
      <c r="E11" s="31">
        <f>AuAu200!H1*AuAu200!I21</f>
        <v>44920925.925925925</v>
      </c>
      <c r="F11" s="31">
        <f>AuAu200!H1*AuAu200!P18*6800000000</f>
        <v>159629184000000</v>
      </c>
      <c r="G11" s="31">
        <f>AuAu200!U18*6800000000</f>
        <v>179879040000.00003</v>
      </c>
      <c r="H11" s="31">
        <f>AuAu200!Q18*6800000000</f>
        <v>599596800000</v>
      </c>
      <c r="I11" s="31">
        <f>AuAu200!X19*1000000000</f>
        <v>95800320000</v>
      </c>
    </row>
    <row r="12" spans="1:9" s="26" customFormat="1" x14ac:dyDescent="0.75">
      <c r="A12" s="30"/>
      <c r="B12" s="30"/>
      <c r="C12" s="30"/>
      <c r="D12" s="30"/>
      <c r="E12" s="31"/>
      <c r="F12" s="31"/>
      <c r="G12" s="31"/>
      <c r="H12" s="31"/>
      <c r="I12" s="31"/>
    </row>
    <row r="13" spans="1:9" s="26" customFormat="1" x14ac:dyDescent="0.75">
      <c r="A13" s="30">
        <v>2025</v>
      </c>
      <c r="B13" s="30" t="s">
        <v>50</v>
      </c>
      <c r="C13" s="30">
        <v>200</v>
      </c>
      <c r="D13" s="30">
        <f>'pp200'!B12</f>
        <v>23.5</v>
      </c>
      <c r="E13" s="31">
        <f>'pp200'!H1*'pp200'!I12</f>
        <v>28497777.777777776</v>
      </c>
      <c r="F13" s="31">
        <f>'pp200'!H1*'pp200'!P12*43000000000</f>
        <v>110916608000000</v>
      </c>
      <c r="G13" s="31">
        <f>'pp200'!U12*42000000000</f>
        <v>6249936000000</v>
      </c>
      <c r="H13" s="31">
        <f>'pp200'!Q12*42000000000</f>
        <v>32894400000000</v>
      </c>
      <c r="I13" s="31"/>
    </row>
    <row r="14" spans="1:9" s="26" customFormat="1" x14ac:dyDescent="0.75">
      <c r="A14" s="30"/>
      <c r="B14" s="30" t="s">
        <v>51</v>
      </c>
      <c r="C14" s="30">
        <v>200</v>
      </c>
      <c r="D14" s="30">
        <f>'pAu200'!B12</f>
        <v>0</v>
      </c>
      <c r="E14" s="31">
        <f>'pAu200'!H1*'pAu200'!I12</f>
        <v>28426533.333333336</v>
      </c>
      <c r="F14" s="31">
        <f>'pAu200'!H1*'pAu200'!P12*1700000000000</f>
        <v>-7325068800000.001</v>
      </c>
      <c r="G14" s="31">
        <f>'pAu200'!U12*1700000000000</f>
        <v>-124236000000.00002</v>
      </c>
      <c r="H14" s="31">
        <f>'pAu200'!Q12*1700000000000</f>
        <v>-542640000000.00006</v>
      </c>
      <c r="I14" s="31"/>
    </row>
    <row r="15" spans="1:9" s="26" customFormat="1" x14ac:dyDescent="0.75">
      <c r="A15" s="30"/>
      <c r="B15" s="30"/>
      <c r="C15" s="30"/>
      <c r="D15" s="30"/>
      <c r="E15" s="31"/>
      <c r="F15" s="31"/>
      <c r="G15" s="31"/>
      <c r="H15" s="31"/>
      <c r="I15" s="31"/>
    </row>
    <row r="16" spans="1:9" s="26" customFormat="1" x14ac:dyDescent="0.75">
      <c r="A16" s="30">
        <v>2026</v>
      </c>
      <c r="B16" s="30" t="s">
        <v>47</v>
      </c>
      <c r="C16" s="30">
        <v>200</v>
      </c>
      <c r="D16" s="30">
        <f>AuAu200!B21</f>
        <v>23.5</v>
      </c>
      <c r="E16" s="31">
        <f>AuAu200!H1*AuAu200!I21</f>
        <v>44920925.925925925</v>
      </c>
      <c r="F16" s="31">
        <f>AuAu200!H1*AuAu200!P21*6800000000</f>
        <v>170771392000000.03</v>
      </c>
      <c r="G16" s="31">
        <f>AuAu200!U21*6800000000</f>
        <v>188675520000</v>
      </c>
      <c r="H16" s="31">
        <f>AuAu200!Q21*6800000000</f>
        <v>628918400000.00012</v>
      </c>
      <c r="I16" s="31">
        <f>AuAu200!X22*1000000000</f>
        <v>95800320000</v>
      </c>
    </row>
    <row r="17" spans="1:9" x14ac:dyDescent="0.75">
      <c r="A17" s="28"/>
      <c r="B17" s="28"/>
      <c r="C17" s="28"/>
      <c r="D17" s="28"/>
      <c r="E17" s="32"/>
      <c r="F17" s="32"/>
      <c r="G17" s="32"/>
      <c r="H17" s="32"/>
      <c r="I17" s="32"/>
    </row>
    <row r="18" spans="1:9" x14ac:dyDescent="0.75">
      <c r="A18" s="28"/>
      <c r="B18" s="28"/>
      <c r="C18" s="28"/>
      <c r="D18" s="28"/>
      <c r="E18" s="34" t="s">
        <v>53</v>
      </c>
      <c r="F18" s="33">
        <f>SUM(F5:F16)</f>
        <v>556738039200000</v>
      </c>
      <c r="G18" s="28"/>
      <c r="H18" s="28"/>
      <c r="I18" s="28"/>
    </row>
    <row r="19" spans="1:9" x14ac:dyDescent="0.75">
      <c r="A19" s="28"/>
      <c r="B19" s="28"/>
      <c r="C19" s="28"/>
      <c r="D19" s="28"/>
      <c r="E19" s="28"/>
      <c r="F19" s="28"/>
      <c r="G19" s="28"/>
      <c r="H19" s="28"/>
      <c r="I19" s="28"/>
    </row>
    <row r="20" spans="1:9" x14ac:dyDescent="0.75">
      <c r="A20" s="28"/>
      <c r="B20" s="28"/>
      <c r="C20" s="28"/>
      <c r="D20" s="28"/>
      <c r="E20" s="28"/>
      <c r="F20" s="28"/>
      <c r="G20" s="28"/>
      <c r="H20" s="28"/>
      <c r="I20" s="28"/>
    </row>
    <row r="21" spans="1:9" x14ac:dyDescent="0.75">
      <c r="A21" s="28"/>
      <c r="B21" s="28"/>
      <c r="C21" s="28"/>
      <c r="D21" s="28"/>
      <c r="E21" s="28"/>
      <c r="F21" s="28"/>
      <c r="G21" s="28"/>
      <c r="H21" s="28"/>
      <c r="I21" s="28"/>
    </row>
    <row r="22" spans="1:9" x14ac:dyDescent="0.75">
      <c r="A22" s="28"/>
      <c r="B22" s="28"/>
      <c r="C22" s="28"/>
      <c r="D22" s="28"/>
      <c r="E22" s="28"/>
      <c r="F22" s="28"/>
      <c r="G22" s="28"/>
      <c r="H22" s="28"/>
      <c r="I22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AuAu200</vt:lpstr>
      <vt:lpstr>pp200</vt:lpstr>
      <vt:lpstr>pAu200</vt:lpstr>
      <vt:lpstr>RunPlan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Nagle</dc:creator>
  <cp:lastModifiedBy>Jamie Nagle</cp:lastModifiedBy>
  <dcterms:created xsi:type="dcterms:W3CDTF">2017-04-20T17:13:53Z</dcterms:created>
  <dcterms:modified xsi:type="dcterms:W3CDTF">2018-06-14T15:17:56Z</dcterms:modified>
</cp:coreProperties>
</file>