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BA98B079-438B-43E2-B9EC-345BF65AF9CB}" xr6:coauthVersionLast="41" xr6:coauthVersionMax="41" xr10:uidLastSave="{00000000-0000-0000-0000-000000000000}"/>
  <bookViews>
    <workbookView xWindow="-108" yWindow="-108" windowWidth="23256" windowHeight="12576" tabRatio="500" firstSheet="3" activeTab="6" xr2:uid="{00000000-000D-0000-FFFF-FFFF00000000}"/>
  </bookViews>
  <sheets>
    <sheet name="Nav" sheetId="9" r:id="rId1"/>
    <sheet name="Felix 1.5-Summary" sheetId="1" r:id="rId2"/>
    <sheet name="Felix 2.0-Summary" sheetId="20" r:id="rId3"/>
    <sheet name="Production-Summary" sheetId="21" r:id="rId4"/>
    <sheet name="Felix 1.5--Details" sheetId="10" r:id="rId5"/>
    <sheet name="Felix 2.0--Details" sheetId="18" r:id="rId6"/>
    <sheet name="Production--Details" sheetId="19" r:id="rId7"/>
    <sheet name="Quotations - v1.5 Peripheral" sheetId="4" r:id="rId8"/>
    <sheet name="Quotations - v2.0 Fiber" sheetId="22" r:id="rId9"/>
    <sheet name="Quotations - Production Fiber" sheetId="26" r:id="rId10"/>
    <sheet name="Quote - Clock Distribution" sheetId="23" r:id="rId11"/>
    <sheet name="Quote - FELIX production" sheetId="25" r:id="rId12"/>
    <sheet name="Quote - EBDC" sheetId="24" r:id="rId13"/>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37" i="18" l="1"/>
  <c r="F43" i="19"/>
  <c r="G43" i="19" s="1"/>
  <c r="F47" i="19"/>
  <c r="G45" i="19" s="1"/>
  <c r="G40" i="19"/>
  <c r="G41" i="18"/>
  <c r="F27" i="19" l="1"/>
  <c r="E82" i="21" l="1"/>
  <c r="E81" i="21"/>
  <c r="F82" i="20"/>
  <c r="G37" i="19"/>
  <c r="F36" i="19"/>
  <c r="F33" i="19"/>
  <c r="G33" i="19" s="1"/>
  <c r="F28" i="18"/>
  <c r="I25" i="18"/>
  <c r="O3" i="18"/>
  <c r="F5" i="18" l="1"/>
  <c r="I4" i="18" s="1"/>
  <c r="D18" i="18"/>
  <c r="H18" i="18"/>
  <c r="D19" i="18"/>
  <c r="H19" i="18"/>
  <c r="D20" i="18"/>
  <c r="H20" i="18"/>
  <c r="D21" i="18"/>
  <c r="H21" i="18"/>
  <c r="D22" i="18"/>
  <c r="H22" i="18"/>
  <c r="D23" i="18"/>
  <c r="H23" i="18"/>
  <c r="D24" i="18"/>
  <c r="H24" i="18"/>
  <c r="H17" i="18"/>
  <c r="D17" i="18"/>
  <c r="H55" i="18"/>
  <c r="F22" i="18" s="1"/>
  <c r="N22" i="18" s="1"/>
  <c r="H52" i="18"/>
  <c r="F19" i="18" s="1"/>
  <c r="N19" i="18" s="1"/>
  <c r="H49" i="18"/>
  <c r="H48" i="18"/>
  <c r="F15" i="18"/>
  <c r="N15" i="18" s="1"/>
  <c r="F14" i="18"/>
  <c r="N14" i="18" s="1"/>
  <c r="F8" i="18"/>
  <c r="F26" i="19"/>
  <c r="H15" i="18"/>
  <c r="D15" i="18"/>
  <c r="H14" i="18"/>
  <c r="D14" i="18"/>
  <c r="F13" i="18"/>
  <c r="N13" i="18" s="1"/>
  <c r="F12" i="18"/>
  <c r="N12" i="18" s="1"/>
  <c r="F11" i="18"/>
  <c r="N11" i="18" s="1"/>
  <c r="F10" i="18"/>
  <c r="N10" i="18" s="1"/>
  <c r="F9" i="18"/>
  <c r="N9" i="18" s="1"/>
  <c r="F5" i="19"/>
  <c r="M5" i="19" s="1"/>
  <c r="N3" i="19"/>
  <c r="F9" i="19"/>
  <c r="M9" i="19" s="1"/>
  <c r="F8" i="19"/>
  <c r="M8" i="19" s="1"/>
  <c r="F7" i="19"/>
  <c r="M7" i="19" s="1"/>
  <c r="F10" i="19"/>
  <c r="M10" i="19" s="1"/>
  <c r="F6" i="19"/>
  <c r="M6" i="19" s="1"/>
  <c r="F12" i="19"/>
  <c r="M12" i="19" s="1"/>
  <c r="F11" i="19"/>
  <c r="M11" i="19" s="1"/>
  <c r="F23" i="19"/>
  <c r="H12" i="19"/>
  <c r="H14" i="19"/>
  <c r="H15" i="19"/>
  <c r="H16" i="19"/>
  <c r="H17" i="19"/>
  <c r="H18" i="19"/>
  <c r="H19" i="19"/>
  <c r="H20" i="19"/>
  <c r="H21" i="19"/>
  <c r="H11" i="19"/>
  <c r="M4" i="19" l="1"/>
  <c r="N8" i="18"/>
  <c r="N7" i="18" s="1"/>
  <c r="I7" i="18"/>
  <c r="H53" i="18"/>
  <c r="F20" i="18" s="1"/>
  <c r="N20" i="18" s="1"/>
  <c r="H50" i="18"/>
  <c r="F17" i="18" s="1"/>
  <c r="H51" i="18"/>
  <c r="F18" i="18" s="1"/>
  <c r="N18" i="18" s="1"/>
  <c r="H54" i="18"/>
  <c r="F21" i="18" s="1"/>
  <c r="N21" i="18" s="1"/>
  <c r="H57" i="18"/>
  <c r="F24" i="18" s="1"/>
  <c r="N24" i="18" s="1"/>
  <c r="G64" i="19"/>
  <c r="H64" i="19" s="1"/>
  <c r="G66" i="19"/>
  <c r="H66" i="19" s="1"/>
  <c r="D21" i="19"/>
  <c r="H58" i="19"/>
  <c r="H57" i="19"/>
  <c r="G63" i="19"/>
  <c r="G61" i="19"/>
  <c r="H61" i="19" s="1"/>
  <c r="G60" i="19"/>
  <c r="G59" i="19"/>
  <c r="H59" i="19" s="1"/>
  <c r="N17" i="18" l="1"/>
  <c r="H56" i="18"/>
  <c r="F23" i="18" s="1"/>
  <c r="N23" i="18" s="1"/>
  <c r="F57" i="19"/>
  <c r="J57" i="19" s="1"/>
  <c r="F58" i="19"/>
  <c r="J58" i="19" s="1"/>
  <c r="I4" i="19"/>
  <c r="I81" i="21" s="1"/>
  <c r="F59" i="19"/>
  <c r="J59" i="19" s="1"/>
  <c r="F14" i="19" s="1"/>
  <c r="M14" i="19" s="1"/>
  <c r="F66" i="19"/>
  <c r="J66" i="19" s="1"/>
  <c r="F21" i="19" s="1"/>
  <c r="M21" i="19" s="1"/>
  <c r="F64" i="19"/>
  <c r="J64" i="19" s="1"/>
  <c r="F19" i="19" s="1"/>
  <c r="M19" i="19" s="1"/>
  <c r="G65" i="19"/>
  <c r="H63" i="19"/>
  <c r="F63" i="19" s="1"/>
  <c r="J63" i="19" s="1"/>
  <c r="F18" i="19" s="1"/>
  <c r="M18" i="19" s="1"/>
  <c r="G62" i="19"/>
  <c r="F61" i="19"/>
  <c r="J61" i="19" s="1"/>
  <c r="F16" i="19" s="1"/>
  <c r="M16" i="19" s="1"/>
  <c r="H60" i="19"/>
  <c r="F60" i="19" s="1"/>
  <c r="J60" i="19" s="1"/>
  <c r="F15" i="19" s="1"/>
  <c r="M15" i="19" s="1"/>
  <c r="D11" i="19"/>
  <c r="D12" i="19"/>
  <c r="D19" i="19"/>
  <c r="D16" i="19"/>
  <c r="D15" i="19"/>
  <c r="D17" i="19"/>
  <c r="D18" i="19"/>
  <c r="D20" i="19"/>
  <c r="D14" i="19"/>
  <c r="I16" i="18" l="1"/>
  <c r="H62" i="19"/>
  <c r="F62" i="19" s="1"/>
  <c r="J62" i="19" s="1"/>
  <c r="F17" i="19" s="1"/>
  <c r="M17" i="19" s="1"/>
  <c r="H65" i="19"/>
  <c r="F65" i="19" s="1"/>
  <c r="J65" i="19" s="1"/>
  <c r="F20" i="19" s="1"/>
  <c r="M20" i="19" s="1"/>
  <c r="J39" i="18"/>
  <c r="F24" i="19"/>
  <c r="F25" i="19"/>
  <c r="I82" i="20" l="1"/>
  <c r="J3" i="18"/>
  <c r="N16" i="18"/>
  <c r="I13" i="19"/>
  <c r="I82" i="21" s="1"/>
  <c r="F52" i="19"/>
  <c r="F51" i="19"/>
  <c r="F53" i="19" s="1"/>
  <c r="G48" i="19"/>
  <c r="F39" i="18"/>
  <c r="F38" i="18"/>
  <c r="F34" i="18"/>
  <c r="F36" i="18"/>
  <c r="F35" i="18"/>
  <c r="F18" i="10"/>
  <c r="F17" i="10"/>
  <c r="G40" i="18"/>
  <c r="F22" i="10"/>
  <c r="M82" i="1"/>
  <c r="G19" i="10"/>
  <c r="G17" i="10"/>
  <c r="G15" i="10"/>
  <c r="E81" i="20"/>
  <c r="F83" i="20"/>
  <c r="I81" i="20"/>
  <c r="N6" i="21"/>
  <c r="N6" i="20"/>
  <c r="E82" i="1"/>
  <c r="E83" i="21"/>
  <c r="F29" i="19"/>
  <c r="I22" i="19" s="1"/>
  <c r="I83" i="20"/>
  <c r="I4" i="10"/>
  <c r="J3" i="10" s="1"/>
  <c r="I82" i="1" l="1"/>
  <c r="G22" i="10"/>
  <c r="F44" i="18"/>
  <c r="M84" i="20" s="1"/>
  <c r="M13" i="19"/>
  <c r="O4" i="19"/>
  <c r="I84" i="20"/>
  <c r="G38" i="18"/>
  <c r="J3" i="19"/>
  <c r="I84" i="21" s="1"/>
  <c r="M84" i="21"/>
  <c r="I83" i="21"/>
  <c r="G34" i="18"/>
  <c r="G51" i="19"/>
  <c r="G53" i="19" s="1"/>
  <c r="G44" i="18" l="1"/>
</calcChain>
</file>

<file path=xl/sharedStrings.xml><?xml version="1.0" encoding="utf-8"?>
<sst xmlns="http://schemas.openxmlformats.org/spreadsheetml/2006/main" count="547" uniqueCount="210">
  <si>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</si>
  <si>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</si>
  <si>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</si>
  <si>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</si>
  <si>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</si>
  <si>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</si>
  <si>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</si>
  <si>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</si>
  <si>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</si>
  <si>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</si>
  <si>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</si>
  <si>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</si>
  <si>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</si>
  <si>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</si>
  <si>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</si>
  <si>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</si>
  <si>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</si>
  <si>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</si>
  <si>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</si>
  <si>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</si>
  <si>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</si>
  <si>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</si>
  <si>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</si>
  <si>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</si>
  <si>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</si>
  <si>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</si>
  <si>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</si>
  <si>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</si>
  <si>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</si>
  <si>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</si>
  <si>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</si>
  <si>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</si>
  <si>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</si>
  <si>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</si>
  <si>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</si>
  <si>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DELIVERED</t>
  </si>
  <si>
    <t>Pending</t>
  </si>
  <si>
    <t>Experience</t>
  </si>
  <si>
    <t>(follow link for detailed summary)</t>
  </si>
  <si>
    <t>X</t>
  </si>
  <si>
    <t>Grand Total</t>
  </si>
  <si>
    <t>TPC DAM Evaluation --FELIX 1.5</t>
  </si>
  <si>
    <t>Develop TPC DAM prototype v1 Test Stand</t>
  </si>
  <si>
    <t>Nexys Video Artix-7 FPGA: Trainer Board</t>
  </si>
  <si>
    <t>Digilent, Inc.</t>
  </si>
  <si>
    <t>FELIX v1.5 Prototype PCIe card</t>
  </si>
  <si>
    <t>ATLAS DAQ Group</t>
  </si>
  <si>
    <t>Borrowed device</t>
  </si>
  <si>
    <t>DAQ server</t>
  </si>
  <si>
    <t>PHENIX DAQ Group</t>
  </si>
  <si>
    <t>2x 48-fiber MTP to 12-fiber breakout cables</t>
  </si>
  <si>
    <t>Computer Crafts Inc.</t>
  </si>
  <si>
    <t>Quote</t>
  </si>
  <si>
    <t>12-fiber MTP/MPO - LC Cassettes</t>
  </si>
  <si>
    <t>6x LC duplex fiber</t>
  </si>
  <si>
    <t>Peripheral accessories and cables</t>
  </si>
  <si>
    <t>Many</t>
  </si>
  <si>
    <t>TPC DAM Evaluation -- FELIX 2.0</t>
  </si>
  <si>
    <t>BNL ATLAS DAQ Group</t>
  </si>
  <si>
    <t>Microway</t>
  </si>
  <si>
    <t>FPGA Algorithm development</t>
  </si>
  <si>
    <t>TPC timing distribution board prototype - PCB</t>
  </si>
  <si>
    <t>TPC timing mezzanine prototype - PCB</t>
  </si>
  <si>
    <t>Avnet</t>
  </si>
  <si>
    <t>SMT Chip Resistor Capacitor</t>
  </si>
  <si>
    <t>Digikey</t>
  </si>
  <si>
    <t>TPC DAM Production</t>
  </si>
  <si>
    <t>TPC timing distribution board - PCB, 1cnt + 1 spare</t>
  </si>
  <si>
    <t>TPC timing mezzanine - PCB, 24cnt + 20% spare</t>
  </si>
  <si>
    <t xml:space="preserve"> TPC DAM</t>
  </si>
  <si>
    <t>TPC DAM Evaluation -- FELIX 1.5</t>
  </si>
  <si>
    <t>Jin Huang</t>
  </si>
  <si>
    <t>TPC DAM Evaluation --FELIX 2.0</t>
  </si>
  <si>
    <t>The test stand for this project will require handling of purely digital information.  As such, we can generate simulated data using a commercial ATRIX 7 FPGA.</t>
  </si>
  <si>
    <t>We have assumed that the sPHENIX experiment will make use of the FELIX board developed for ATLAS as our DAM module.  As a result we rely on ATLAS to bear all cost of the develment of these boards.  Our task is then reduced to evluating the board performance as compared to our known throughput specifications.  Furthermore, we have made an agreement that the FELIX 2.0 version board used for tests will be purchased rather than borrowed.</t>
  </si>
  <si>
    <t>The estimate includes production, quality assurance, and installation of the DAM system.  Fiber costs are born in this WBS rather than in the TPC FEE to which the DAM module is connected.</t>
  </si>
  <si>
    <r>
      <rPr>
        <b/>
        <u/>
        <sz val="12"/>
        <color theme="1"/>
        <rFont val="Calibri"/>
        <family val="2"/>
        <scheme val="minor"/>
      </rPr>
      <t xml:space="preserve">TECHNICAL SCOPE: </t>
    </r>
    <r>
      <rPr>
        <sz val="12"/>
        <color theme="1"/>
        <rFont val="Calibri"/>
        <family val="2"/>
        <scheme val="minor"/>
      </rPr>
      <t xml:space="preserve">
CONTAINS ALL TASKS WHICH ARE REQUIRED TO EVALUATE THE DAM WITH THE PROTOTYPE V1 (FELIX 1.5 SYSTEM).
</t>
    </r>
    <r>
      <rPr>
        <b/>
        <u/>
        <sz val="12"/>
        <color theme="1"/>
        <rFont val="Calibri"/>
        <family val="2"/>
        <scheme val="minor"/>
      </rPr>
      <t xml:space="preserve">WORK STATEMENT: </t>
    </r>
    <r>
      <rPr>
        <sz val="12"/>
        <color theme="1"/>
        <rFont val="Calibri"/>
        <family val="2"/>
        <scheme val="minor"/>
      </rPr>
      <t xml:space="preserve">
DESIGN, DEVELOP, AND MEASURE DAM PROTOTYPE V1 PROPERTIES . 
</t>
    </r>
  </si>
  <si>
    <t>We have assumed that the sPHENIX experiment will make use of the FELIX board developed for ATLAS as our DAM module.  As a result we rely on ATLAS to bear all cost of the develment of these boards.  Our task is then reduced to evluating the board performance as compared to our known throughput specifications.  Furthermore, we have made an agreement that the FELIX 1.5 version board used for initial tests will be borrowed instead of bought.  Therefore our initial testing of the borrowed Felix 1.5 board requires little more than connectors.</t>
  </si>
  <si>
    <r>
      <rPr>
        <b/>
        <u/>
        <sz val="12"/>
        <color theme="1"/>
        <rFont val="Calibri"/>
        <family val="2"/>
        <scheme val="minor"/>
      </rPr>
      <t xml:space="preserve">TECHNICAL SCOPE: </t>
    </r>
    <r>
      <rPr>
        <sz val="12"/>
        <color theme="1"/>
        <rFont val="Calibri"/>
        <family val="2"/>
        <scheme val="minor"/>
      </rPr>
      <t xml:space="preserve">
CONTAINS ALL TASKS WHICH ARE REQUIRED TO EVALUATE THE DAM WITH THE PROTOTYPE V2 (FELIX 2.0 SYSTEM).
</t>
    </r>
    <r>
      <rPr>
        <b/>
        <u/>
        <sz val="12"/>
        <color theme="1"/>
        <rFont val="Calibri"/>
        <family val="2"/>
        <scheme val="minor"/>
      </rPr>
      <t xml:space="preserve">WORK STATEMENT: </t>
    </r>
    <r>
      <rPr>
        <sz val="12"/>
        <color theme="1"/>
        <rFont val="Calibri"/>
        <family val="2"/>
        <scheme val="minor"/>
      </rPr>
      <t xml:space="preserve">
PROCURE, DEVELOP, AND MEASURE DAM PROTOTYPE V2 PROPERTIES. 
</t>
    </r>
  </si>
  <si>
    <t>The test stand for this project will require handling of purely digital information.  As such, we can generate simulated data using a commercial ATRIX 7 FPGA as well as data generated y early FEE prototypes.  Out test stand will have unique requirements to generate simluated TPC data streams.  We will use eth ATRIX to perform this function.</t>
  </si>
  <si>
    <r>
      <rPr>
        <b/>
        <u/>
        <sz val="12"/>
        <color theme="1"/>
        <rFont val="Calibri"/>
        <family val="2"/>
        <scheme val="minor"/>
      </rPr>
      <t xml:space="preserve">TECHNICAL SCOPE: </t>
    </r>
    <r>
      <rPr>
        <sz val="12"/>
        <color theme="1"/>
        <rFont val="Calibri"/>
        <family val="2"/>
        <scheme val="minor"/>
      </rPr>
      <t xml:space="preserve">
CONTAINS ALL TASKS WHICH ARE REQUIRED TO PRODUCE THE DAM FOR THE TPC.
</t>
    </r>
    <r>
      <rPr>
        <b/>
        <u/>
        <sz val="12"/>
        <color theme="1"/>
        <rFont val="Calibri"/>
        <family val="2"/>
        <scheme val="minor"/>
      </rPr>
      <t xml:space="preserve">WORK STATEMENT: </t>
    </r>
    <r>
      <rPr>
        <sz val="12"/>
        <color theme="1"/>
        <rFont val="Calibri"/>
        <family val="2"/>
        <scheme val="minor"/>
      </rPr>
      <t xml:space="preserve">
PROCURE ALL PARTS AND PERFOM QA TESTING FOR THE FINAL TPC DAM. 
</t>
    </r>
  </si>
  <si>
    <t xml:space="preserve">We assume that FELIX production 2.0 version will suit our needs.  Furthermore, we assume that we will require one FELIX card per TPC sector, housed in its own high speed PC.  Costs for the 12 core rack servers are included in the scope of this WBS rather than as a part of infrastructure.  Additionally, we carry partial costs of the timing distributuion system as approproate for our system's fractional load. </t>
  </si>
  <si>
    <t>Quote: CCI/F26268P302-001</t>
  </si>
  <si>
    <t>Catalog: AFBR-709DMZ</t>
  </si>
  <si>
    <t>Task</t>
  </si>
  <si>
    <t>Cost</t>
  </si>
  <si>
    <t xml:space="preserve">
</t>
  </si>
  <si>
    <t>1.02.06</t>
  </si>
  <si>
    <t>1.02.06.1</t>
  </si>
  <si>
    <t>1.02.06.2</t>
  </si>
  <si>
    <t>1.02.06.3</t>
  </si>
  <si>
    <t>1.02.06.03</t>
  </si>
  <si>
    <t>1.02.06.02</t>
  </si>
  <si>
    <t>1.02.06.01</t>
  </si>
  <si>
    <t>Actual cost</t>
  </si>
  <si>
    <t>Cost Summary (FY17 Direct)</t>
  </si>
  <si>
    <t>Entries into  the detailed Cost Summary (FY17 Direct) have been color coded based upon the apropriate levek iof Estimate Uncertainty that is applied to the item with green being the lowest Estimate Uncertainty and red being the highest.   The total cost at this stage is $1.6k which rises to $2.0k when including Estimate Uncertainty.  NOTE that borrowing of existing parts is only possible at this stage since ATLAS is finished with development of the FELIX 1.5  We will be required to pay full costs when moving onto FELIX 2.0</t>
  </si>
  <si>
    <t>Estimate Uncertainty</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</si>
  <si>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t>
  </si>
  <si>
    <t>Entries into  the detailed Cost Summary (FY17 Direct) have been color coded based upon the apropriate levek iof Estimate Uncertainty that is applied to the item with green being the lowest Estimate Uncertainty and red being the highest.  Our cost for the pre-production and  Estimate Uncertainty is summarized below:</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</si>
  <si>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  We take 25% Estimate Uncertainty on the ATLAS board following the advice of ATLAS.  Cabling and power is taken at 20% based upon vendor quotes.  The rest of the peripherals which are not fully specified are set at 40% Estimate Uncertainty.</t>
  </si>
  <si>
    <t>Entries into  the detailed Cost Summary (FY17 Direct) have been color coded based upon the apropriate levek iof Estimate Uncertainty that is applied to the item with green being the lowest Estimate Uncertainty and red being the highest.  The cost before Estimate Uncertainty and with Estimate Uncertainty are summarized below.</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</si>
  <si>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  We have used guidance from ATLAS to set the FELIX board Estimate Uncertainty at 25% and all other components of the final DAM module production are set to 40% Estimate Uncertainty.</t>
  </si>
  <si>
    <t>Material</t>
  </si>
  <si>
    <t>Labor</t>
  </si>
  <si>
    <t>Justification</t>
  </si>
  <si>
    <t>Category</t>
  </si>
  <si>
    <t>Hours</t>
  </si>
  <si>
    <t>TOTAL</t>
  </si>
  <si>
    <t>PROF</t>
  </si>
  <si>
    <t>TECH</t>
  </si>
  <si>
    <t>Measure TPC DAM prototype v1 Throughput</t>
  </si>
  <si>
    <t>Write Design Spec for TPC DAM prototype v1</t>
  </si>
  <si>
    <t>SCI</t>
  </si>
  <si>
    <t>Similar to STAR ITS Upgarde</t>
  </si>
  <si>
    <t>Similar to PHENIX DAQ tests</t>
  </si>
  <si>
    <t>Similar to STAR ITS Upgrade</t>
  </si>
  <si>
    <t>Develop TPC DAM FPGA Algorithm</t>
  </si>
  <si>
    <t>Measure Throughput of FELIX 2.0 for TPC DAM</t>
  </si>
  <si>
    <t>Procure FELIX 2.0 board for TPC DAM - Provide Requirements to Procurement</t>
  </si>
  <si>
    <t>Test Full TPC DAM System</t>
  </si>
  <si>
    <t>Procure TPC DAM Felix 2.0 boards - Provide Requirements to Procurement</t>
  </si>
  <si>
    <t>Procure of TPC EDBC Computers and Peripherals - Provide Requirements to Procurement</t>
  </si>
  <si>
    <t>Perform QA Testing on TPC DAM FELIX 2.0 boards</t>
  </si>
  <si>
    <t>STUD</t>
  </si>
  <si>
    <t>Similar to PHENIX Event Builder</t>
  </si>
  <si>
    <t>Similar to multiple DAQ stress tests in PHENIX</t>
  </si>
  <si>
    <t>Similar to PHENIX muon tracker system</t>
  </si>
  <si>
    <t>Labor Hours</t>
  </si>
  <si>
    <t>Procure TPC DAM Felix 2.0 boards  (DAQ THROUGHPPUT TEST)</t>
  </si>
  <si>
    <t>Procure FELIX 2.0 board for TPC DAM</t>
  </si>
  <si>
    <t>because the work has been completed</t>
  </si>
  <si>
    <t>TPC DAM Felix 2.0 Bandwidth test in 1008</t>
  </si>
  <si>
    <t>Production</t>
  </si>
  <si>
    <t>Procure TPC DAM Felix 2.0 boards</t>
  </si>
  <si>
    <t>Part Number</t>
  </si>
  <si>
    <t>Quantity</t>
  </si>
  <si>
    <t>CCI/56348-MT</t>
  </si>
  <si>
    <t>CCI/1000450-18I-48F</t>
  </si>
  <si>
    <t>CCI/100106</t>
  </si>
  <si>
    <t>CCI/1000681-L</t>
  </si>
  <si>
    <t>MTP-48(M) to 4 x PRIZM-12 Fiber Assembly</t>
  </si>
  <si>
    <t>CCI/1000681-S</t>
  </si>
  <si>
    <t>MTP Coupler</t>
  </si>
  <si>
    <t>Unit price</t>
  </si>
  <si>
    <t>CCI/F26268P302-001</t>
  </si>
  <si>
    <t>COUPLER LC/LC Duplex, Aqua, Zirconia Sleeve</t>
  </si>
  <si>
    <t>1U 19" 12 port MPO feedthru panel with 12X MPO couplers.</t>
  </si>
  <si>
    <t>48F MTP(M) - LC Hydra assembly 900um OM3 18" length</t>
  </si>
  <si>
    <t>Spare</t>
  </si>
  <si>
    <t>Total Price</t>
  </si>
  <si>
    <t>LC to LC duplex Uni-Boot, 2mm OM3 Aqua, 1 meter length</t>
  </si>
  <si>
    <t>48-fiber MTP (F)-MTP (F) on OM3 cable, Polarity straight, 3m</t>
  </si>
  <si>
    <t>48-fiber MTP (F)-MTP (M) on OM3 cable, Polarity straight, 58m</t>
  </si>
  <si>
    <t>Used</t>
  </si>
  <si>
    <t>48-fiber MTP (F)-MTP (M) on OM3 cable, Polarity straight, 15m</t>
  </si>
  <si>
    <t>CCI/T40418PF48-058?</t>
  </si>
  <si>
    <t>CCI/T40408PF48-003?</t>
  </si>
  <si>
    <t>CCI/T40418PF48-015?</t>
  </si>
  <si>
    <t>Quote: Aberdeen server</t>
  </si>
  <si>
    <t>4U rack servers, 24cnt + 20% spare</t>
  </si>
  <si>
    <t>Field programing gate arrays, Xilinx (XLX), XCKU115-2FLVF1924E</t>
  </si>
  <si>
    <t>AVNET</t>
  </si>
  <si>
    <t>Quote: AVNET 701913858</t>
  </si>
  <si>
    <t>PCB</t>
  </si>
  <si>
    <t>Assembly</t>
  </si>
  <si>
    <t>AA-Tech</t>
  </si>
  <si>
    <t>Small Components for FELIX</t>
  </si>
  <si>
    <t>Optical data fiber and distribution</t>
  </si>
  <si>
    <t>Digikey/Mouser</t>
  </si>
  <si>
    <t>TTM Technologies</t>
  </si>
  <si>
    <t>Quote: TTM 602848-0</t>
  </si>
  <si>
    <t>MiniPOD Transmitter, AFBR-814FH1Z</t>
  </si>
  <si>
    <t>MiniPOD Receiver, AFBR-824FH1Z</t>
  </si>
  <si>
    <t>AVNET Web Quote Feb 2018</t>
  </si>
  <si>
    <t>Recent production cost of same board by the BNL ATLAS Group</t>
  </si>
  <si>
    <t>New Item</t>
  </si>
  <si>
    <t>P6-Feb Comparison</t>
  </si>
  <si>
    <t>SFP+ Optical TX/RX, 48cnt + 25% spare</t>
  </si>
  <si>
    <t>Unit Price</t>
  </si>
  <si>
    <t>Procure Full Set of Data Fiber for Design Validation</t>
  </si>
  <si>
    <t>FELIX v2.0 Pre-Production PCIe cards</t>
  </si>
  <si>
    <t>4U rack servers</t>
  </si>
  <si>
    <t>&lt;- Reduced with new transceiver quote</t>
  </si>
  <si>
    <t>Combined to above</t>
  </si>
  <si>
    <t>Probably before P6 baseline</t>
  </si>
  <si>
    <t>&lt;- moved to here from 1st task</t>
  </si>
  <si>
    <t>SFP+ Optical TX/RX, 10cnt + 50% spare</t>
  </si>
  <si>
    <t>Included in last task</t>
  </si>
  <si>
    <t>Reduced with Xilinx donation</t>
  </si>
  <si>
    <t>P6 Feb 2019</t>
  </si>
  <si>
    <t>&lt;- Need to move in P6</t>
  </si>
  <si>
    <t>CCI/T40418PF48-015</t>
  </si>
  <si>
    <t>CCI/T40418PF48-058</t>
  </si>
  <si>
    <t>CCI/T40408PF48-003</t>
  </si>
  <si>
    <t>LC duplex fiber, 24cnt + 25% spare</t>
  </si>
  <si>
    <t>Fiber BOM</t>
  </si>
  <si>
    <t>138 v3</t>
  </si>
  <si>
    <t>This entire WBS has been collected into FY17/FY18 Actuals in the RLS</t>
  </si>
  <si>
    <t>Activity</t>
  </si>
  <si>
    <t>Removed from sum; completed in FY2018</t>
  </si>
  <si>
    <t>Activity to be added to P6</t>
  </si>
  <si>
    <t>TBD</t>
  </si>
  <si>
    <t>144800--</t>
  </si>
  <si>
    <t>Task left out when split procurement strings</t>
  </si>
  <si>
    <t>Develop TPC DAM FPGA Algorithm - Round 2</t>
  </si>
  <si>
    <t>Procure TPC EDBC Computers and Peripherals</t>
  </si>
  <si>
    <t>Procure TPC DAM Felix 2.0 Optical Components - Provide Requirements to Procurement</t>
  </si>
  <si>
    <t>Develop TPC DAM FPGA Algorithm - Round 3 (Planning package)</t>
  </si>
  <si>
    <t>Check labor mix vs P6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</si>
</sst>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_);[Red]\(&quot;$&quot;#,##0\)"/>
    <numFmt numFmtId="44" formatCode="_(&quot;$&quot;* #,##0.00_);_(&quot;$&quot;* \(#,##0.00\);_(&quot;$&quot;* &quot;-&quot;??_);_(@_)"/>
    <numFmt numFmtId="164" formatCode="&quot;$&quot;#,##0"/>
    <numFmt numFmtId="165" formatCode="&quot;$&quot;#,##0.00"/>
    <numFmt numFmtId="166" formatCode="_([$$-409]* #,##0.00_);_([$$-409]* \(#,##0.00\);_([$$-409]* &quot;-&quot;??_);_(@_)"/>
  </numFmts>
  <fonts count="29"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name val="Calibri"/>
      <family val="2"/>
      <scheme val="minor"/>
    </font>
    <font>
      <sz val="12"/>
      <name val="Calibri"/>
      <family val="2"/>
      <scheme val="minor"/>
    </font>
    <font>
      <sz val="11"/>
      <color rgb="FF000000"/>
      <name val="Calibri"/>
      <family val="2"/>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1"/>
      <name val="Calibri"/>
      <family val="2"/>
      <scheme val="minor"/>
    </font>
    <font>
      <i/>
      <sz val="11"/>
      <color rgb="FF7F7F7F"/>
      <name val="Calibri"/>
      <family val="2"/>
      <scheme val="minor"/>
    </font>
    <font>
      <b/>
      <sz val="11"/>
      <name val="Calibri"/>
      <family val="2"/>
      <scheme val="minor"/>
    </font>
    <font>
      <b/>
      <sz val="11"/>
      <color rgb="FF9C6500"/>
      <name val="Calibri"/>
      <family val="2"/>
      <scheme val="minor"/>
    </font>
    <font>
      <b/>
      <sz val="12"/>
      <name val="Calibri"/>
      <family val="2"/>
      <scheme val="minor"/>
    </font>
  </fonts>
  <fills count="19">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79998168889431442"/>
        <bgColor indexed="65"/>
      </patternFill>
    </fill>
    <fill>
      <patternFill patternType="solid">
        <fgColor theme="1"/>
        <bgColor indexed="64"/>
      </patternFill>
    </fill>
    <fill>
      <patternFill patternType="solid">
        <fgColor theme="8" tint="0.79998168889431442"/>
        <bgColor indexed="64"/>
      </patternFill>
    </fill>
    <fill>
      <patternFill patternType="solid">
        <fgColor rgb="FFF2F2F2"/>
      </patternFill>
    </fill>
    <fill>
      <patternFill patternType="solid">
        <fgColor rgb="FFA5A5A5"/>
      </patternFill>
    </fill>
    <fill>
      <patternFill patternType="solid">
        <fgColor rgb="FFC6EFCE"/>
        <bgColor indexed="64"/>
      </patternFill>
    </fill>
    <fill>
      <patternFill patternType="solid">
        <fgColor rgb="FFFFFF00"/>
        <bgColor indexed="64"/>
      </patternFill>
    </fill>
  </fills>
  <borders count="6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s>
  <cellStyleXfs count="16">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3" fillId="7" borderId="0" applyNumberFormat="0" applyBorder="0" applyAlignment="0" applyProtection="0"/>
    <xf numFmtId="0" fontId="14" fillId="8" borderId="0" applyNumberFormat="0" applyBorder="0" applyAlignment="0" applyProtection="0"/>
    <xf numFmtId="0" fontId="15" fillId="9" borderId="0" applyNumberFormat="0" applyBorder="0" applyAlignment="0" applyProtection="0"/>
    <xf numFmtId="0" fontId="18" fillId="0" borderId="0"/>
    <xf numFmtId="0" fontId="2" fillId="12" borderId="0" applyNumberFormat="0" applyBorder="0" applyAlignment="0" applyProtection="0"/>
    <xf numFmtId="44" fontId="24" fillId="0" borderId="0" applyFont="0" applyFill="0" applyBorder="0" applyAlignment="0" applyProtection="0"/>
    <xf numFmtId="0" fontId="9" fillId="16" borderId="53" applyNumberFormat="0" applyAlignment="0" applyProtection="0"/>
    <xf numFmtId="0" fontId="25" fillId="0" borderId="0" applyNumberFormat="0" applyFill="0" applyBorder="0" applyAlignment="0" applyProtection="0"/>
  </cellStyleXfs>
  <cellXfs count="482">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4" borderId="9" xfId="0" applyFont="1" applyFill="1" applyBorder="1"/>
    <xf numFmtId="0" fontId="9" fillId="4" borderId="13" xfId="0" applyFont="1" applyFill="1" applyBorder="1"/>
    <xf numFmtId="0" fontId="4" fillId="0" borderId="0" xfId="0" applyFont="1"/>
    <xf numFmtId="0" fontId="11" fillId="0" borderId="0" xfId="0" applyFont="1"/>
    <xf numFmtId="0" fontId="12"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2" fillId="6" borderId="4" xfId="0" applyFont="1" applyFill="1" applyBorder="1"/>
    <xf numFmtId="0" fontId="12" fillId="6" borderId="0" xfId="0" applyFont="1" applyFill="1"/>
    <xf numFmtId="0" fontId="12"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9" fillId="4" borderId="13" xfId="0" applyNumberFormat="1" applyFont="1" applyFill="1" applyBorder="1"/>
    <xf numFmtId="164" fontId="9" fillId="4" borderId="22" xfId="0" applyNumberFormat="1" applyFont="1" applyFill="1" applyBorder="1"/>
    <xf numFmtId="164" fontId="9" fillId="4" borderId="19" xfId="0" applyNumberFormat="1" applyFont="1" applyFill="1" applyBorder="1"/>
    <xf numFmtId="164" fontId="0" fillId="0" borderId="0" xfId="0" applyNumberFormat="1"/>
    <xf numFmtId="0" fontId="4" fillId="6" borderId="0" xfId="0" applyFont="1" applyFill="1"/>
    <xf numFmtId="0" fontId="11" fillId="6" borderId="0" xfId="0" applyFont="1" applyFill="1"/>
    <xf numFmtId="2" fontId="0" fillId="0" borderId="0" xfId="0" applyNumberFormat="1"/>
    <xf numFmtId="0" fontId="13" fillId="7" borderId="11" xfId="8" applyBorder="1"/>
    <xf numFmtId="0" fontId="13" fillId="7" borderId="15" xfId="8" quotePrefix="1" applyBorder="1"/>
    <xf numFmtId="0" fontId="13" fillId="7" borderId="15" xfId="8" applyBorder="1"/>
    <xf numFmtId="164" fontId="13" fillId="7" borderId="15" xfId="8" applyNumberFormat="1" applyBorder="1"/>
    <xf numFmtId="0" fontId="15" fillId="9" borderId="15" xfId="10" applyBorder="1"/>
    <xf numFmtId="164" fontId="15" fillId="9" borderId="15" xfId="10" applyNumberFormat="1" applyBorder="1"/>
    <xf numFmtId="165" fontId="15" fillId="9" borderId="15" xfId="10" applyNumberFormat="1" applyBorder="1"/>
    <xf numFmtId="0" fontId="0" fillId="10" borderId="10" xfId="0" applyFill="1" applyBorder="1"/>
    <xf numFmtId="0" fontId="0" fillId="10" borderId="14" xfId="0" applyFill="1" applyBorder="1"/>
    <xf numFmtId="164" fontId="0" fillId="10" borderId="14" xfId="0" applyNumberFormat="1" applyFill="1" applyBorder="1"/>
    <xf numFmtId="0" fontId="16" fillId="10" borderId="13" xfId="10" applyFont="1" applyFill="1" applyBorder="1"/>
    <xf numFmtId="164" fontId="16" fillId="10" borderId="13" xfId="10" applyNumberFormat="1" applyFont="1" applyFill="1" applyBorder="1"/>
    <xf numFmtId="0" fontId="17" fillId="0" borderId="0" xfId="0" applyFont="1"/>
    <xf numFmtId="164" fontId="17" fillId="10" borderId="14" xfId="0" applyNumberFormat="1" applyFont="1" applyFill="1" applyBorder="1"/>
    <xf numFmtId="164" fontId="17" fillId="10" borderId="24" xfId="0" applyNumberFormat="1" applyFont="1" applyFill="1" applyBorder="1"/>
    <xf numFmtId="2" fontId="17" fillId="0" borderId="0" xfId="0" applyNumberFormat="1" applyFont="1"/>
    <xf numFmtId="164" fontId="17" fillId="0" borderId="0" xfId="0" applyNumberFormat="1" applyFont="1"/>
    <xf numFmtId="0" fontId="9" fillId="0" borderId="0" xfId="0" applyFont="1"/>
    <xf numFmtId="0" fontId="14" fillId="8" borderId="0" xfId="9"/>
    <xf numFmtId="0" fontId="15" fillId="9" borderId="0" xfId="10"/>
    <xf numFmtId="0" fontId="14" fillId="8" borderId="15" xfId="9" applyBorder="1"/>
    <xf numFmtId="164" fontId="14" fillId="8" borderId="15" xfId="9" applyNumberFormat="1" applyBorder="1"/>
    <xf numFmtId="0" fontId="5" fillId="9" borderId="15" xfId="7" applyFill="1" applyBorder="1"/>
    <xf numFmtId="6" fontId="16" fillId="10" borderId="13" xfId="10" applyNumberFormat="1" applyFont="1" applyFill="1" applyBorder="1"/>
    <xf numFmtId="0" fontId="15" fillId="9" borderId="15" xfId="10" quotePrefix="1" applyBorder="1"/>
    <xf numFmtId="0" fontId="0" fillId="3" borderId="4" xfId="0" applyFill="1" applyBorder="1" applyAlignment="1" applyProtection="1">
      <alignment vertical="top" wrapText="1"/>
      <protection locked="0"/>
    </xf>
    <xf numFmtId="0" fontId="0" fillId="3" borderId="0" xfId="0" applyFill="1" applyAlignment="1" applyProtection="1">
      <alignment vertical="top" wrapText="1"/>
      <protection locked="0"/>
    </xf>
    <xf numFmtId="0" fontId="0" fillId="3" borderId="5" xfId="0" applyFill="1" applyBorder="1" applyAlignment="1" applyProtection="1">
      <alignment vertical="top" wrapText="1"/>
      <protection locked="0"/>
    </xf>
    <xf numFmtId="0" fontId="0" fillId="3" borderId="6" xfId="0" applyFill="1" applyBorder="1" applyAlignment="1" applyProtection="1">
      <alignment vertical="top" wrapText="1"/>
      <protection locked="0"/>
    </xf>
    <xf numFmtId="0" fontId="0" fillId="3" borderId="7" xfId="0" applyFill="1" applyBorder="1" applyAlignment="1" applyProtection="1">
      <alignment vertical="top" wrapText="1"/>
      <protection locked="0"/>
    </xf>
    <xf numFmtId="0" fontId="0" fillId="3" borderId="8" xfId="0" applyFill="1" applyBorder="1" applyAlignment="1" applyProtection="1">
      <alignment vertical="top" wrapText="1"/>
      <protection locked="0"/>
    </xf>
    <xf numFmtId="0" fontId="13" fillId="7" borderId="0" xfId="8"/>
    <xf numFmtId="0" fontId="20" fillId="13" borderId="0" xfId="0" applyFont="1" applyFill="1"/>
    <xf numFmtId="164" fontId="20" fillId="13" borderId="0" xfId="0" applyNumberFormat="1" applyFont="1" applyFill="1"/>
    <xf numFmtId="2" fontId="20" fillId="13" borderId="0" xfId="0" applyNumberFormat="1" applyFont="1" applyFill="1"/>
    <xf numFmtId="0" fontId="21" fillId="13" borderId="0" xfId="0" applyFont="1" applyFill="1"/>
    <xf numFmtId="164" fontId="21" fillId="13" borderId="0" xfId="0" applyNumberFormat="1" applyFont="1" applyFill="1"/>
    <xf numFmtId="0" fontId="9" fillId="4" borderId="30" xfId="0" applyFont="1" applyFill="1" applyBorder="1"/>
    <xf numFmtId="0" fontId="9" fillId="4" borderId="31" xfId="0" applyFont="1" applyFill="1" applyBorder="1"/>
    <xf numFmtId="0" fontId="9" fillId="4" borderId="0" xfId="0" applyFont="1" applyFill="1"/>
    <xf numFmtId="0" fontId="22" fillId="4" borderId="0" xfId="0" applyFont="1" applyFill="1"/>
    <xf numFmtId="164" fontId="22" fillId="4" borderId="0" xfId="0" applyNumberFormat="1" applyFont="1" applyFill="1"/>
    <xf numFmtId="1" fontId="0" fillId="14" borderId="15" xfId="0" applyNumberFormat="1" applyFill="1" applyBorder="1" applyAlignment="1">
      <alignment horizontal="center" vertical="top"/>
    </xf>
    <xf numFmtId="1" fontId="0" fillId="14" borderId="13" xfId="0" applyNumberFormat="1" applyFill="1" applyBorder="1" applyAlignment="1">
      <alignment horizontal="center" vertical="top"/>
    </xf>
    <xf numFmtId="1" fontId="0" fillId="14" borderId="14" xfId="0" applyNumberFormat="1" applyFill="1" applyBorder="1" applyAlignment="1">
      <alignment horizontal="center" vertical="top"/>
    </xf>
    <xf numFmtId="1" fontId="0" fillId="14" borderId="32" xfId="0" applyNumberFormat="1" applyFill="1" applyBorder="1" applyAlignment="1">
      <alignment horizontal="left" vertical="top"/>
    </xf>
    <xf numFmtId="1" fontId="0" fillId="14" borderId="33" xfId="0" applyNumberFormat="1" applyFill="1" applyBorder="1" applyAlignment="1">
      <alignment horizontal="left" vertical="top"/>
    </xf>
    <xf numFmtId="1" fontId="0" fillId="14" borderId="33" xfId="0" applyNumberFormat="1" applyFill="1" applyBorder="1" applyAlignment="1">
      <alignment horizontal="center" vertical="top"/>
    </xf>
    <xf numFmtId="1" fontId="0" fillId="14" borderId="34" xfId="0" applyNumberFormat="1" applyFill="1" applyBorder="1" applyAlignment="1">
      <alignment horizontal="center" vertical="top"/>
    </xf>
    <xf numFmtId="1" fontId="23" fillId="14" borderId="32" xfId="0" applyNumberFormat="1" applyFont="1" applyFill="1" applyBorder="1" applyAlignment="1">
      <alignment horizontal="left" vertical="top"/>
    </xf>
    <xf numFmtId="1" fontId="23" fillId="14" borderId="33" xfId="0" applyNumberFormat="1" applyFont="1" applyFill="1" applyBorder="1" applyAlignment="1">
      <alignment horizontal="left" vertical="top"/>
    </xf>
    <xf numFmtId="1" fontId="23" fillId="14" borderId="33" xfId="0" applyNumberFormat="1" applyFont="1" applyFill="1" applyBorder="1" applyAlignment="1">
      <alignment horizontal="center" vertical="top"/>
    </xf>
    <xf numFmtId="1" fontId="23" fillId="14" borderId="34" xfId="0" applyNumberFormat="1" applyFont="1" applyFill="1" applyBorder="1" applyAlignment="1">
      <alignment horizontal="center" vertical="top"/>
    </xf>
    <xf numFmtId="1" fontId="0" fillId="14" borderId="33" xfId="0" applyNumberFormat="1" applyFill="1" applyBorder="1" applyAlignment="1">
      <alignment horizontal="left" vertical="top" wrapText="1"/>
    </xf>
    <xf numFmtId="0" fontId="0" fillId="3" borderId="15" xfId="0" applyFill="1" applyBorder="1" applyAlignment="1" applyProtection="1">
      <alignment vertical="top" wrapText="1"/>
      <protection locked="0"/>
    </xf>
    <xf numFmtId="0" fontId="0" fillId="3" borderId="15" xfId="0" applyFill="1" applyBorder="1" applyAlignment="1" applyProtection="1">
      <alignment horizontal="center" vertical="top" wrapText="1"/>
      <protection locked="0"/>
    </xf>
    <xf numFmtId="1" fontId="0" fillId="3" borderId="15" xfId="0" applyNumberFormat="1" applyFill="1" applyBorder="1" applyAlignment="1" applyProtection="1">
      <alignment horizontal="center" vertical="top" wrapText="1"/>
      <protection locked="0"/>
    </xf>
    <xf numFmtId="0" fontId="0" fillId="14" borderId="15" xfId="0" applyFill="1" applyBorder="1" applyAlignment="1" applyProtection="1">
      <alignment horizontal="center" vertical="top" wrapText="1"/>
      <protection locked="0"/>
    </xf>
    <xf numFmtId="2" fontId="16" fillId="0" borderId="13" xfId="10" applyNumberFormat="1" applyFont="1" applyFill="1" applyBorder="1"/>
    <xf numFmtId="2" fontId="9" fillId="0" borderId="0" xfId="0" applyNumberFormat="1" applyFont="1"/>
    <xf numFmtId="164" fontId="9" fillId="0" borderId="0" xfId="0" applyNumberFormat="1" applyFont="1"/>
    <xf numFmtId="2" fontId="16" fillId="0" borderId="0" xfId="10" applyNumberFormat="1" applyFont="1" applyFill="1"/>
    <xf numFmtId="164" fontId="16" fillId="0" borderId="0" xfId="10" applyNumberFormat="1" applyFont="1" applyFill="1"/>
    <xf numFmtId="2" fontId="16" fillId="0" borderId="0" xfId="8" applyNumberFormat="1" applyFont="1" applyFill="1"/>
    <xf numFmtId="164" fontId="16" fillId="0" borderId="0" xfId="8" applyNumberFormat="1" applyFont="1" applyFill="1"/>
    <xf numFmtId="0" fontId="13" fillId="0" borderId="0" xfId="8" applyFill="1"/>
    <xf numFmtId="2" fontId="13" fillId="0" borderId="0" xfId="8" applyNumberFormat="1" applyFill="1"/>
    <xf numFmtId="164" fontId="13" fillId="0" borderId="0" xfId="8" applyNumberFormat="1" applyFill="1"/>
    <xf numFmtId="0" fontId="20" fillId="13" borderId="1" xfId="0" applyFont="1" applyFill="1" applyBorder="1"/>
    <xf numFmtId="0" fontId="20" fillId="13" borderId="2" xfId="0" applyFont="1" applyFill="1" applyBorder="1"/>
    <xf numFmtId="164" fontId="20" fillId="13" borderId="2" xfId="0" applyNumberFormat="1" applyFont="1" applyFill="1" applyBorder="1"/>
    <xf numFmtId="2" fontId="20" fillId="13" borderId="2" xfId="0" applyNumberFormat="1" applyFont="1" applyFill="1" applyBorder="1"/>
    <xf numFmtId="0" fontId="20" fillId="13" borderId="3" xfId="0" applyFont="1" applyFill="1" applyBorder="1"/>
    <xf numFmtId="2" fontId="15" fillId="0" borderId="15" xfId="10" applyNumberFormat="1" applyFill="1" applyBorder="1"/>
    <xf numFmtId="0" fontId="15" fillId="0" borderId="0" xfId="10" applyFill="1"/>
    <xf numFmtId="0" fontId="14" fillId="0" borderId="0" xfId="9" applyFill="1"/>
    <xf numFmtId="0" fontId="17" fillId="10" borderId="9" xfId="10" applyFont="1" applyFill="1" applyBorder="1"/>
    <xf numFmtId="1" fontId="23" fillId="14" borderId="36" xfId="0" applyNumberFormat="1" applyFont="1" applyFill="1" applyBorder="1" applyAlignment="1">
      <alignment horizontal="center" vertical="top"/>
    </xf>
    <xf numFmtId="1" fontId="0" fillId="14" borderId="41" xfId="0" applyNumberFormat="1" applyFill="1" applyBorder="1" applyAlignment="1">
      <alignment horizontal="center" vertical="top"/>
    </xf>
    <xf numFmtId="1" fontId="0" fillId="14" borderId="45" xfId="0" applyNumberFormat="1" applyFill="1" applyBorder="1" applyAlignment="1">
      <alignment horizontal="center" vertical="top"/>
    </xf>
    <xf numFmtId="2" fontId="20" fillId="0" borderId="0" xfId="0" applyNumberFormat="1" applyFont="1"/>
    <xf numFmtId="164" fontId="20" fillId="0" borderId="0" xfId="0" applyNumberFormat="1" applyFont="1"/>
    <xf numFmtId="2" fontId="14" fillId="0" borderId="0" xfId="9" applyNumberFormat="1" applyFill="1"/>
    <xf numFmtId="164" fontId="14" fillId="0" borderId="0" xfId="9" applyNumberFormat="1" applyFill="1"/>
    <xf numFmtId="2" fontId="15" fillId="0" borderId="0" xfId="10" applyNumberFormat="1" applyFill="1"/>
    <xf numFmtId="164" fontId="15" fillId="0" borderId="0" xfId="10" applyNumberFormat="1" applyFill="1"/>
    <xf numFmtId="6" fontId="16" fillId="10" borderId="19" xfId="10" applyNumberFormat="1" applyFont="1" applyFill="1" applyBorder="1"/>
    <xf numFmtId="165" fontId="14" fillId="8" borderId="20" xfId="9" applyNumberFormat="1" applyBorder="1"/>
    <xf numFmtId="165" fontId="15" fillId="9" borderId="20" xfId="10" applyNumberFormat="1" applyBorder="1"/>
    <xf numFmtId="0" fontId="14" fillId="8" borderId="14" xfId="9" applyBorder="1"/>
    <xf numFmtId="164" fontId="14" fillId="8" borderId="14" xfId="9" applyNumberFormat="1" applyBorder="1"/>
    <xf numFmtId="165" fontId="14" fillId="8" borderId="21" xfId="9" applyNumberFormat="1" applyBorder="1"/>
    <xf numFmtId="164" fontId="17" fillId="10" borderId="13" xfId="10" applyNumberFormat="1" applyFont="1" applyFill="1" applyBorder="1"/>
    <xf numFmtId="1" fontId="0" fillId="14" borderId="39" xfId="0" applyNumberFormat="1" applyFill="1" applyBorder="1" applyAlignment="1">
      <alignment horizontal="center" vertical="top"/>
    </xf>
    <xf numFmtId="1" fontId="0" fillId="14" borderId="22" xfId="0" applyNumberFormat="1" applyFill="1" applyBorder="1" applyAlignment="1">
      <alignment horizontal="center" vertical="top"/>
    </xf>
    <xf numFmtId="1" fontId="0" fillId="14" borderId="23" xfId="0" applyNumberFormat="1" applyFill="1" applyBorder="1" applyAlignment="1">
      <alignment horizontal="center" vertical="top"/>
    </xf>
    <xf numFmtId="1" fontId="0" fillId="14" borderId="46" xfId="0" applyNumberFormat="1" applyFill="1" applyBorder="1" applyAlignment="1">
      <alignment horizontal="center" vertical="top"/>
    </xf>
    <xf numFmtId="1" fontId="0" fillId="14" borderId="47" xfId="0" applyNumberFormat="1" applyFill="1" applyBorder="1" applyAlignment="1">
      <alignment horizontal="center" vertical="top"/>
    </xf>
    <xf numFmtId="6" fontId="16" fillId="10" borderId="22" xfId="10" applyNumberFormat="1" applyFont="1" applyFill="1" applyBorder="1"/>
    <xf numFmtId="165" fontId="15" fillId="9" borderId="23" xfId="10" applyNumberFormat="1" applyBorder="1"/>
    <xf numFmtId="165" fontId="14" fillId="8" borderId="23" xfId="9" applyNumberFormat="1" applyBorder="1"/>
    <xf numFmtId="2" fontId="20" fillId="0" borderId="12" xfId="0" applyNumberFormat="1" applyFont="1" applyBorder="1"/>
    <xf numFmtId="2" fontId="9" fillId="0" borderId="12" xfId="0" applyNumberFormat="1" applyFont="1" applyBorder="1"/>
    <xf numFmtId="2" fontId="17" fillId="0" borderId="12" xfId="0" applyNumberFormat="1" applyFont="1" applyBorder="1"/>
    <xf numFmtId="2" fontId="16" fillId="0" borderId="12" xfId="10" applyNumberFormat="1" applyFont="1" applyFill="1" applyBorder="1"/>
    <xf numFmtId="2" fontId="15" fillId="0" borderId="12" xfId="10" applyNumberFormat="1" applyFill="1" applyBorder="1"/>
    <xf numFmtId="2" fontId="14" fillId="0" borderId="12" xfId="9" applyNumberFormat="1" applyFill="1" applyBorder="1"/>
    <xf numFmtId="1" fontId="20" fillId="0" borderId="0" xfId="0" applyNumberFormat="1" applyFont="1"/>
    <xf numFmtId="1" fontId="17" fillId="0" borderId="0" xfId="0" applyNumberFormat="1" applyFont="1"/>
    <xf numFmtId="1" fontId="16" fillId="0" borderId="0" xfId="10" applyNumberFormat="1" applyFont="1" applyFill="1"/>
    <xf numFmtId="1" fontId="14" fillId="0" borderId="0" xfId="9" applyNumberFormat="1" applyFill="1"/>
    <xf numFmtId="1" fontId="15" fillId="0" borderId="0" xfId="10" applyNumberFormat="1" applyFill="1"/>
    <xf numFmtId="1" fontId="0" fillId="0" borderId="0" xfId="0" applyNumberFormat="1"/>
    <xf numFmtId="44" fontId="20" fillId="0" borderId="0" xfId="13" applyFont="1"/>
    <xf numFmtId="44" fontId="9" fillId="0" borderId="0" xfId="13" applyFont="1"/>
    <xf numFmtId="44" fontId="16" fillId="0" borderId="0" xfId="13" applyFont="1"/>
    <xf numFmtId="44" fontId="0" fillId="0" borderId="0" xfId="13" applyFont="1"/>
    <xf numFmtId="44" fontId="14" fillId="0" borderId="0" xfId="13" applyFont="1"/>
    <xf numFmtId="44" fontId="15" fillId="0" borderId="0" xfId="13" applyFont="1"/>
    <xf numFmtId="44" fontId="17" fillId="0" borderId="0" xfId="13" applyFont="1"/>
    <xf numFmtId="165" fontId="5" fillId="0" borderId="15" xfId="7" applyNumberFormat="1" applyBorder="1" applyAlignment="1">
      <alignment horizontal="center"/>
    </xf>
    <xf numFmtId="0" fontId="15" fillId="9" borderId="45" xfId="10" applyBorder="1"/>
    <xf numFmtId="164" fontId="15" fillId="9" borderId="45" xfId="10" applyNumberFormat="1" applyBorder="1"/>
    <xf numFmtId="165" fontId="15" fillId="9" borderId="51" xfId="10" applyNumberFormat="1" applyBorder="1"/>
    <xf numFmtId="0" fontId="0" fillId="0" borderId="15" xfId="0" applyBorder="1"/>
    <xf numFmtId="44" fontId="0" fillId="0" borderId="15" xfId="13" applyFont="1" applyBorder="1"/>
    <xf numFmtId="0" fontId="9" fillId="16" borderId="9" xfId="14" applyBorder="1"/>
    <xf numFmtId="0" fontId="9" fillId="16" borderId="13" xfId="14" applyBorder="1"/>
    <xf numFmtId="44" fontId="9" fillId="16" borderId="13" xfId="14" applyNumberFormat="1" applyBorder="1"/>
    <xf numFmtId="44" fontId="9" fillId="16" borderId="19" xfId="14" applyNumberFormat="1" applyBorder="1"/>
    <xf numFmtId="0" fontId="0" fillId="0" borderId="11" xfId="0" applyBorder="1"/>
    <xf numFmtId="44" fontId="0" fillId="0" borderId="20" xfId="13" applyFont="1" applyBorder="1"/>
    <xf numFmtId="0" fontId="0" fillId="0" borderId="10" xfId="0" applyBorder="1"/>
    <xf numFmtId="0" fontId="0" fillId="0" borderId="14" xfId="0" applyBorder="1"/>
    <xf numFmtId="44" fontId="0" fillId="0" borderId="14" xfId="13" applyFont="1" applyBorder="1"/>
    <xf numFmtId="44" fontId="0" fillId="0" borderId="21" xfId="13" applyFont="1" applyBorder="1"/>
    <xf numFmtId="0" fontId="15" fillId="9" borderId="13" xfId="10" applyBorder="1"/>
    <xf numFmtId="164" fontId="15" fillId="9" borderId="13" xfId="10" applyNumberFormat="1" applyBorder="1"/>
    <xf numFmtId="2" fontId="15" fillId="9" borderId="0" xfId="10" applyNumberFormat="1"/>
    <xf numFmtId="164" fontId="15" fillId="9" borderId="0" xfId="10" applyNumberFormat="1"/>
    <xf numFmtId="1" fontId="15" fillId="9" borderId="0" xfId="10" applyNumberFormat="1"/>
    <xf numFmtId="44" fontId="15" fillId="9" borderId="0" xfId="10" applyNumberFormat="1"/>
    <xf numFmtId="0" fontId="15" fillId="9" borderId="45" xfId="10" quotePrefix="1" applyBorder="1"/>
    <xf numFmtId="165" fontId="20" fillId="0" borderId="0" xfId="0" applyNumberFormat="1" applyFont="1"/>
    <xf numFmtId="165" fontId="17" fillId="0" borderId="0" xfId="0" applyNumberFormat="1" applyFont="1"/>
    <xf numFmtId="165" fontId="25" fillId="15" borderId="52" xfId="15" applyNumberFormat="1" applyFill="1" applyBorder="1"/>
    <xf numFmtId="164" fontId="25" fillId="0" borderId="0" xfId="15" applyNumberFormat="1"/>
    <xf numFmtId="0" fontId="25" fillId="15" borderId="52" xfId="15" applyFill="1" applyBorder="1"/>
    <xf numFmtId="44" fontId="25" fillId="15" borderId="52" xfId="13" applyFont="1" applyFill="1" applyBorder="1"/>
    <xf numFmtId="165" fontId="25" fillId="15" borderId="0" xfId="15" applyNumberFormat="1" applyFill="1"/>
    <xf numFmtId="1" fontId="15" fillId="9" borderId="15" xfId="10" applyNumberFormat="1" applyBorder="1"/>
    <xf numFmtId="165" fontId="25" fillId="0" borderId="0" xfId="15" applyNumberFormat="1"/>
    <xf numFmtId="165" fontId="13" fillId="7" borderId="23" xfId="8" applyNumberFormat="1" applyBorder="1"/>
    <xf numFmtId="0" fontId="0" fillId="0" borderId="2" xfId="0" applyBorder="1"/>
    <xf numFmtId="0" fontId="0" fillId="0" borderId="7" xfId="0" applyBorder="1"/>
    <xf numFmtId="0" fontId="16" fillId="10" borderId="45" xfId="10" applyFont="1" applyFill="1" applyBorder="1"/>
    <xf numFmtId="0" fontId="14" fillId="8" borderId="45" xfId="9" applyBorder="1"/>
    <xf numFmtId="0" fontId="5" fillId="9" borderId="0" xfId="7" applyFill="1"/>
    <xf numFmtId="0" fontId="12" fillId="0" borderId="27" xfId="0" applyFont="1" applyBorder="1" applyAlignment="1">
      <alignment horizontal="left"/>
    </xf>
    <xf numFmtId="0" fontId="12" fillId="0" borderId="28" xfId="0" applyFont="1" applyBorder="1" applyAlignment="1">
      <alignment horizontal="left"/>
    </xf>
    <xf numFmtId="0" fontId="12" fillId="0" borderId="29"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1" fillId="3" borderId="6" xfId="0" applyFont="1" applyFill="1" applyBorder="1" applyAlignment="1">
      <alignment horizontal="left"/>
    </xf>
    <xf numFmtId="0" fontId="11" fillId="3" borderId="7" xfId="0" applyFont="1" applyFill="1" applyBorder="1" applyAlignment="1">
      <alignment horizontal="left"/>
    </xf>
    <xf numFmtId="0" fontId="11" fillId="3" borderId="8" xfId="0" applyFont="1" applyFill="1" applyBorder="1" applyAlignment="1">
      <alignment horizontal="left"/>
    </xf>
    <xf numFmtId="0" fontId="5" fillId="3" borderId="4" xfId="7" applyFill="1" applyBorder="1" applyAlignment="1">
      <alignment horizontal="left" wrapText="1"/>
    </xf>
    <xf numFmtId="0" fontId="5" fillId="3" borderId="0" xfId="7" applyFill="1" applyAlignment="1">
      <alignment horizontal="left"/>
    </xf>
    <xf numFmtId="0" fontId="5" fillId="3" borderId="5" xfId="7" applyFill="1" applyBorder="1" applyAlignment="1">
      <alignment horizontal="left"/>
    </xf>
    <xf numFmtId="0" fontId="5" fillId="3" borderId="4" xfId="7" applyFill="1" applyBorder="1" applyAlignment="1">
      <alignment horizontal="left"/>
    </xf>
    <xf numFmtId="0" fontId="5" fillId="3" borderId="6" xfId="7" applyFill="1" applyBorder="1" applyAlignment="1">
      <alignment horizontal="left"/>
    </xf>
    <xf numFmtId="0" fontId="5" fillId="3" borderId="7" xfId="7" applyFill="1" applyBorder="1" applyAlignment="1">
      <alignment horizontal="left"/>
    </xf>
    <xf numFmtId="0" fontId="5" fillId="3" borderId="8" xfId="7" applyFill="1" applyBorder="1" applyAlignment="1">
      <alignment horizontal="left"/>
    </xf>
    <xf numFmtId="0" fontId="10" fillId="5" borderId="4"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3" fillId="3" borderId="16"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0" xfId="0" applyFont="1" applyFill="1" applyAlignment="1">
      <alignment horizontal="center" vertical="center"/>
    </xf>
    <xf numFmtId="0" fontId="3" fillId="3" borderId="18" xfId="0" applyFont="1" applyFill="1" applyBorder="1" applyAlignment="1">
      <alignment horizontal="center" vertical="center"/>
    </xf>
    <xf numFmtId="0" fontId="3" fillId="3" borderId="25"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26" xfId="0" applyFont="1" applyFill="1" applyBorder="1" applyAlignment="1">
      <alignment horizontal="center" vertical="center"/>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5" fillId="3" borderId="0" xfId="7" applyFill="1" applyAlignment="1" applyProtection="1">
      <alignment horizontal="center"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2" fillId="12" borderId="15" xfId="12" applyBorder="1" applyAlignment="1" applyProtection="1">
      <alignment horizontal="center" vertical="top" wrapText="1"/>
      <protection locked="0"/>
    </xf>
    <xf numFmtId="166" fontId="5" fillId="3" borderId="15" xfId="7" applyNumberFormat="1" applyFill="1" applyBorder="1" applyAlignment="1" applyProtection="1">
      <alignment horizontal="center" vertical="top" wrapText="1"/>
      <protection locked="0"/>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4" fillId="3" borderId="5" xfId="0" applyFont="1" applyFill="1" applyBorder="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15" xfId="0" applyFill="1" applyBorder="1" applyAlignment="1" applyProtection="1">
      <alignment horizontal="center" vertical="top" wrapTex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1" fillId="14" borderId="15" xfId="12" applyFont="1" applyFill="1" applyBorder="1" applyAlignment="1" applyProtection="1">
      <alignment horizontal="center" vertical="top" wrapText="1"/>
      <protection locked="0"/>
    </xf>
    <xf numFmtId="0" fontId="2" fillId="14" borderId="15" xfId="12" applyFill="1" applyBorder="1" applyAlignment="1" applyProtection="1">
      <alignment horizontal="center" vertical="top" wrapText="1"/>
      <protection locked="0"/>
    </xf>
    <xf numFmtId="0" fontId="0" fillId="0" borderId="15" xfId="0" applyBorder="1" applyAlignment="1">
      <alignment horizontal="center"/>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165" fontId="5" fillId="0" borderId="15" xfId="7" applyNumberFormat="1" applyBorder="1" applyAlignment="1">
      <alignment horizontal="center"/>
    </xf>
    <xf numFmtId="0" fontId="0" fillId="11" borderId="15" xfId="0" applyFill="1" applyBorder="1" applyAlignment="1" applyProtection="1">
      <alignment horizontal="center" vertical="top" wrapText="1"/>
      <protection locked="0"/>
    </xf>
    <xf numFmtId="0" fontId="0" fillId="3" borderId="23" xfId="0" applyFill="1" applyBorder="1" applyAlignment="1" applyProtection="1">
      <alignment horizontal="center" vertical="top" wrapText="1"/>
      <protection locked="0"/>
    </xf>
    <xf numFmtId="0" fontId="0" fillId="3" borderId="54" xfId="0" applyFill="1" applyBorder="1" applyAlignment="1" applyProtection="1">
      <alignment horizontal="center" vertical="top" wrapText="1"/>
      <protection locked="0"/>
    </xf>
    <xf numFmtId="0" fontId="0" fillId="3" borderId="55" xfId="0" applyFill="1" applyBorder="1" applyAlignment="1" applyProtection="1">
      <alignment horizontal="center" vertical="top" wrapText="1"/>
      <protection locked="0"/>
    </xf>
    <xf numFmtId="165" fontId="5" fillId="0" borderId="23" xfId="7" applyNumberFormat="1" applyBorder="1" applyAlignment="1">
      <alignment horizontal="center"/>
    </xf>
    <xf numFmtId="165" fontId="5" fillId="0" borderId="55" xfId="7" applyNumberFormat="1" applyBorder="1" applyAlignment="1">
      <alignment horizontal="center"/>
    </xf>
    <xf numFmtId="0" fontId="0" fillId="3" borderId="4" xfId="0" applyFill="1" applyBorder="1" applyAlignment="1" applyProtection="1">
      <alignment horizontal="center" vertical="top" wrapText="1"/>
      <protection locked="0"/>
    </xf>
    <xf numFmtId="0" fontId="0" fillId="3" borderId="0" xfId="0" applyFill="1" applyAlignment="1" applyProtection="1">
      <alignment horizontal="center" vertical="top" wrapText="1"/>
      <protection locked="0"/>
    </xf>
    <xf numFmtId="0" fontId="0" fillId="3" borderId="5" xfId="0" applyFill="1" applyBorder="1" applyAlignment="1" applyProtection="1">
      <alignment horizontal="center" vertical="top" wrapText="1"/>
      <protection locked="0"/>
    </xf>
    <xf numFmtId="0" fontId="0" fillId="0" borderId="1" xfId="0" applyBorder="1"/>
    <xf numFmtId="166" fontId="5" fillId="11" borderId="15" xfId="7" applyNumberFormat="1" applyFill="1" applyBorder="1" applyAlignment="1" applyProtection="1">
      <alignment horizontal="center" vertical="top" wrapText="1"/>
      <protection locked="0"/>
    </xf>
    <xf numFmtId="1" fontId="0" fillId="14" borderId="42" xfId="0" applyNumberFormat="1" applyFill="1" applyBorder="1" applyAlignment="1">
      <alignment horizontal="center" vertical="top"/>
    </xf>
    <xf numFmtId="1" fontId="0" fillId="14" borderId="44" xfId="0" applyNumberFormat="1" applyFill="1" applyBorder="1" applyAlignment="1">
      <alignment horizontal="center" vertical="top"/>
    </xf>
    <xf numFmtId="1" fontId="0" fillId="14" borderId="16" xfId="0" applyNumberFormat="1" applyFill="1" applyBorder="1" applyAlignment="1">
      <alignment horizontal="left" vertical="top"/>
    </xf>
    <xf numFmtId="1" fontId="0" fillId="14" borderId="25" xfId="0" applyNumberFormat="1" applyFill="1" applyBorder="1" applyAlignment="1">
      <alignment horizontal="left" vertical="top"/>
    </xf>
    <xf numFmtId="1" fontId="0" fillId="14" borderId="30" xfId="0" applyNumberFormat="1" applyFill="1" applyBorder="1" applyAlignment="1">
      <alignment horizontal="center" vertical="top"/>
    </xf>
    <xf numFmtId="1" fontId="0" fillId="14" borderId="35" xfId="0" applyNumberFormat="1" applyFill="1" applyBorder="1" applyAlignment="1">
      <alignment horizontal="center" vertical="top"/>
    </xf>
    <xf numFmtId="1" fontId="0" fillId="14" borderId="31" xfId="0" applyNumberFormat="1" applyFill="1" applyBorder="1" applyAlignment="1">
      <alignment horizontal="left" vertical="top"/>
    </xf>
    <xf numFmtId="1" fontId="0" fillId="14" borderId="36" xfId="0" applyNumberFormat="1" applyFill="1" applyBorder="1" applyAlignment="1">
      <alignment horizontal="left" vertical="top"/>
    </xf>
    <xf numFmtId="1" fontId="0" fillId="14" borderId="37" xfId="0" applyNumberFormat="1" applyFill="1" applyBorder="1" applyAlignment="1">
      <alignment horizontal="center" vertical="top"/>
    </xf>
    <xf numFmtId="1" fontId="0" fillId="14" borderId="40" xfId="0" applyNumberFormat="1" applyFill="1" applyBorder="1" applyAlignment="1">
      <alignment horizontal="center" vertical="top"/>
    </xf>
    <xf numFmtId="1" fontId="0" fillId="14" borderId="38" xfId="0" applyNumberFormat="1" applyFill="1" applyBorder="1" applyAlignment="1">
      <alignment horizontal="center" vertical="top"/>
    </xf>
    <xf numFmtId="1" fontId="0" fillId="14" borderId="9" xfId="0" applyNumberFormat="1" applyFill="1" applyBorder="1" applyAlignment="1">
      <alignment horizontal="left" vertical="top"/>
    </xf>
    <xf numFmtId="1" fontId="0" fillId="14" borderId="11" xfId="0" applyNumberFormat="1" applyFill="1" applyBorder="1" applyAlignment="1">
      <alignment horizontal="left" vertical="top"/>
    </xf>
    <xf numFmtId="1" fontId="0" fillId="14" borderId="10" xfId="0" applyNumberFormat="1" applyFill="1" applyBorder="1" applyAlignment="1">
      <alignment horizontal="left" vertical="top"/>
    </xf>
    <xf numFmtId="1" fontId="0" fillId="14" borderId="13" xfId="0" applyNumberFormat="1" applyFill="1" applyBorder="1" applyAlignment="1">
      <alignment horizontal="left" vertical="top"/>
    </xf>
    <xf numFmtId="1" fontId="0" fillId="14" borderId="15" xfId="0" applyNumberFormat="1" applyFill="1" applyBorder="1" applyAlignment="1">
      <alignment horizontal="left" vertical="top"/>
    </xf>
    <xf numFmtId="1" fontId="0" fillId="14" borderId="14" xfId="0" applyNumberFormat="1" applyFill="1" applyBorder="1" applyAlignment="1">
      <alignment horizontal="left" vertical="top"/>
    </xf>
    <xf numFmtId="1" fontId="0" fillId="14" borderId="13" xfId="0" applyNumberFormat="1" applyFill="1" applyBorder="1" applyAlignment="1">
      <alignment horizontal="left" vertical="top" wrapText="1"/>
    </xf>
    <xf numFmtId="1" fontId="0" fillId="14" borderId="15" xfId="0" applyNumberFormat="1" applyFill="1" applyBorder="1" applyAlignment="1">
      <alignment horizontal="left" vertical="top" wrapText="1"/>
    </xf>
    <xf numFmtId="1" fontId="0" fillId="14" borderId="14" xfId="0" applyNumberFormat="1" applyFill="1" applyBorder="1" applyAlignment="1">
      <alignment horizontal="left" vertical="top" wrapText="1"/>
    </xf>
    <xf numFmtId="1" fontId="0" fillId="14" borderId="30" xfId="0" applyNumberFormat="1" applyFill="1" applyBorder="1" applyAlignment="1">
      <alignment horizontal="left" vertical="top"/>
    </xf>
    <xf numFmtId="1" fontId="0" fillId="14" borderId="35" xfId="0" applyNumberFormat="1" applyFill="1" applyBorder="1" applyAlignment="1">
      <alignment horizontal="left" vertical="top"/>
    </xf>
    <xf numFmtId="1" fontId="0" fillId="14" borderId="16" xfId="0" applyNumberFormat="1" applyFill="1" applyBorder="1" applyAlignment="1">
      <alignment horizontal="left" vertical="top" wrapText="1"/>
    </xf>
    <xf numFmtId="1" fontId="0" fillId="14" borderId="25" xfId="0" applyNumberFormat="1" applyFill="1" applyBorder="1" applyAlignment="1">
      <alignment horizontal="left" vertical="top" wrapText="1"/>
    </xf>
    <xf numFmtId="1" fontId="0" fillId="14" borderId="50" xfId="0" applyNumberFormat="1" applyFill="1" applyBorder="1" applyAlignment="1">
      <alignment horizontal="left" vertical="top"/>
    </xf>
    <xf numFmtId="1" fontId="0" fillId="14" borderId="45" xfId="0" applyNumberFormat="1" applyFill="1" applyBorder="1" applyAlignment="1">
      <alignment horizontal="left" vertical="top"/>
    </xf>
    <xf numFmtId="1" fontId="0" fillId="14" borderId="31" xfId="0" applyNumberFormat="1" applyFill="1" applyBorder="1" applyAlignment="1">
      <alignment horizontal="left" vertical="top" wrapText="1"/>
    </xf>
    <xf numFmtId="1" fontId="0" fillId="14" borderId="49" xfId="0" applyNumberFormat="1" applyFill="1" applyBorder="1" applyAlignment="1">
      <alignment horizontal="left" vertical="top" wrapText="1"/>
    </xf>
    <xf numFmtId="1" fontId="0" fillId="14" borderId="36" xfId="0" applyNumberFormat="1" applyFill="1" applyBorder="1" applyAlignment="1">
      <alignment horizontal="left" vertical="top" wrapText="1"/>
    </xf>
    <xf numFmtId="1" fontId="0" fillId="14" borderId="48" xfId="0" applyNumberFormat="1" applyFill="1" applyBorder="1" applyAlignment="1">
      <alignment horizontal="center" vertical="top"/>
    </xf>
    <xf numFmtId="1" fontId="0" fillId="14" borderId="49" xfId="0" applyNumberFormat="1" applyFill="1" applyBorder="1" applyAlignment="1">
      <alignment horizontal="left" vertical="top"/>
    </xf>
    <xf numFmtId="1" fontId="0" fillId="14" borderId="43" xfId="0" applyNumberFormat="1" applyFill="1" applyBorder="1" applyAlignment="1">
      <alignment horizontal="center" vertical="top"/>
    </xf>
    <xf numFmtId="0" fontId="9" fillId="4" borderId="56" xfId="0" applyFont="1" applyFill="1" applyBorder="1"/>
    <xf numFmtId="0" fontId="0" fillId="10" borderId="57" xfId="0" applyFill="1" applyBorder="1"/>
    <xf numFmtId="0" fontId="16" fillId="10" borderId="56" xfId="10" applyFont="1" applyFill="1" applyBorder="1"/>
    <xf numFmtId="0" fontId="13" fillId="7" borderId="55" xfId="8" applyBorder="1"/>
    <xf numFmtId="0" fontId="9" fillId="4" borderId="17" xfId="0" applyFont="1" applyFill="1" applyBorder="1"/>
    <xf numFmtId="0" fontId="13" fillId="17" borderId="15" xfId="8" applyFill="1" applyBorder="1"/>
    <xf numFmtId="0" fontId="0" fillId="17" borderId="10" xfId="0" applyFill="1" applyBorder="1"/>
    <xf numFmtId="0" fontId="0" fillId="17" borderId="57" xfId="0" applyFill="1" applyBorder="1"/>
    <xf numFmtId="0" fontId="0" fillId="17" borderId="14" xfId="0" applyFill="1" applyBorder="1"/>
    <xf numFmtId="164" fontId="0" fillId="17" borderId="14" xfId="0" applyNumberFormat="1" applyFill="1" applyBorder="1"/>
    <xf numFmtId="164" fontId="17" fillId="17" borderId="14" xfId="0" applyNumberFormat="1" applyFont="1" applyFill="1" applyBorder="1"/>
    <xf numFmtId="164" fontId="17" fillId="17" borderId="21" xfId="0" applyNumberFormat="1" applyFont="1" applyFill="1" applyBorder="1"/>
    <xf numFmtId="0" fontId="16" fillId="17" borderId="30" xfId="10" applyFont="1" applyFill="1" applyBorder="1" applyAlignment="1">
      <alignment horizontal="left" vertical="top"/>
    </xf>
    <xf numFmtId="0" fontId="16" fillId="17" borderId="31" xfId="10" applyFont="1" applyFill="1" applyBorder="1" applyAlignment="1">
      <alignment horizontal="center" vertical="top"/>
    </xf>
    <xf numFmtId="0" fontId="16" fillId="17" borderId="13" xfId="10" applyFont="1" applyFill="1" applyBorder="1"/>
    <xf numFmtId="164" fontId="16" fillId="17" borderId="13" xfId="10" applyNumberFormat="1" applyFont="1" applyFill="1" applyBorder="1"/>
    <xf numFmtId="0" fontId="16" fillId="17" borderId="19" xfId="10" applyFont="1" applyFill="1" applyBorder="1"/>
    <xf numFmtId="0" fontId="16" fillId="17" borderId="48" xfId="10" applyFont="1" applyFill="1" applyBorder="1" applyAlignment="1">
      <alignment horizontal="left" vertical="top"/>
    </xf>
    <xf numFmtId="0" fontId="16" fillId="17" borderId="49" xfId="10" applyFont="1" applyFill="1" applyBorder="1" applyAlignment="1">
      <alignment horizontal="center" vertical="top"/>
    </xf>
    <xf numFmtId="0" fontId="13" fillId="17" borderId="15" xfId="8" quotePrefix="1" applyFill="1" applyBorder="1"/>
    <xf numFmtId="164" fontId="13" fillId="17" borderId="15" xfId="8" applyNumberFormat="1" applyFill="1" applyBorder="1"/>
    <xf numFmtId="164" fontId="16" fillId="17" borderId="15" xfId="8" applyNumberFormat="1" applyFont="1" applyFill="1" applyBorder="1"/>
    <xf numFmtId="165" fontId="13" fillId="17" borderId="20" xfId="8" applyNumberFormat="1" applyFill="1" applyBorder="1"/>
    <xf numFmtId="0" fontId="16" fillId="17" borderId="35" xfId="10" applyFont="1" applyFill="1" applyBorder="1" applyAlignment="1">
      <alignment horizontal="left" vertical="top"/>
    </xf>
    <xf numFmtId="0" fontId="16" fillId="17" borderId="36" xfId="10" applyFont="1" applyFill="1" applyBorder="1" applyAlignment="1">
      <alignment horizontal="center" vertical="top"/>
    </xf>
    <xf numFmtId="0" fontId="13" fillId="17" borderId="14" xfId="8" applyFill="1" applyBorder="1"/>
    <xf numFmtId="164" fontId="13" fillId="17" borderId="14" xfId="8" applyNumberFormat="1" applyFill="1" applyBorder="1"/>
    <xf numFmtId="165" fontId="13" fillId="17" borderId="21" xfId="8" applyNumberFormat="1" applyFill="1" applyBorder="1"/>
    <xf numFmtId="0" fontId="0" fillId="17" borderId="9" xfId="0" applyFill="1" applyBorder="1" applyAlignment="1">
      <alignment horizontal="left" vertical="top"/>
    </xf>
    <xf numFmtId="0" fontId="0" fillId="17" borderId="31" xfId="0" applyFill="1" applyBorder="1" applyAlignment="1">
      <alignment horizontal="center" vertical="top"/>
    </xf>
    <xf numFmtId="0" fontId="0" fillId="17" borderId="13" xfId="0" applyFill="1" applyBorder="1" applyAlignment="1">
      <alignment horizontal="left" vertical="top"/>
    </xf>
    <xf numFmtId="1" fontId="0" fillId="17" borderId="13" xfId="0" applyNumberFormat="1" applyFill="1" applyBorder="1" applyAlignment="1">
      <alignment horizontal="center" vertical="top"/>
    </xf>
    <xf numFmtId="1" fontId="0" fillId="17" borderId="37" xfId="0" applyNumberFormat="1" applyFill="1" applyBorder="1" applyAlignment="1">
      <alignment horizontal="center" vertical="top"/>
    </xf>
    <xf numFmtId="0" fontId="0" fillId="17" borderId="10" xfId="0" applyFill="1" applyBorder="1" applyAlignment="1">
      <alignment horizontal="left" vertical="top"/>
    </xf>
    <xf numFmtId="0" fontId="0" fillId="17" borderId="36" xfId="0" applyFill="1" applyBorder="1" applyAlignment="1">
      <alignment horizontal="center" vertical="top"/>
    </xf>
    <xf numFmtId="0" fontId="0" fillId="17" borderId="14" xfId="0" applyFill="1" applyBorder="1" applyAlignment="1">
      <alignment horizontal="left" vertical="top"/>
    </xf>
    <xf numFmtId="1" fontId="0" fillId="17" borderId="14" xfId="0" applyNumberFormat="1" applyFill="1" applyBorder="1" applyAlignment="1">
      <alignment horizontal="center" vertical="top"/>
    </xf>
    <xf numFmtId="1" fontId="0" fillId="17" borderId="38" xfId="0" applyNumberFormat="1" applyFill="1" applyBorder="1" applyAlignment="1">
      <alignment horizontal="center" vertical="top"/>
    </xf>
    <xf numFmtId="0" fontId="0" fillId="17" borderId="11" xfId="0" applyFill="1" applyBorder="1" applyAlignment="1">
      <alignment horizontal="left" vertical="top"/>
    </xf>
    <xf numFmtId="0" fontId="0" fillId="17" borderId="49" xfId="0" applyFill="1" applyBorder="1" applyAlignment="1">
      <alignment horizontal="center" vertical="top"/>
    </xf>
    <xf numFmtId="0" fontId="0" fillId="17" borderId="15" xfId="0" applyFill="1" applyBorder="1" applyAlignment="1">
      <alignment horizontal="left" vertical="top"/>
    </xf>
    <xf numFmtId="1" fontId="0" fillId="17" borderId="15" xfId="0" applyNumberFormat="1" applyFill="1" applyBorder="1" applyAlignment="1">
      <alignment horizontal="center" vertical="top"/>
    </xf>
    <xf numFmtId="1" fontId="0" fillId="17" borderId="40" xfId="0" applyNumberFormat="1" applyFill="1" applyBorder="1" applyAlignment="1">
      <alignment horizontal="center" vertical="top"/>
    </xf>
    <xf numFmtId="0" fontId="23" fillId="17" borderId="32" xfId="0" applyFont="1" applyFill="1" applyBorder="1"/>
    <xf numFmtId="0" fontId="23" fillId="17" borderId="39" xfId="0" applyFont="1" applyFill="1" applyBorder="1"/>
    <xf numFmtId="0" fontId="23" fillId="17" borderId="33" xfId="0" applyFont="1" applyFill="1" applyBorder="1"/>
    <xf numFmtId="1" fontId="23" fillId="17" borderId="33" xfId="0" applyNumberFormat="1" applyFont="1" applyFill="1" applyBorder="1" applyAlignment="1">
      <alignment horizontal="center"/>
    </xf>
    <xf numFmtId="1" fontId="23" fillId="17" borderId="59" xfId="0" applyNumberFormat="1" applyFont="1" applyFill="1" applyBorder="1" applyAlignment="1">
      <alignment horizontal="center"/>
    </xf>
    <xf numFmtId="0" fontId="23" fillId="0" borderId="1" xfId="0" applyFont="1" applyBorder="1"/>
    <xf numFmtId="2" fontId="0" fillId="0" borderId="2" xfId="0" applyNumberFormat="1" applyBorder="1"/>
    <xf numFmtId="2" fontId="17" fillId="0" borderId="2" xfId="0" applyNumberFormat="1" applyFont="1" applyBorder="1"/>
    <xf numFmtId="164" fontId="17" fillId="0" borderId="2" xfId="0" applyNumberFormat="1" applyFont="1" applyBorder="1"/>
    <xf numFmtId="164" fontId="17" fillId="0" borderId="3" xfId="0" applyNumberFormat="1" applyFont="1" applyBorder="1"/>
    <xf numFmtId="0" fontId="23" fillId="0" borderId="6" xfId="0" applyFont="1" applyBorder="1"/>
    <xf numFmtId="2" fontId="0" fillId="0" borderId="7" xfId="0" applyNumberFormat="1" applyBorder="1"/>
    <xf numFmtId="2" fontId="17" fillId="0" borderId="7" xfId="0" applyNumberFormat="1" applyFont="1" applyBorder="1"/>
    <xf numFmtId="164" fontId="17" fillId="0" borderId="7" xfId="0" applyNumberFormat="1" applyFont="1" applyBorder="1"/>
    <xf numFmtId="164" fontId="17" fillId="0" borderId="8" xfId="0" applyNumberFormat="1" applyFont="1" applyBorder="1"/>
    <xf numFmtId="0" fontId="13" fillId="0" borderId="0" xfId="8" quotePrefix="1" applyFill="1" applyBorder="1"/>
    <xf numFmtId="1" fontId="0" fillId="14" borderId="9" xfId="0" applyNumberFormat="1" applyFill="1" applyBorder="1" applyAlignment="1">
      <alignment vertical="top"/>
    </xf>
    <xf numFmtId="1" fontId="0" fillId="14" borderId="11" xfId="0" applyNumberFormat="1" applyFill="1" applyBorder="1" applyAlignment="1">
      <alignment vertical="top"/>
    </xf>
    <xf numFmtId="1" fontId="0" fillId="14" borderId="10" xfId="0" applyNumberFormat="1" applyFill="1" applyBorder="1" applyAlignment="1">
      <alignment vertical="top"/>
    </xf>
    <xf numFmtId="1" fontId="0" fillId="14" borderId="30" xfId="0" applyNumberFormat="1" applyFill="1" applyBorder="1" applyAlignment="1">
      <alignment vertical="top"/>
    </xf>
    <xf numFmtId="1" fontId="0" fillId="14" borderId="35" xfId="0" applyNumberFormat="1" applyFill="1" applyBorder="1" applyAlignment="1">
      <alignment vertical="top"/>
    </xf>
    <xf numFmtId="1" fontId="0" fillId="14" borderId="32" xfId="0" applyNumberFormat="1" applyFill="1" applyBorder="1" applyAlignment="1">
      <alignment vertical="top"/>
    </xf>
    <xf numFmtId="0" fontId="16" fillId="17" borderId="9" xfId="10" applyFont="1" applyFill="1" applyBorder="1"/>
    <xf numFmtId="6" fontId="16" fillId="17" borderId="22" xfId="10" applyNumberFormat="1" applyFont="1" applyFill="1" applyBorder="1"/>
    <xf numFmtId="2" fontId="13" fillId="0" borderId="12" xfId="8" applyNumberFormat="1" applyFill="1" applyBorder="1"/>
    <xf numFmtId="164" fontId="25" fillId="0" borderId="0" xfId="15" applyNumberFormat="1" applyFill="1"/>
    <xf numFmtId="0" fontId="9" fillId="0" borderId="0" xfId="0" applyFont="1" applyFill="1"/>
    <xf numFmtId="0" fontId="0" fillId="0" borderId="0" xfId="0" applyFill="1"/>
    <xf numFmtId="0" fontId="17" fillId="0" borderId="0" xfId="0" applyFont="1" applyFill="1"/>
    <xf numFmtId="0" fontId="16" fillId="17" borderId="56" xfId="10" applyFont="1" applyFill="1" applyBorder="1"/>
    <xf numFmtId="0" fontId="17" fillId="10" borderId="56" xfId="10" applyFont="1" applyFill="1" applyBorder="1"/>
    <xf numFmtId="1" fontId="23" fillId="14" borderId="39" xfId="0" applyNumberFormat="1" applyFont="1" applyFill="1" applyBorder="1" applyAlignment="1">
      <alignment horizontal="left" vertical="top"/>
    </xf>
    <xf numFmtId="2" fontId="20" fillId="0" borderId="0" xfId="0" applyNumberFormat="1" applyFont="1" applyBorder="1"/>
    <xf numFmtId="2" fontId="9" fillId="0" borderId="0" xfId="0" applyNumberFormat="1" applyFont="1" applyBorder="1"/>
    <xf numFmtId="2" fontId="17" fillId="0" borderId="0" xfId="0" applyNumberFormat="1" applyFont="1" applyBorder="1"/>
    <xf numFmtId="2" fontId="16" fillId="0" borderId="0" xfId="10" applyNumberFormat="1" applyFont="1" applyFill="1" applyBorder="1"/>
    <xf numFmtId="2" fontId="13" fillId="0" borderId="0" xfId="8" applyNumberFormat="1" applyFill="1" applyBorder="1"/>
    <xf numFmtId="2" fontId="15" fillId="0" borderId="0" xfId="10" applyNumberFormat="1" applyFill="1" applyBorder="1"/>
    <xf numFmtId="2" fontId="14" fillId="0" borderId="0" xfId="9" applyNumberFormat="1" applyFill="1" applyBorder="1"/>
    <xf numFmtId="2" fontId="15" fillId="0" borderId="60" xfId="10" applyNumberFormat="1" applyFill="1" applyBorder="1"/>
    <xf numFmtId="2" fontId="26" fillId="18" borderId="27" xfId="10" applyNumberFormat="1" applyFont="1" applyFill="1" applyBorder="1"/>
    <xf numFmtId="2" fontId="26" fillId="18" borderId="28" xfId="10" applyNumberFormat="1" applyFont="1" applyFill="1" applyBorder="1"/>
    <xf numFmtId="0" fontId="27" fillId="18" borderId="29" xfId="10" applyFont="1" applyFill="1" applyBorder="1"/>
    <xf numFmtId="0" fontId="17" fillId="10" borderId="31" xfId="10" applyFont="1" applyFill="1" applyBorder="1" applyAlignment="1">
      <alignment horizontal="center" vertical="top"/>
    </xf>
    <xf numFmtId="0" fontId="17" fillId="10" borderId="49" xfId="10" applyFont="1" applyFill="1" applyBorder="1" applyAlignment="1">
      <alignment horizontal="center" vertical="top"/>
    </xf>
    <xf numFmtId="0" fontId="17" fillId="10" borderId="36" xfId="10" applyFont="1" applyFill="1" applyBorder="1" applyAlignment="1">
      <alignment horizontal="center" vertical="top"/>
    </xf>
    <xf numFmtId="0" fontId="28" fillId="18" borderId="2" xfId="10" applyFont="1" applyFill="1" applyBorder="1" applyAlignment="1">
      <alignment horizontal="center" vertical="top"/>
    </xf>
    <xf numFmtId="0" fontId="28" fillId="18" borderId="0" xfId="10" applyFont="1" applyFill="1" applyBorder="1" applyAlignment="1">
      <alignment horizontal="center" vertical="top"/>
    </xf>
    <xf numFmtId="0" fontId="28" fillId="18" borderId="7" xfId="10" applyFont="1" applyFill="1" applyBorder="1" applyAlignment="1">
      <alignment horizontal="center" vertical="top"/>
    </xf>
    <xf numFmtId="0" fontId="17" fillId="10" borderId="45" xfId="10" applyFont="1" applyFill="1" applyBorder="1" applyAlignment="1">
      <alignment horizontal="center" vertical="top"/>
    </xf>
    <xf numFmtId="0" fontId="17" fillId="10" borderId="30" xfId="10" applyFont="1" applyFill="1" applyBorder="1" applyAlignment="1">
      <alignment horizontal="left" vertical="top"/>
    </xf>
    <xf numFmtId="0" fontId="17" fillId="10" borderId="48" xfId="10" applyFont="1" applyFill="1" applyBorder="1" applyAlignment="1">
      <alignment horizontal="left" vertical="top"/>
    </xf>
    <xf numFmtId="0" fontId="17" fillId="10" borderId="35" xfId="10" applyFont="1" applyFill="1" applyBorder="1" applyAlignment="1">
      <alignment horizontal="left" vertical="top"/>
    </xf>
    <xf numFmtId="0" fontId="17" fillId="10" borderId="1" xfId="10" applyFont="1" applyFill="1" applyBorder="1" applyAlignment="1">
      <alignment horizontal="left" vertical="top"/>
    </xf>
    <xf numFmtId="0" fontId="17" fillId="10" borderId="4" xfId="10" applyFont="1" applyFill="1" applyBorder="1" applyAlignment="1">
      <alignment horizontal="left" vertical="top"/>
    </xf>
    <xf numFmtId="0" fontId="17" fillId="10" borderId="6" xfId="10" applyFont="1" applyFill="1" applyBorder="1" applyAlignment="1">
      <alignment horizontal="left" vertical="top"/>
    </xf>
    <xf numFmtId="0" fontId="17" fillId="10" borderId="50" xfId="10" applyFont="1" applyFill="1" applyBorder="1" applyAlignment="1">
      <alignment horizontal="left" vertical="top"/>
    </xf>
    <xf numFmtId="1" fontId="0" fillId="14" borderId="31" xfId="0" applyNumberFormat="1" applyFill="1" applyBorder="1" applyAlignment="1">
      <alignment horizontal="center" vertical="top"/>
    </xf>
    <xf numFmtId="1" fontId="0" fillId="14" borderId="49" xfId="0" applyNumberFormat="1" applyFill="1" applyBorder="1" applyAlignment="1">
      <alignment horizontal="center" vertical="top"/>
    </xf>
    <xf numFmtId="1" fontId="0" fillId="14" borderId="36" xfId="0" applyNumberFormat="1" applyFill="1" applyBorder="1" applyAlignment="1">
      <alignment horizontal="center" vertical="top"/>
    </xf>
    <xf numFmtId="1" fontId="0" fillId="14" borderId="17" xfId="0" applyNumberFormat="1" applyFill="1" applyBorder="1" applyAlignment="1">
      <alignment horizontal="center" vertical="top"/>
    </xf>
    <xf numFmtId="1" fontId="0" fillId="14" borderId="26" xfId="0" applyNumberFormat="1" applyFill="1" applyBorder="1" applyAlignment="1">
      <alignment horizontal="center" vertical="top"/>
    </xf>
    <xf numFmtId="1" fontId="0" fillId="14" borderId="39" xfId="0" applyNumberFormat="1" applyFill="1" applyBorder="1" applyAlignment="1">
      <alignment horizontal="left" vertical="top"/>
    </xf>
    <xf numFmtId="1" fontId="23" fillId="18" borderId="58" xfId="0" applyNumberFormat="1" applyFont="1" applyFill="1" applyBorder="1" applyAlignment="1">
      <alignment horizontal="center" vertical="top"/>
    </xf>
    <xf numFmtId="1" fontId="23" fillId="0" borderId="0" xfId="0" applyNumberFormat="1" applyFont="1" applyFill="1" applyBorder="1" applyAlignment="1">
      <alignment horizontal="center" vertical="top"/>
    </xf>
    <xf numFmtId="1" fontId="0" fillId="14" borderId="48" xfId="0" applyNumberFormat="1" applyFill="1" applyBorder="1" applyAlignment="1">
      <alignment horizontal="left" vertical="top"/>
    </xf>
    <xf numFmtId="1" fontId="0" fillId="14" borderId="61" xfId="0" applyNumberFormat="1" applyFill="1" applyBorder="1" applyAlignment="1">
      <alignment horizontal="left" vertical="top"/>
    </xf>
    <xf numFmtId="1" fontId="0" fillId="14" borderId="60" xfId="0" applyNumberFormat="1" applyFill="1" applyBorder="1" applyAlignment="1">
      <alignment horizontal="left" vertical="top"/>
    </xf>
    <xf numFmtId="1" fontId="0" fillId="14" borderId="60" xfId="0" applyNumberFormat="1" applyFill="1" applyBorder="1" applyAlignment="1">
      <alignment horizontal="center" vertical="top"/>
    </xf>
  </cellXfs>
  <cellStyles count="16">
    <cellStyle name="20% - Accent1" xfId="12" builtinId="30"/>
    <cellStyle name="Bad" xfId="9" builtinId="27"/>
    <cellStyle name="Check Cell" xfId="14" builtinId="23"/>
    <cellStyle name="Currency" xfId="13" builtinId="4"/>
    <cellStyle name="Explanatory Text" xfId="15" builtinId="53"/>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10" builtinId="28"/>
    <cellStyle name="Normal" xfId="0" builtinId="0"/>
    <cellStyle name="Normal 2" xfId="11" xr:uid="{00000000-0005-0000-0000-00000C000000}"/>
  </cellStyles>
  <dxfs count="0"/>
  <tableStyles count="0" defaultTableStyle="TableStyleMedium9" defaultPivotStyle="PivotStyleMedium4"/>
  <colors>
    <mruColors>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8.png"/><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507028</xdr:colOff>
      <xdr:row>51</xdr:row>
      <xdr:rowOff>17793</xdr:rowOff>
    </xdr:to>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771428" cy="1005714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13</xdr:col>
      <xdr:colOff>118286</xdr:colOff>
      <xdr:row>58</xdr:row>
      <xdr:rowOff>190501</xdr:rowOff>
    </xdr:to>
    <xdr:pic>
      <xdr:nvPicPr>
        <xdr:cNvPr id="7" name="Picture 6">
          <a:extLst>
            <a:ext uri="{FF2B5EF4-FFF2-40B4-BE49-F238E27FC236}">
              <a16:creationId xmlns:a16="http://schemas.microsoft.com/office/drawing/2014/main" id="{758A8033-9F39-48F6-8725-04A9DC9338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
          <a:ext cx="9157511" cy="11791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115660</xdr:colOff>
      <xdr:row>0</xdr:row>
      <xdr:rowOff>0</xdr:rowOff>
    </xdr:from>
    <xdr:to>
      <xdr:col>26</xdr:col>
      <xdr:colOff>117020</xdr:colOff>
      <xdr:row>57</xdr:row>
      <xdr:rowOff>121379</xdr:rowOff>
    </xdr:to>
    <xdr:pic>
      <xdr:nvPicPr>
        <xdr:cNvPr id="8" name="Picture 7">
          <a:extLst>
            <a:ext uri="{FF2B5EF4-FFF2-40B4-BE49-F238E27FC236}">
              <a16:creationId xmlns:a16="http://schemas.microsoft.com/office/drawing/2014/main" id="{59D106C1-D922-4900-8744-9752BF5D582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154885" y="0"/>
          <a:ext cx="9040585" cy="115228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673735</xdr:colOff>
      <xdr:row>44</xdr:row>
      <xdr:rowOff>171685</xdr:rowOff>
    </xdr:to>
    <xdr:pic>
      <xdr:nvPicPr>
        <xdr:cNvPr id="2" name="Picture 1">
          <a:extLst>
            <a:ext uri="{FF2B5EF4-FFF2-40B4-BE49-F238E27FC236}">
              <a16:creationId xmlns:a16="http://schemas.microsoft.com/office/drawing/2014/main" id="{8BE181DC-0CD0-4AAA-A3D7-49A2E61457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6931660" cy="89727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8166</xdr:colOff>
      <xdr:row>0</xdr:row>
      <xdr:rowOff>0</xdr:rowOff>
    </xdr:from>
    <xdr:to>
      <xdr:col>19</xdr:col>
      <xdr:colOff>683259</xdr:colOff>
      <xdr:row>44</xdr:row>
      <xdr:rowOff>168964</xdr:rowOff>
    </xdr:to>
    <xdr:pic>
      <xdr:nvPicPr>
        <xdr:cNvPr id="3" name="Picture 2">
          <a:extLst>
            <a:ext uri="{FF2B5EF4-FFF2-40B4-BE49-F238E27FC236}">
              <a16:creationId xmlns:a16="http://schemas.microsoft.com/office/drawing/2014/main" id="{1EB81211-B6DD-4EA0-8971-D19EAB98CAC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961416" y="0"/>
          <a:ext cx="6933018" cy="89700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23</xdr:col>
      <xdr:colOff>667378</xdr:colOff>
      <xdr:row>38</xdr:row>
      <xdr:rowOff>174171</xdr:rowOff>
    </xdr:to>
    <xdr:pic>
      <xdr:nvPicPr>
        <xdr:cNvPr id="2" name="Picture 1">
          <a:extLst>
            <a:ext uri="{FF2B5EF4-FFF2-40B4-BE49-F238E27FC236}">
              <a16:creationId xmlns:a16="http://schemas.microsoft.com/office/drawing/2014/main" id="{A4C9008D-9CA4-474E-B956-A5C26C2AD599}"/>
            </a:ext>
          </a:extLst>
        </xdr:cNvPr>
        <xdr:cNvPicPr>
          <a:picLocks noChangeAspect="1"/>
        </xdr:cNvPicPr>
      </xdr:nvPicPr>
      <xdr:blipFill>
        <a:blip xmlns:r="http://schemas.openxmlformats.org/officeDocument/2006/relationships" r:embed="rId1"/>
        <a:stretch>
          <a:fillRect/>
        </a:stretch>
      </xdr:blipFill>
      <xdr:spPr>
        <a:xfrm>
          <a:off x="0" y="0"/>
          <a:ext cx="15994464" cy="782682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23</xdr:col>
      <xdr:colOff>114300</xdr:colOff>
      <xdr:row>6</xdr:row>
      <xdr:rowOff>92529</xdr:rowOff>
    </xdr:to>
    <xdr:pic>
      <xdr:nvPicPr>
        <xdr:cNvPr id="2" name="Picture 1">
          <a:extLst>
            <a:ext uri="{FF2B5EF4-FFF2-40B4-BE49-F238E27FC236}">
              <a16:creationId xmlns:a16="http://schemas.microsoft.com/office/drawing/2014/main" id="{76A3B654-1031-4A76-8BE9-DE878D29F8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6138071" cy="13008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xdr:row>
      <xdr:rowOff>0</xdr:rowOff>
    </xdr:from>
    <xdr:to>
      <xdr:col>0</xdr:col>
      <xdr:colOff>304800</xdr:colOff>
      <xdr:row>10</xdr:row>
      <xdr:rowOff>106136</xdr:rowOff>
    </xdr:to>
    <xdr:sp macro="" textlink="">
      <xdr:nvSpPr>
        <xdr:cNvPr id="12291" name="AutoShape 3" descr="data:image/png;base64,iVBORw0KGgoAAAANSUhEUgAAA8EAAALmCAYAAABilpY6AAAgAElEQVR4XuxdBXyVVR9+bq2bFSNGd+doSQFpMAgVMenuRrqkBUFAShEVJJRu6e7uGoNtrLdb3+85733vLmPgEFT8OMcfbrv3vCee8973nuc8/9BYrVYrZJEISAQkAhIBiYBEQCIgEZAISAQkAhIBicBrgIBGkuDXYJXlFCUCEgGJgERAIiARkAhIBCQCEgGJgERAICBJsLwRJAISAYmAREAiIBGQCEgEJAISAYmAROC1QUCS4NdmqeVEJQISAYmAREAiIBGQCEgEJAISAYmARECSYHkPSAQkAhIBiYBEQCIgEZAISAQkAhIBicBrg4Akwa/NUsuJSgQkAhIBiYBEQCIgEZAISAQkAhIBiYAkwfIekAhIBCQCEgGJgERAIiARkAhIBCQCEoHXBgFJgl+bpZYTlQhIBCQCEgGJgERAIiARkAhIBCQCEgFJguU9IBGQCEgEJAISAYmAREAiIBGQCEgEJAKvDQKSBL82Sy0nKhGQCEgEJAISAYmAREAiIBGQCEgEJAKSBMt7QCIgEZAISAQkAhIBiYBEQCIgEZAISAReGwQkCX5tllpOVCIgEZAISAQkAhIBiYBEQCIgEZAISAQkCZb3gERAIiARkAhIBCQCEgGJgETgFULACkCTgfFYrawJKD+U31OLRjTCdjSajLSWXofqSNS2/2o7GZiMrCIR+AcRkCT4HwRbdiURkAhIBCQCEgGJgERAIiARcESABFajeZz2qn+ZTGYkJiYhLjEJDx5EIz42DnfDIxETG4OYmAQ8jIxBfEIKjClGWCxmhQ2Tp/KHVge9wQBXFyf4ervD188Drq4uyJTJBz7eHvD19Ya3pzvc3d3g5OQEg16XzsJYBbV+kvpKMizv4v82ApIE/7fXT45eIiARkAhIBCQCEgGJgETgP4qAyWxGdHQsbt4Kx9Xrd3HizE0cP3AXcXGxiIqOR0xCEh6ZEnE/IhE6jYVs2TZToe+mzlqbHim1Ahb1dUtqXcFqLYIvW3R6BGdyhafGGZ6uzvD2doO7uyt8/X1QuEQA8uYIQvasgQgK8IOfnzdcXZ2h0WozpFL/R5dEDvs1QeCVJcG7d+/GqVOnnlgGmn2UK1cOR44cgdlsfuL93LlzI3v27Ni2bRtY991334Wfn5+ot2vXLpw+fVq8/tFHH8HFxcV+/YMHD/DTTz+lu+yFCxdGlSpVnvuWSElJwfLly8V4qlWr9tzXP+uCX3/9FTExMWjVqhV0uvRO7jLW3eHDh8F/77zzDnx8fDJ20XPUmj17NvR6PT755JPnuOrlVb1//z7WrVuH5ORkMY7KlSujQIECL6+DNC3dvn0ba9asQb169RAaGvq39SMblghIBCQCEgGJgETgP4CA1aakajSwWKyIj0/EvfuROHjyGk4evIhjp69g94lbiL8XrxBcTy00zlpobWRXmDubrYDRCg2ssFg1sGi0gF4LJyctfAx6uFv1Yi+o12vgZOBPrTB/5n9gXZuZtNVK4muF2WyFyWSF0WQWe2mz1YpEmBBnNiPeaAGMZiDZCiTwJ/faJNAG5C3hh4J5gpAnVwhCc2RB0aJZkCU4EzL5ecFDqMl6G0dXiLeYuc2KWpmOVI//A3fsazPEV5YEd+vWDVOnTk13IcaPH48hQ4YgKSnpifc//PBDNGnSBE2bNhXvHTx4EGXKlBG/f/rpp5g3b574PTo6Gt7e3vbrjx07hpIlS6bbX/fu3TF58uTnvini4+NRpEgRNGjQANOnT3/u6591Ads8ceIELl++DIPB8Jfb3rdvH44ePfrYYcFfbiydC7Nly4bY2FiB979RKlSoAM5RLTz4OHfu3N9GULdv347q1auDP1/2wce/gZ/sUyIgEZAISAQkAhKBv4qAQgItViuuXb+LFat24NuFf+DmxUgke2qgcdJAR47qQBBNZgusUSYg0QRYDYC7C8qF+aNaWF5kCQlEthB/hGT2g4enJ7y93ODsbICLsx5anQ46rUKe/8z/l7yUhJhkmHIw+0xOMSHFaEJScjIS4pKRlJSIR7HxePAwFpFRsXgY+QgPH0bjxNm72H/uIRKvJUKvSYReR5HBFbnCQtGyXglUqVQUBfLmgJ+vp90sW6AnfJMlCf6rd5K87uUj8MqSYItFOa3SarWoU6cO4uLisGPHDnHSxQ833+PPr7/+Gp06dcK9e/fg7+8vXlu9ejU6d+6MihUrCrJD0sxCQta1a1f07t37CRLM9tgnrx87diwGDhwIqsNUR/kax8G/R48eLdpp3769XUnmtbdu3cKiRYvw8OFD0X7mzJmhkuC33npLjJHvU4X84IMPxHju3LkDqsUc9/z58wWhHTdu3GMKNVVFquIs/fr1g6+vr/hdJcFXrlwRCqfRaMSoUaOQmJgolGcqr87OzqIu32P7JM0DBgwQGPIAIUeOHGK8JKhZs2YV9TnmL7/8Eh4eHujRowfc3NxEG5zj+fPnxcGEp6cnatWqJdblzwrxf/TokeiD8+VYOIdvv/0Wx48fF+vn6uoqmklISMDvv/8uDi6KFy8u1OkXUbmpABMnKt0lSpQQc6Wiz7U8efKkaJv31ZQpU4SqznUlbhwPcbx58yZoWUALgu+++w59+/b9UxU5PRLMNeI9xfuImObPn98O22+//SYIM3Hv2bMncuXKZX/v6tWrmDhxoriPadHAdZZFIiARkAhIBCQCEoFXEwEqn45E735EFOYt24Q1Kw5j3/Xb0CWaAXeFqJKIWuJMsCYbYXVyRpMaBVAwXzZkyZkFRQsFI3OgL3x9POHm7gJnJydotemT24wG0HoZiCl7ZSvMFjOMKSYkpxiFpV1MbKLwTw5/EI3rl6ORZE5GJl+D2G85uRiQI1sQCuXPCU9Ptz8l6C9jnLINiUBGEHhlSbDj4Em2qCaSjKQlAiRRHTp0AM1eAwICxGWrVq0CleRp06Zh1qxZWL9+vXi/WLFiWLZsGWrWrPkECXbsb8yYMYIsRkZG2kknyQrVZap8JEyXLl0SZI0kb8+ePYIUVq1aVZBammKT+AQGBgolmCaydevWFX1yDhs3bhT127VrJ8ZKksMHCwngm2++KcxpSZgmTJggSPEbb7yBixcvCpK6du1ahISEPEaCSaBIykmWS5UqJcbFcXLuJLMtWrQQYwwLCxP9582bF3fv3sX169fBuY4YMQJnz54VpI991ahRQ5DVvXv3CpW4UKFC4iffoyk6x0FMqY536dLlmfeZIwnmOl24cEEcLJB8btiwQcyDpt18ULJ94krl/o8//kDr1q0FQf2rhXMmniS+n332mVj/4OBgO7EnKeZBAPEgphwPDzB40EG88+XLJ+4jruWhQ4cEUaU5fZYsWZ46JEcSzPuBa0LLBK4Lg07wPiJ2vKcnTZokDhw4b64HD0GoWnM8NCPnmjZs2FCsC79kDhw4INZTFomAREAiIBGQCEgEXj0E1EjN98IfYv78TRj05SpoPDTQueuVWFXJZlisFuT180P2rN6o26Q03nyjJHLnyg5nFydolAhZr97EXmBExCQhMQmRUY+ggRZBgX4wGOSh/gtAKi99SQj835JgkjOqfXny5EFERAS2bt0qfEOpLpIMpjWH/jMS3Lx5c0EUaTZNgkpCQx/ixo0bC0JL9ZAElQoriR7JLwkxf5YuXRorVqwQfhf0SSX5oqpK8+yVK1cK32eSM5LR4cOHC+WUpIckjERwxowZol32QUWZptWOSvDSpUvRtm1bQeJIrkjU2C/bJsFWSdV7770niBTnz3GQEKskmCbC7JtzoqouogQaDJg7d65QRzm2oUOHisMIqsObN29GpUqV4O7unmESzLHPnDlTkG8qz1RFqSwTJx44kIjyAKB+/fqCPJJ8q/7cf/V+p/k7cWYhflToSTZZuB5cMx4YcB6ZMmUSBxm0JCAZJ27ffPONmD9JMA8ASKxpYv204kiCWY/rSpLL9SfR54EEFV6uAy0EuNZsk8rz/v37BWHnWtM6oE+fPgJ3WhlQyeZYn9X3X8VIXicRkAhIBCQCEgGJwIsjQCV47/5TaNhsIqK0Ruh1tAHWwBhnhiY6ES3bVUL3LxqjcMFQODkZhPmyUmx+w0LW/e+TYPUwwG6Wbc/clOof/eJoyxYkAi+GwP81CSYZbNSokSAS77//vjCFJongv+clwSSVJG8kQiwk1SSTJINU53r16iWUW8eSnk8wSSnNgqkukpxRGSThIgmjOfOgQYMEMaKaS3JNk2EqmCwff/yxUBGpUpLM07yZ7dBMesmSJThz5owgjVRZy5YtK0gqTWxJJkmw1LHzoZQeCSZJJtkjEVTnmDNnTtEHiRvJPIkxsaCyTXKommc/7TZ0VIJVEkwiTcw4NqrJJMFUQNkvDxBIPjNSeB0VXrXw4IOKq2Mh0SUePHQgBlRYqeQTK87ll19+EdYBJJ40tycBpzKtkmCV9FIJZ9vPQ4I594IFC4rDA64Ri+rrHhUVJfrt2LGjWCseANDSgIceN27cEGbYRYsWFdYNKj68N9iWLBIBiYBEQCIgEZAIvBoIqOmN+HPW7NXoNOB76L10gsyao8woUSgzPv+4Dhq+VQZBQX424pvGiPmxP/9JA+d/DsN/dlZKb2nN05UoXf/+IYMttbODK7jDIYia2PnvXBoGa7MdtiiG+amBzF4nv+3/exJM09YffvhBmLKSBFHlJBF9XhJMH1WaCJO0spBcUS2lekgCS1WT5q0mk0m0TXJIYpU2MFZ6JJiklqTQkQSTwFMVpGm1GpmaKiIVWxJV/q6SYBKjOXPm2BVl9k/CxjqMgk0STNNmknZVUU6PBLdp00aQbv5joY80zc9J5niqR7WWCi2VaWLJCMiMfv2sklESzDkRG86PPrM0DyaGjhG80/ZDtZykVS087CDxVwtJN5VtElrVjJjK7ueffy4OEkhoGUiN/sk8LKHVAINZOZJgmmVzXE8jwbyveH+RtFLx5eEIze25blTy2SZNrKmys3BM9C/mQQjvG85zwYIF4jCFJHzTpk3iGh4+EGeqxcSe/xjIjfebLBIBiYBEQCIgEZAIvCoI8Dsa+H3zAbzVbDIM/gZYjRZ4u7ljYI+6+KRNPXi4u0pf2H9wubhnYpCvhIQkRD+Kw63bDxEdE4f6tctClxqJ7B8cUWpXpJzkEMnJKYiNS0R0VAyOnr+DsOI5kSN7sDg8+btpuqrUMz0XfbsTEpMRn5CAAH9fuLmmZs75VwD6Bzv9vyfB4eHhgowoIeHNgrz9FRLMQFs0k2VqJhIfEh4G3KKZdP/+/fHVV1+JwFkMwkQ/TgbW4jV/lQSTcDOIVu3atYViSDNsKrGMis1/7EMlwfQlJomj6S/VYppHU/mmakyyyxRPJKz0ESZRp2qdHgnm9XyfBJEEn9dRqW3ZsqUwiybZpikx3ytfvrwwLeahAE2YOXcS7rQloySY6jRVTyrcJPTElyR8586dgsBz/lR9HQNlqcHM1D7VAGbq3zQPp2JNYsu1o8pMnEg8qQbTFHvw4MHC3Jhkn0SWBPZ5SDDvL5o809SaZJs+6iNHjhRWA3ydc6JvOA8WaEbOwwmaRfM+5DrQFJ7jZDtUg0nIadpOBZnj4oEGDx54n23ZsuWpEcz/wWeG7EoiIBGQCEgEJAISARsC1PBMRjOq1xyA/dfvCNPm7D6eWPNjfxTMl12xbv5Pmzk/j3r6PHX/vlto9W+7MWXu7zi88zqMiSkw6XRo1rwQlsxTgsP+mxbn4fej0H3AbGw5fhvxZ+/DbNEg2WjB1q39Ua0ys9QwANrfhw1bTkkxYs78X7Dr4CUcOROO8FPhMFvi8ceeSShZPDV46987in+/9f8ECSYxYeTg9AJjUS0j2aTCGxQUJBCl/yWVWZq88man4sbovIzuS/WPaiHNUZ+WF5fBikg06bur+qQyOBGDVJFYUk2l7+2wYcNEJGYGvqJpME2GacpKEsOoviRpJJL03+U4WWj6yiBdrOto3kylku1RMSTx8fLyEuojCTbHykICR3JNskdyx/mRlJLAUfEkgSVxpHpKs1s1TRSjUnM+xIfklWNxJMHskwosryOZ//nnn8XYOVaqqzxEoD80TXpJvOmvygjRJJD0p2XgJ5LUa9euPXFHc14cH+fEwFgkiSSgvJ6Bn2ieTHNfmiZTpeUc+B6JIudKn2tiSTWVBwPPGyGZ/ZHAE0sWtsfDC86JPuNUv2mezXXkgQN9ljkXjpeKNO85YsXDDQbsIiF1VJvV+41mzBwfSa8afI3rxLly7CS6DCjGa3kfsR7JNgkzseYYuDb096biS7xp/sx+iQUPB9iOVIL//YemHIFEQCIgEZAISAQcEYiLS0DxUt1xIyUOhigN9u/9EkUL5QCsIi9Qhsq9+w+xbfshoVSKHL+quaqGfytploTkbEtvZLUoJrQin7Bjfa1WdJm2vpPBgAIFcuHY8bOiDaZHMpvMMJotMBpNqF2zPHKGZrab6MbHJ2Ht+l2wWpgjWKnPPSZ/BgT4ov6bFZ9Qt5NTUvDr2p22AF8clpL/iT+ob6qWbUqKJqvo981aYfDPxJSlGQTqGWjajIrx/vtTsWzzPuicFSzNyRbMGdMGH39Y719N08Q57z94BhUqDoIuxA1a+oxbAZ1Zh6uHJgtzeZa/Wwu+cvU2cuf+GLpgP0DPDDjKGMLPzIKX5+sTgPU/QYLpI8tCYpg29xlVWZrFkjioKiGDDJGo8jUSCJrxUqnjPxIVEhOa2vK99Ap9SEnMHNtUHjpW4a/Lh0DagE18j2SV41P9ZFmP9UnwVHNckivWVSMk03xaHafaL99Tx8Y2eA1VREfTYHUcagonjo9zI5lyHDevp/JJYqn2RSKpkmAeLhA/vs/XOTbiQ9U8vaBUxJLFsQ/2ySBOJJxpCzFhm2yL9ThGdX6cA8fE99R1VdeT41HzH6uv/dUgWVxLYsuStg31PRJUYszx8neq3RwvD1D4t1pP/ftp8+SYOfa0RZ1rWhKrrhmx5/2dthBvvsc2/yzvX4a+ZWUliYBEQCIgEZAISAReKgLxCYkoVbonLkdEYs6kVmj3QUN7jtyMfndPnLQKfQYts5FBeySp5xinKjmnd4kG+XP5oWrtvPjm673QaHWKPM1LtIDVaMb3P3TGe02r2S62YtXafWjx3mRYzI/vlUm+u3WtjMnjOj+xL9m+4yCq1x4Fjc7JYRBPGZfg9Em4dO5r5MoR8pL2OIoS3aDRl9h44rydV1tSgEMbvkSJIjlhhUVEqf7Hi+0A45e1u9H87RlwyqwXhyRMOdWgUn6sWDwAej3X5cUPA/5sbpu3H0btN8fCKURJpco1fbdGMXw3v49yqPKalP8ECX5N1uJvmSYJLhVdEjkqjTTTZZRhqrY0VX4ZhcoyzZZ//PHHl9GcbEMiIBGQCEgEJAISAYnAfwIB1TWrdsMx2Lb/NG6fmoaQzAFCpSXRzKiq906rUVi198xTdECFSKrU+DGaQjKZRnAWfMvhNZPZijcr5MXhc3fwMDoeOu3jRCclxYLJX76P7h/VE6NmHuCGzUdg89FL0DxW1wpzohWLp32Ilu+8+dj6UHR5+4Ph+HXbReicFJKZ1jjacfwWkxXlCgVi86qxcHFRyBg0GcdLaZ/1+Ys6WaXH0uW642REhNIkgExGA86epqWdhx3FZ66LA4CquuwYQOrJGzO1ln3i6vhspFL1wx00/geMnrYGTk5sUQOL0YIpA99Fp/aNbM1SMbdRYXWZXnLqrGEjfsDwb1YrCxRjBuKTMXPWR2j/RaPH7lc7vnYkM/6RFPP9B/ybMz6iJ2tKEvwi6P1HrqX5Nc2BadLNQv/gZ+W6fd5pUWWlivo0Zf1525P1JQISAYmAREAiIBGQCPw3EFACY508fRk16gzFxt8Go1SJAs819IgH0ciZ/1MkpthYj7MOek+qggrVIyUyJ1lgjUux0brUaL7CeNagg85bZ9cQeYVF1DeKFiwmEwb2r4dRo7fCkFnJWexYjGYrRndsjn59m4n+tu86hupvjYfBTzEnVgvbNSZZcfj3oShVIt9jbURFxyBb1jZIgAs0GivgxDno7cKmMIE2WmB+lKKYRpstmD6lNTp82lQZo9UKrValpnZH6jQjfVwhp6U2r7GPj0Fco2OQs1w3JJlsc7dYkcfVFydOfAUnJz0YDEpHJfwpBE0hq1aYLVYRyZvTp9m4Rqu173NZR8XFkShS1eU81OscKb068tatJ+LH3UftBxHWJCt2rBmECmUKps6VAVGFCboFWpt5PN98NhHP+C23bPkmnD51B1nzhiBPdn+EBHkjZ2gIXF2dHdZbGTHnJG4BezTppynFyufAbLEInFKX5dVVliUJzvg9I2tKBCQCEgGJgERAIiARkAhIBBwQSCVmc+ZuwK49RzB/Tm8YDCSAGdOBY2Lj8eOqnXB20gvXvvXbT2LJmgMw2JgEe6hZOhe6tX8Lj2ITkZCQLMiJwaATJrSbd5/Bgp/3wkAfU+G+B9QolRvdO9bHo9gEJCYaYTFb0a7HAhjc9faxq/SExG1Qu7cwdEgr8V6D1hPw+85j0OkfHz/H4QEDzh6YjKAA38fugvj4RHy/chucDQbodTqcPnsFY77eCr2zTRW2AqHO3pg+8wPExichMSEJodmCcPToNRw6dhGR0fHw9XZHudL58Fb9ssgVGmwjZPSPVqimxWzBxSu3sHXrSRw5dh73H8bBxdmAQvmzofobxVG+TH6cOH0RFWoPh95bMck2JVnwQdMSaNumPtas2YOTZ28h0M8TbVpWR+2aSrBSHkJcuX4P169G4vrN2zh8/DIqVsiPsHJFsHrVbhw6eRU+Hq5o1qgSmjauKHBXVW5GeN538By2bTuOMxduIT4pBf7ebihdIh/qvFkKhfNnh1bLYFxWmEwWVKnZD0du3LWvk0eMFmfPTUVgoC+MKUaBxdYtx3D01FXExCfCy90VxQvnQL06ZVCsaE44Oxue+PRxvUUU7DsPcOVqBKIjY0ET/eQUkwjaRpWeCDo7afD5Jw1x++4D3Lv/COfP3cKZc9dw/NRVzJnRGXlyhoh75/adCGzcfhL7957EnfBH4r4sUjAU9euVRYmiuWBwMoibjHcHrQZOn7uOjZuO4sixS4iKSYCbqzMK5Q1BubBCqFguPzL5qe5+rxYhliRYPsglAhIBiYBEQCIgEZAISAQkAi+EAANHWbFz11FAp0O1SsUzTILTdtuzz1xMXb7drhaarcCkni3QtXOTdEfYu/88fLVsm71+itmKUe2bYkD/Fvb6AwcvwLjFWxSFzgoYU6xwElbIGlisQPf3amD82HZ48CAaoeW6wmg1iWstFg1EViGbJh2iccPZM9PhqpowpzMiKqVjv/oeg0euhs5bId0mowUN65bDyrldRXTiLt2nY+HCgzBl0kGnTTWcZuAtQ3QKvl3QHq1a1BDXcsjxiUlo33MGfvzhEFI89NCrbr1WQITuiknBnGnvIyIiCoNGr4eOuZqFwgzoLBqYkkzQuCjKLudvjU/Cmh96o27tMHz6+VdY+NN+mFy00OnoMWyF1qgE1LJ6am0exBqYEk2YPbYNPmv3liDB4eEPUa/RcJy8+hAal9SozkKJtwL6B2aMGNEIfXq2EiT49t1IZK/cA3qLWYzNbLUiyOyNSxe/QnJSCpq/PxI7912H1dUWHM2GLSms5oEZjd8qhZ9+7JNqFs+5W4HRU5Zj7NAVSNE6w+jBQGTWJ3x7rWYrPPwz4ZdpbVG//giYvN0BzlUDOD204Oq1WQgM8MGCxevR8fNFSPLVPHYIIqybo8xo8lYYlv/QVWBIct1r4GzM+mYnTO5aWw5sZdAcl9VoRZWCQdi+dbJtJpIEv9AjRl4sEZAISAQkAhIBiYBEQCIgEXiVEBB6sO1/EQ+i4OvjCb2BpsfPt/E3mcyo1XAQ9p5TXNhYUsJT8Me2oahYvvATU2bslzebDHu8/t0UbNs8EG9ULi4GRUWwWr1+OHo5XDBKJ50OfT+rjmGTN0DnqhPqX/umlTB54mdo33M65i8/AK2zFsZEK/KG+OF6tJKlhIpxIZ9gHDo4TlG6n1KSklNQPKwPLj+IEESKxRSZjB8Xd0LDuhXxTqsxWLfrDDRuDA4FmKLMsNJM2V0PrZvCbr3MeuzZOgL58mRDZFQM6jUYi8MXrkPrYYvmxRBXjJBNkqvVwJhowcW949Cy1VQcvX3X3q8Iqq36ZjssBYNBFQz2w6Fdk9H8nTHYcPyCMDdWvIzZrjDatpkBKySd13hoXHDj1HTcj4hGWI3hiE6JhdZA2gxYEsywJlug8yM2jPxshTEqGT9+1xktGlfFb5v2ouE702HwVQi6Od6Mbp9Vw4CerVCn2WgcP30DGndl/majBXhkhsZPb4sADphjTRjapwEG9mypKNgPH6Flq/HYcfwytK4GezA2kmsaBTiasptjjJg0+h1orRp06/8jdD7K+tE3O1eAP07unYAZs1aiz+gV0LrTpB0wJ5lhiTVDS/N8L0X9NkeZsXjex2jVohbmzV+Hz/suEuumztf0kGboGoYtB3x0eLtiKfzwfQ/RV0aDxP1Tn2upBP9TSMt+JAISAYmAREAiIBGQCEgEJALPQOB+RCSCcnaAU4BCUoQf7rUY3LkzH5kz+z9x5dXrd5GrRG84+ShvidRD1xNw/eZsZMsSKMjM1Wu3katQdzgFOYv2Cnj7YcLEd/BWy+nQeRgEkXyvegkMG9ISRYp3hymTEyzxFvTrVAub15/F0buK+S4DbFXOlxdbNwwRqZyeVngIkCNHJ6T421I48doYE64cm4L5y7dh1LiV0Ho4icm5JGsxfmRzVKtSHB26fovdZ64IP19TrBm9OtfGmCEfoe/geZg8Zyv0HiRilCCVo4XCoVnh5ueKa8dvIzSnF35bNRT587VHlEtqkGW6J+fzDkBkUgLCE+OUtES2klXnjBMnZqBi9f44d/+BHW+NBQjWuyERZkSZk+yqqsD2jgk3rk5Hj97fYNWOszstTfIAACAASURBVNAIq2vFZ7t1vdKoXqswOvZbCrPO5lMLoFlYYXy/tB/6DJ2HKbO3QuehkGDTIxM2/NwD6347imnzt0HnpfhrUzUvnTMU3brUQNfhKxATnyDq8xDCL9EFZ85OhpubC95tMxq/77koDiwECU+xINjdHYE+frgQeR8pphQ78bQkmHBmzwT0G7kCqzYdgl4l7o9MGDO8CapVLIbyVUfAKVC578xGK95vUhp9OjfDkqU7MOabDdC7asX95Ralxf3736Jijb44dUcJQMZ7SH/fgg2b+8DPxxPrNh3EyMFrMfObD9Hm3VrKYdDznQf97c8JSYL/dohlBxIBiYBEQCIgEZAISAQkAhKBP0dg6/YDqN1gIvQBik8r1U7TLSuSEr+DM30x05Rf1uxCi3enwRCkRFim76+XjxtuH5gJZxcnoWYu/2kTWn74LQyBBkGk3siXG8OHN0XVRmOg83ASBKp+mfwoXyYPBs9YC50eCIQ79u8Zg1I1+iAqKVkhbTEmDOjxJkYMaPtMVe/E6SsoU2kg4MucxQrzKZIlEOt/HYKcOb9Aip/elvsYeK9aKcz+uj0Y5GrM1BUYO2s9DE5amCxWlA0Jxbp1fVG4YndEJTMomO1QIMWK1Qu6ol6N0oIwh0dEYfuuo6gcVgyFi/REsm+qn3azSkWxaEFP/LHvGGo2nAC9r4Ihccjj6o0tW4cja6VeMFhVE2Ugu6svDu8djWMnLqBmnTEwZCarVtbC2c0Na+Z8gZq1RkMf4qoIoFSI3d1wff8UODkZUKxoV1xLiVVjSaFIUCbs2joepcv2w8W4+3azdWedDofWj0SVykMQ5WK01w9wd8WxHROFL+0XHaZj4foD9rm7RGpw+AjHdhnvtJ0Ng6+CJc2di+UIwNqfhsDNxRlhFfrhYnykncDn8vbBiYNTUL5CL5x8ECFeFwcssVYc3jIE3UatwB9/nIXeSVmvHD4+OLhjvMD31LkrqFB+OAzZlYMLpwdGXL4yG8G5PoNTgC3NEhX9FCv6dayNvp2aw8vLA3sPnEG+PFmQyc9bkuA//+jLGhIBiYBEQCIgEZAISAQkAhKB1xOBL/p8g7nfbYfOjQRSMbEd2Kk6hg76NE2kZiUw0ed954j6BlebD2yCGQO61cGwfm0FgDRBbd12HH7cekKooCSyg3o2xnvNy6No5b7QeSgkxsfTVfh0PoiOgznOgs5tq+OTj2uhWOUBMHjZ/HojjFi84BO0bFHrmST420Wb8OmAhTAY1CjWwId1yuDTDg1RscZgaL1SVWQXgx6uej2MJgvijSZbHl+FpJYIyIr+g97EO+1mQ+elHArQZ7h0nlzYvWGoLUCVTV60WrF+40E0aDfVTuQY4Xnwxw0xdMh7+PHnzWj5yTxhBswraIrc8aMqaFy/PGo1Hg+DjRxT0f2wRRl8M6Ubtu08jDp1x8Ngy6fLdEbNahZB7uwhGLdgo1BTSQrpOzx50Nvo3LEpkhKTUaRoZ9w0JdhJbd4Ab2xe+yVKleyNB4YkO3Zlsoegf//maPwxx6youRxzswolseKHnmK+bdtNwvfbjtk/DE6PNPhj13AMGbwY645cFFbHvE4XA2xa0x+VKxbG9ZvhKFO1H2KgRMimStugTAEsXdIb+Qt1Qrg10U6qs3t5Yf/2MahQoT+uJT2yR4Em+fV1cUGKyYIEk0lE1VYDhRvukwTPQs16w3EpKtI+NtUkPGuQDzp/URPtP2oAN1cXZQBSCX49H2hy1hIBiYBEQCIgEZAISAQkAhKBpyOgEIU3qvfDH1dv2VPMmONT8Me6wShftmiazLtK/UqVBmD/reu29EIamOOTsfu3YShvS7lDlbJCpV44du++6NoYkYy9O4YhyN8Pecp0hs5DUTkV31nFldM5UYPDf4zG7v0n8GnXxdB5KCTYGGHCvu2DUa7Mk77J6rxoLtulx0zM/nmvkmNYA5iSrRjXswXy5suKpl8wVVEqCaZyLSJbKZmJbOTMKhTtCmEFULV4ICbM2gmdLWUUTYjHDWuKXl3efQxK9jtq3GKMmLkejJpFopvyyIifF3VF07fC8H6Hr/D9L4fthwum6GT8uqwr9hw6j/FTNtsDaZmijPhu9kdo/e6bmDRrJXp/uUIcMAjinGTBjBGtsH3bKazce8revyUJ2LZyICqHFUD0o3gULNwZkQaFgLIUDfHH19Pbo1qTkTDpFK9jkt13q5RAwWLBGD71d2htmBgfmTBjQit0+LiRUJ5r1huAPRcU/3CagrtGa7F6bS+0aDsZj5i6yRaEyj/FGefOTYWXlzvWbziA+h9Mg8HN5o+dZEGvTg3Q4YOayFmhF5wMNlNtRhEvlBsrlvdBoSJdEKFNtgfd4g0hYqPZnd0Vtk2cXWKNuHnrW6xcuQ8f91wAvYdWrLVKknkvme6b0G9QI4zq39KB/75a9tDSHFo+jyUCEgGJgERAIiARkAhIBCQC/yoCCqktWKgDLifG2N0nDdAg/PRcuLuRrKZGURZBl8wW5C/QEbdMcXYC4q414ObJ2XB3U5TT8PsPEVKyG/TKn0ix6BF7ZqZQXgPytIXWw/Wx/MIkOR2bV8HEcZ+izefj8dPvp6BzVsiLBTpc+2MisoQEpIsUSVpiYhIyl+mChPgEuwms8UYydu0ejPC78WjReQacbCa3KRagaHYv5ArxgqurHjqtQaSI0usYaViDipWKYd/B85i3/BB0LjalNNKEr6e0xGcfNX5sDAzGVb/ZQOw+eRegKM4I2LcScPnSdGTJHIDceTsiXEN1lsTcCmOkCddPT0O1Dybj5qVbIiq0wCfGgrN7RqFA/px4/6OvsGzbIeht7M5kAnb8PAgjhi7CjnM37P37JDnhyJFxyJLZH2fP3UHhar1hsAX4YqU3i+dB46Zl8fmApYLssidjghnjBzXH4SMX8dPGU9DaMDHeScT2bYNQtWJJREREIzhvB+h9bWmmYIV3nBPmL2qHJu9OhS6Ti0KozVaEuAfh8onx0Bt0GDZyIUbP2AiNzTrAdC8J2zb2x93wWLzfaTa0rrZDDaMVH7ashimDW6FAka6I1CkkmOuYydMVpfNmgpeHAVqtXqS9YjAupuRycXXCpDGdodPrcODQWbRuPRnX7sXB4G8z17flObY+NOLGpVkIDsxkuz8lCf5XHzGyc4mAREAiIBGQCEgEJAISAYnAq4OAoswxKFbWYh2hcSFJESGgkN/LDyeOT1ciFTtEFuJfFy5eR9Gq/UXqHxYl6JUvThybbvvbigWL1uCznkuh9SCdBppULIwflvQDo1C7BLeE3ksxhxbXkzjeScDxI+ORIzQzshbohAR9it2HtWj2AOxcPwaurgr5ciyqYHjqzCUUL90P+mBnQTiF3+mNKNy+tRAXrkagRrORMLgq401JsmBItwYY0ktVdZVWY2LisG7jfrzXogbGTV6CoWPXQ+ulqLFURyvly4kN64aK/LUc85Wrt5BiMqNQmV4w+LkIkquokUDcg3lISkxB/vydEOthhdU28OJZ/LF+9XAULNAFUW5mu/Kew9cTR3ZPhpNBjzdqD8Sh63fs0/RJ0ePY4Ulo9/EUbD1z1f56gMkZR49Ogr+/DwYMnYuJc7fZg1UxwFTvdjVx6dot/Lr1HDS23E6muwn4Y+cwLFiyGQt+OexAguNx7PB4FC2cB1/N+hm9B6+A3lshl4wYXaFgKAb0bogGb0+GjnOlAblVg2B44eLZr4RFQO5CXRBujBXm72JN78Xh9rV5aP3FNOw6dBk6m5m68YERS+Z/iqYNq6BwkS64ZY5XSLDVirDcObDl96GC/PK+4zkADxpWbziAutVLYd7Srfj8g1rwcHdFXFwCVq/dizYd58PgpaShYjum+4k4tGc0ShbLL8avKsWvyudOKsGvykrIcUgEJAISAYmAREAiIBGQCLx+CFA50wA//rQJbTp+C61bavCmyjlDsW3b6CcwIVGZ8+1KdBqwAjr31Jy4VfNkxZbNY0X95OQUVKnTB0cu34fWoBHRnUd0bIpBfd8Wgah0Qa3g5OFgmpxsRpNahbB0Xj/cC49EgQJdYQpUfGhJphqGFcCKZQOg0Spq5mMk2GbKPOe7dejQeZFdFaRK6atxxc0Ls/Dw4SPkzdMZpkCd3S82JRn4uHEZhJUtKMjXxcu3MHPVftQplBUrfxqKA4dPo0Ld4dAzmrRtHKZEC9o2LocqlYrg2o27mDx1PWZNfx8ftJsHQzBJvQZWkxUNq+bDL0uH4szZ6yhVYwCsLqmjblahEEaOaotiYX1hcqM9tkLY6xTNg7Wrh+HW7QgUrNobyRaTbf5WhBrccfToVHTuNhtLNh0ShJPFOVmP5Ys6iYOFRs0mwhDopBwAkIBGpGDz2l6oVXsCDFmd7WmMjHeiEH57CX5etRudhy6DzllZQ+MDE76a+B4qly+M+o3HIlKTGp0aCRb8tLADggJ9UaH6UOgzKSSYBtb6BA2mTGgNF70BbT/9BvoAW8okC1AydwDWLB+MoKBO0GfXKn7EPCS4l4iDe0eheNG8qF57CPZcumZLLWWFJcGK6uVzoNGbYfBwd8Hdew+xctMh3LoYhUtnZ6BEqS7IXigrRg9qhWwhfrj/IBpVm41EotEogm4xt7EpPAU3Ls5E1iy0HHjeZGF//2PglSbB06dPx+DBgzFgwAD06dNHoFG1alWcOHFC/P7hhx9i6tSp2LRpE95++207Whs2bED58uXtf/v42OLGO+DZsWNHjBo16pkIG41GrF69Go0aNcLcuXORP39+1KxZM0OrwjG8+65yshUREQGD4cmIfhlqCEBiYiIqVKiAY8dSHePTXss8cbVr1xbYLFq0SIz5RcqdO3dw9epVVKpU6UWakddKBCQCEgGJgERAIiARkAg8CwESErMJ1Rv3wb7j96Ax2Exmk8zo0rYapoz54omrjUYTilTvhivXI6FV1cVEC/p2qIXRQ9oJcnTn7kNkCfkY+lAPsMWUOynYunUAqlcqIchYUP6PEJ2S6rtqsGpwZPNokZt3z4EzeKP2CJGnVgnYBHR5uyomT/hUjCVtzlc1HvPb74zC6v1nFH9gKrdJZgzuUguD+7UTJLdz71mYs3AXtF6q6awSXZm5bTkorRYwm4BBnRrjy/7vwGKxoHqtvth7VUnTpBJytkWCrbFaUbdyPhQrkgPjvt4EvTDd1sCSYsKsEa3w2ceN8NMvO9Cyyxx7Pl+j2Ype79VClSoF0fiLaSIatTBRNlvxeYOq+HrW51i3YQ8avTsNOl81n64FZcsXxO7lA7Btx1HUqT8KhszuqS6z8VRkrdB4KCSTJSXZjKEd6qL6G0XxxhujYcim+F/DYkXOTJ44d/hr3Ln3EEWL9UCch8U+N0uSFdpkCyzeSlukj8YUK+qVLoQ1q/ojLj4RJSp1x+3Y+FTrAKsVJga4tliF0quq8DBb0a9dDbzVoALCyg2BIbuSA1jgp9Hhzv4pCAzwxcZtB1G30QQYRLRn22pawMvZpMg7zAHWKJAHX3/THnkr9IKWvsWJVjjFWWB20sDiw8MNm8WC2YoW1Ytj6cLe6SjAr4ZZ9CtLgnv16oVy5coJ0rts2TJkyZJFENBZs2bh008/FYvn7OyMTJkyiddJhv38/MS95evrC1dXV/sD4/bt2+JmGDp0KD7++GNkz54dbm5uSI8cOz5l4uLiBPk8evQovv32W+TMmRN16tR55oOcH9Z+/fohJCQE7733Hu7evYuBAwfi559/fmxMz/NtQBJcpEgRXL582X4Z568+gK5duyYOBGbMmCHwmDlzJrJly4YvvnjyoZnRfhcuXIiCBQs+dpiQ0WtlPYmAREAiIBGQCEgEJAISgYwhQC3v/v0oBAe1gT5U2cuymO8nY/XPXdGgXuUnGhL5hAM/gj7UM7X+gyRsWdcX1auVEa/9tuUw3mo6QRA5EXvqRiJu3JqNrCFK/uBcBT/H9QQSKbJwK6qUyofNKwcLX8/Zc39Hh+GLha8slUZGRh7X/1307qSILGlJsEqcyoX1wFERhEvQVViSTNjyY19Uq1pKyI+Jiclo32M2Fn+/G/B2hl6nKIQqiaZCbb6fgPXrBuLNGqVFX8dPXULLNpNw/m40tAxSZUs5K0xuEy0Y378xdm2/gHVHztlNcc2JwO6VA1CpYmF07TENs37cJwJmCfL3wIQVS9tj3/6zmLJ4lxJIixDEmzF9bEt0aNcAPQfMxtR5O0VQMK6PJdaMEQMaY2CP98SBxchJP2PM2JUwe+pBi2H7HKxamM1mWB5Z0adjLQwb2gYTJv2MoTPX2CNAW41WDOtYB4P7fyiI89dLNqNbn0WwGKzChFklkqJfM2CNNqLNu5UwaeyHCMikCHvzFqzDZ10XQufrJBRp1jWblXGo/s2sZzJZ8OPUDrh+MxI9x30PHQNw2YKQheXPjM1rR4vUWxzH/O9+x2edF0Dr6QSts0Kk1dXh+6ZoEzp9XAe1a+ZH4+ZToA1wtt0fqYb6rEesKpYMxdIFPeDv54U583+FxskNeXMEofYbJQR/exXKK0uCxYffbEZkZCTmzJmDQoUKoVixYli+fDkqVqwoiG7hwoWFk3auXLmwZMkSULnla0FBQeli27VrV3Tp0gW5c+cW75MQT548Gd7e3oLkkkzHxMSgcePGok3+furUKQwZMkSQyxw5cuCNN97AV199hRUrVqBevXpCofb0TH0Aqddv27bNPoYzZ84IAh0dHQ0q0CStJPbnz5/HyJEjERYWhnbt2qFkyZKiDkk0FV2S6M8//1ycgpEEX7p0CevXrxcKNttX1eVx48aJsRAflqSkJEGYiQV/Jyn+4YcfhDrco0cPUOUtW7as6CshIQGZM2fG/fv3MWzYMOTLlw/ffPMNwsPD4eTkhKVLl6J0aeUhJItEQCIgEZAISAQkAhIBicDLR+DMuav48P1xAFxtBFMLaMxYsaI3QrOHPNHhxUs30arlaEDjDI2IBEXemYi1a75EQAADEVmxcNF6zJqxBRqNYn7sVcAfq+d0gYszVVgN2nwwBhcvPIJGQz9OKyZ99R4qlC8miNT0r1dh8YLd4lrwfVgwbnIbVKvIKNWiszRjssJoNKNixb4ihBbZqAacA7Bu7SAEBHjbr+P+fs36PZg4dr2yF000wmoB3Fz18PD1QpPmxdD5s6bC31QpVhEkaviE5di98QxiYpMEufPwcEZQsC+mTf8Y48YuxflzkbZgXFroXXRY8WMfhAT5oly53pSbxTwVWTIFCxZ2waCR3+PWhQe2OfJ1E2bN/hzFCudB06YTxN5YmT/9kVPw9Zz2KFUiv0KKLVZs2XoQQ8b+iqhbUUhIMAoC6+nuBJ/cgZg4qDnKl1WiaA8bPg+/rTtrw0OhleMmtMIbVUvYyL8GR4+fR+fe3yPqdjji4hR13sPDAJ8QPwzp2xC1q5eFTqcEBxPBsCxWLFqyAdOmbMSjR/EwGLTwyxUES3Icjl4JT12dSAtOHBqDX1ftxooVh5R7xUZu32lVGj27vOOwnBqcPH0JAwf+hBvXbiM+IUXg7OysE2sRVjUv+vRojqwh/vh17S5MmL4FMfeiEB+fIkztXV108PJ0xzvvl0P3Ds1gMOiRnGLE5q0HEBkdL9at46ePBzR7+Z+kjLf4SpPghw8fonXr1oIsUo2lmkoCV6tWLdy6dQtnz55F9+7dBWnt37+/UFo/+OADbNmyRZDOtCUtCSYhJPHz8vIClU8SXJJCmjEfOXJEEEgS7sOHD4v3SYIPHTok6lGlJpnl6ySyauFrv/76K9hX2nLv3j1BqKlmc24k0yS0JpMJEyZMEGbf7I/EMzQ0FJs3b8bNmzfRpk0bQYInTZqEtWvX4uuvv37MvLp3797i+vQKTaN5YFC/fn1s374dHANJN4ktHzxUmYODg4XJ9vDhw0VfNPvmvHjwQLPyJ0/7Mn6DyZoSAYmAREAiIBGQCEgEJALPRoAKJUWPtIViT3r7sIzUZ3usp+aoIXlS/ViFybB4PzVgkVD+BElUSJ79WtugeG1qcKMnSTDbevoc2EjqNWyb/5h/VqRJglUIW4wOrfTzpMmsWt9sMotxkxQyWjHrPtkvTauV8Zppy20vSrt872lj5ftPb+/xcZktFpiMJoEXpyfGpNPb1FmlU6t9HVIxUOeoKuBK0C+L8CtWx6vOj7goDSm+45GR0UhKSkFI5kBRlzxCiXqtQaGwzrgZFSsOA9i2U0QKbtycCx9vT9t6po6B16TeD6kIUc0VarZZuX/oA86xMI+047qI8drrKZjSisCxnrrOauv2ubwCD4RXmgSr+JAIkpju3LkTer1im8/Stm1bQdYcC+suXrxYEMq0JSMkOD4+XhBTKrWO5tDz588XJJjKL/1kSZy5sFSdScTVQpL+008/CcVZLVFRUXBxccGjR48wZcoUjB07FidPnkTnzp2FuTVvKNahOXPx4sWFqst50s+XpttUg0mCy5QpI37ST9qxUDn+8ssv7cSY4yLZ5dh4ONCpUydhHk3SS5W3efPmTyXBJOk0UyCuBQoUEIRZFomAREAiIBGQCEgEJAISAYnA34vA4xGw0+3LMUuUMNRm+fd8TNOOWInp/TLCQCktOYaTEgcfViuGjFyIxd/txdhx76J6lRJwc3NFePhDDBy4BCt3noTWxZbXOMGMZjWL4PvF/aDVUc1/Hpwc6bkSbTt9UezxeumvhWOdv/cOep7WX1kSPG3aNGEi7OHhgQcPHgiFslu3bsKPl8SMN8JHH30kVFX6+pK40nz3woULwmTYkYSqgKQlwSSHJH0BAQGYOHGiCK7lSIJjY2OFMksVWiXBVGHZdvXq1YVSTKLs7+9vxzwlJUW8R/NsqtE8Senbt68gsFSQVRJM0+bZs2dj/PjxYi5UhtkOTbJJVPPkySPa5ukOCTTJ7+nTp0Ubq1atEuqtWkjYL168KAgvMaD5Bonu77//Lnyl33rrLZQoUUKYU/M1qsIcD9Vfmm9znKoS7EiCpU/w83yUZF2JwOuNAJ99x48fF9YytKThaS+ff3ym0dWDzzTHQ0zHg8N9+/aJL1e6cNAlI21RgxSyTT77eHiYXuFB3+7du7F//37xHGTh8531adVCtxbHL3E+Xzdu3CgOHDNS+KyuUaPGU+NJ/PHHH6Jfno43bNhQPI/TK7/99ttz9cmDVx5q8vuN3wMifUVYmIg9kbZwTqzHtaBVFFUVjocuMFwHHrSmNy5+3xALVVFp1qxZuhsetsnvDbbJ7xlZJAISAYmAROCfQYBUMjYmHuXD+uJifDQs4UZY3Z3hldkFMZfioPMDdM40mbYKv183kzOO7P4SOXNkEQHEXrkcRf8MbE/t5ZUlwfyib9GiBZo0aSLMgukLTBNhbqhUE2W+/8knn4AbCpJhmu9SwSQhTC/oFckr1de8efMKQGhezeBR3BhwY0MfXG4EevbsCUZ3pqlw1qxZQUJOH1lu0EhCSUhJmL///nuhOleunBqwgJsT+uPSRLtp06ZCFab5ttoGSSmVYNZjgC8qtiTAJKkk2Ddu3BABqThOtk31mz67RYsWFe3SNJxt0c9XLdyMDBo0SGx4SMB5HTFjOyT1NN0mjoxwTVypYtMcmkSYmyi2xY0bzaFJgkm6GRV7wYIFwmSbCrgsEgGJgETgaQicO3dOHEqSAJOEpS0kXVWqVBHPFQYldCyM7q8GHKRbB4Mipi18LquxF/ic5rM3beGzn89N1k2vuLu7i+8Hfm+ohc94knNa8GS08FCUz+u0hYSf3y2Mqs/CuA58bqdXiAXJekYLyTW/93hYS/cXFhJWZgRwLHTnYeyHXbt2gYcSaQsPIfh9wMNQfg84FlpR0fJILYw1oWZlcKzH78AdO3aIlxRTSVkkAhIBiYBE4J9CYMuO46j93ngYXJiC6fFnsHrIy9eN4SlYuuhztGxR0+YDnAGV/Z+axCvSzytLgokPTYS5OeHJP0/wWbhpIRmknysJnLrg/ALn5oeqJklceoV+xGxHjRzNTQsJMzcDDDLFAFlUHKg8k3CzMDAXiSQ3blQh2C/7uX79ulAYAgMD0+1LrcNNBzdZPI2n2kDCq57es3/6NbMON0+s4zhvRsQmmWc9zpkKifo7g3up9dXNyJUrV4Q6zes4FxUbjoW+yhyHig3HwrmT4HLTRoLPSNYk3JwnP0AMCsZ+0m5aX5F7Vw5DIiAReAUQ4DOMB32ORJIHgHx28T2qvGrh85KEmc9RtbwoCeYzkQecPAhVC78zaAHDwvZ5uKgWupcw/R6f+S+TBPOQ8bPPPrP3wyCIdHFJr/C5yud1RgtJLQ9bn0WCmQWhVKlSdgWcbVMt5mEoFfKVK1fauyPZpcUU31NLWhLM7wQq+mlVY0mCM7pqsp5EQCIgEXj5CERGxWDGzF8xd/FW3LkTw1jQDubgZmEg/k6jkujQviEqVSgk9vTCCDodH+uXP7r/VouvNAn+b0EpRysRkAhIBF4vBHhAyIMzuo6w0LqEgQHVgz5aqdA0l5YzPFRTCw/hVHL1oiSY7ZLscSyMZ0CXE8aLUA/8SJIZIJBWP1RHeQjKIIFURHnYx9ccTaRpLUMyyUIXHCqiamF9kue0gT2owNKiiHNVCwk/DxjTO0RUza/Vfvm3qsx26NBBuLGoQVnYJw9Keej5NBLMOZCAf/fdd/Z1oEUQD07VsfIggObLVOtZqKzz4JMKOUtaEszXaB3EGBSO+EgS/Hp9xuVsJQISgVcLAVX9jU9IxNlzV3D9xl0RHdrJWY/AQD8UKZgHWULSF+herZn8+6ORJPjfXwM5AomAREAi8J9EgG4qNE9WCfCePXsei1zvSHrpykKzXha6YJDssbwoCSbJpKLL8ssvvwjXj7TBO7hpYJR/+sWykCzTKkclgI7gM2ihmm6OrjEknn9W6IpC02T2w5R+VKZJbBnQkenp/qyQxKp5Exmrgkp1euVpJJgqOJVnFvoPb926NV2/X1o60axaJcIcG8fIkh4JdOiNngAAIABJREFUJrYk8o4WT5IE/9lqyvclAhIBicDfh4BKgtUo3gxEJSI4a5T0v/92oLC/b+Yvv2VJgl8+prJFiYBEQCLwWiDAXOsMGshCc2iqwk8rJFwtW7YUbzOI3+jRo8XvL0KCHYkbgydS/XxWIfFm7AUWmvpSvU1bnpcEU2lmbAr6G9PMmASTRJOBCBnMij8Z4PFZ5UVJMLMhjBkzRnTBwImMSfG0QvVXVeoZfPLbb78VVdMjwXyd5uMM4qgWSYJfi4+2nKREQCLwyiPg6A9sY8Ac8/MEgH7l5/j3DlCS4L8XX9m6REAiIBH4v0SAJtAMRshYCwwgSBL1rMLgeySFLAzgR7WS5UVIMM1/afrM8rRATo5jYlBBNYc7yTBNpNOW5yXBJP+Mw8DCPPUcE8k+ST9Np+kTrZpXPw2fFyXBDOy4bds20byaHu9Za0ESTDLMdaOPNhVxRxJMpZ6ZCxj7goX+xFTYWSQJ/r/8OMtJSQQkAhKB1w4BSYJfuyWXE5YISAQkAi+OgCOpJbGkL+6fFdVMmSSMgZxelATTZ5f+syzMEsAc688qjOysElJGWSbRe1ESPHDgQLuqzdRM9DWmOqymg2LQMBL9Z5UXJcEk4WpgsoxEbGZmgnnz5okhMT0e0/M5kmBG6a5WrZqYCwt/px+1JMF/dofL9yUCEgGJwH8dgVczp+/fgeorTYL5Zc5ox9w4PS3i8/OCorbJ9tJP+vy8LaZfn5saboTo55U2iIrjFQx+wnqsw9QirP+i81bbpAqRkUJ/OgZdUQPVcDyO6TW4mVPbEmHXjcbH/M3o+8Y+1ajb6vgd+1bfSzseXsd5O0YgZZAZ1lfXh/cAS9p7gNdxLE9rOyNzl3UkAhKBv4bAi5BgkjYqyCwvogT/2ySYzyD64B44cEDMhZH4VT9j+krTZ5rPdkbiz5Ur11OBflESTEVXPVR4GSSYhwPdu3cX/sL0s2Zhyjyq7lIJ/mufF3mVROBZCAifTqYd0wAaJcWrLZivYtsqPtd8T/yVxt5VVBaZYZU21BpsR6NJ1zrW3p9o1AqN6PjP18j+fBHVM3ABGHzQhJjYePj7edv7eCK7mmNTDpl8Hu/hz/tTUFAwerK2FUq/9J/V/vlk/6SGmotXCbps682aOgLxqsN7dl9e2xqpS8n1Vot99A6RnJ+W2MjxWe+YGsl+n9jXX72h0rl30pujbQ5qRGnF3zgVTeVvzpMY2tpOr+k0XPpV9FV+ZUkwydGwYcOEyRw3Gh9++KHIq6uerv/Vu5dtcTPCHI7p5RL+q+2q13HczA28ZMkSkaqCJmQMkvK0NENMXcScizxxZ07eb775RuR/ZN5fKiv0LXveQhM2mvQ1aNDgmZfyRmYAFtWPjn5fzB/ME38qO+qY2Q7VDhZGfuW8uBYsHDtVA6aVqlu3rsgrSRLL+aimj/SHe5oSwvkPHTrUHtWU+JGQM6UHN5MjR47E2rVrxViIJYPGqISZEV85/qcF43le3GR9iYBEIOMIOJJg5uelqfGziuPhGVPQ8bPP8rJI8Lp161C/fv1njoF+wHzGsbwMJZiRpJk3noXPT+ZKVgvNofm9pb5H39qnlRclwQxcRUWXhc/QPzvgdfTlTk8JJgkmPjR5p583I2/zEJIprzhHVRXOCOHO+B0la0oEXl8EyBfCwyOxc+c5lCmfC4mJSfwwo3DB1MOzFT9vxZt1ysHL8/EYA0eOnROHbSWK5sO5SzcQ4O+NiAfRgnRmyuT9NDoIq8WKHbsOo3o1JWBghorViqhHcfD0cM3wfjwuPgE3bt5DoQKcixVxcYmIi0+En68XLl25haBAP3h6uInfg4P8xFxu3XkIfz8vBAf5wmg049ipi3BxcUbh/DmeKSxxDoePnkXePNmewCniYTTu3nuEYoWVFKiOYaQyNHeHSiazGcdOXBSkumSxvNDrlRSnMTFxOHfxBnKFZoavn5ctPZF6kGHBrTsPkJiUjNw5QnDu0m3oNEDePCG4diMcWo0WObPb4mpoAKZCOnP+GkKzBiNb1iejPVstFjyIjIF/Ji8bqVcIuNFowqbNJ1C7ZjFcvn4f3h4GZA4OzHCGpBu37uHa9XAUK5oLnu5uOHL8IsqUzC++V9j2lau34OPjCW9vD1y8fBvZsvjD2ckJV67fRc7swYhPSMbDyGjkyZUVD6Ni8OhRnFgPSYKf4y7jly03DaqfE4OOFC1aVJArKo8kXVQA/fz8RKvM50vSxIifTP3Af+kVqpzMJUySyFy6bIdf5Mz5qxZuSLjBYy5L9VSfmwGe8nOz4ZifN20fJGR79+4VJJI3DDdmfG3s2LGi6qNHj0Q77I9kjhvB3bt3o0WLFmLDwT65+Wjfvr3I0cux0XeLhJL1+Xd4eLhIp8E8ytyY8B/nz9fUXMdUT4kBN0T0EePhQdqcxgcPHhSRTPmPhaSSGxxGOZ08ebLIHawWzmXZsmVQN7sMQsM+mXtYbZ/tcVPI3JNMW8KNllqepoYzbQdTcKipPVQSTJyYR5OHAtxcs/8VK1aI9WjYsKFolhte/mP+zBIlSjzH3SWrSgQkAi+KAD+rVAWZw5bPJjXtz9PaPXPmjP2Z4mg+/SIkmNGm+fln4XNkxIgRz5wW3+ehG8vTSHNGfYI5//Lly9sjLfPZ5PjdwPf5rGepUKGC+B54WnlREsznNr8jWfhMzZYt2zNx4HrxUKJKlSqC0PL57GgOrZJgft/QbFrNf0zsWJ+HnyySBL/op0heLxFIRaBbv5lo/3FTLFi2FqWKF4SzkwVvVCqNGzfvomiRvKhTZxiGjmiO/Pmyw8vTXaTHCc0ejJVr9kBn0OKDd+vgy3GLUL9WKWzYfhQVw4qjaMFQ3LwdjiIFc+FBVAzu3YsQZDQ2NgG37kTgh++3Y9DA1rh06SbcPdyRydcDOr1eELCQYH9cvX4HBr0emTP7487dB3B20mPSnDVoWq8cihXKhWs37qBY4Ty4fuMeXFwM8PP1wdlzl5EvXw64uToLnhmXkAgSq0L5c/GhgV37juP4mZsoXyI3AgIzifmxHudy6/Z98XtgUCYEB/rA08Mdew+dBsxm3IuIwps1w3A/4iG8PT3g6+uFCxdvIFv2IMTHJeFRbBwCM/kqqnMmb0RGx0Kn1SIwwEeAvGDJb7h6OxoDur0NvVaL+MRkMcaLl28iNFswUowmkCgH+ftCq9XAzc1FtMVDhwuXriNb1iB4uLuJti5evoHTpy8DWh0KFcgpyLrZbIVep8WjmHj0H74AXw76AD5eHoiNT0DWLIFITEzGwmUbBM5li+fEhUs3UbliKRj0WmzYegApSWa83bSaIJQWqwWDRy1El/ZNsW79HnzwXl3RZ66cWWEymnDn3kP4+Xqi16C5mDmxI+5FRMLXyxO+vp6i/1xFBuDEvsGYvXgTKpfMjkqVSuFeeCRy58yCu/ceiDlkDvYXBw88KPHzUThTUpIRTT4aja/HfYbVG46gZZNK6DZgNmZP7ixw2LBpLzQ6HRav2IESBbOiVvUyGDtrDSqUzI2qFQvh7p0I3LgVgQL5QgX25y/dQNHCuVEgfyi8PFxfuahdr6wSzNNpKpAzZswQpEo1X6aCy80OTdBIkvLnz49evXoJckYyxlP+nTt3YtKkSeK6tMWRBK9Zs0acbJMgkliyr/Xr14sv+EyZMomAIYwmys0dNwLMuXjs2DERTVPN6Zi2fQZGIeF1zJPJjRDVUKq7NHemafHq1auFD1tMTIwgwUzJwTQXHHejRo0EEWVbQ4YMEUTz/PnzYiPCQwD6Z3He/J3pK4gV61B5oDJKwkzfNAaf4eaIQVM4P/ZFkza1UNXlCX+rVq3ES0wHwoitvI5mcMePHxdKNCOIsnATS+LNPjk2bvJItlXFmJsjEnkqwTyMYEoS+ppx46mm/0iL17NIMMdLkqtir0ZYVa0BeFjAtacfIAn4sw4n5BetREAi8PIR4GdQTSHEz7vqb0tS17RpU/E3rTf4TOLza+7cuWIQfM4wQjQLDw1Vi5dRo0aBkY7TFj5P+Cxheeedd4SZMQsPMdUDTPVwM720R2p7DOTFZz4Ln6l8pqctGSXB/P5hdGk+pzJSeFigEva09V+UBDuSe1pQqUQ/vXHRuobfoSx8ftKShyU9EszX+YyvU6eOOOxIWyQJzsjKyzoSgT9HICk5BU3bTcLcCe1w7sJNRD5KhIeLFqs3HUXW4ADkzOqF7+YfQI0GhbFw3nbMmNYWh05ew/e/7EOnttXh4uKE99+tjYlTl+Hk9SicPXcLo3o3x+wlO1G2aFbkyhGCyKhIXL35EOVKFcCatXtQr04ZnDh2Cd4B3vDwcMOBQ2dQp2p55M3jj1Ej12Pc+GaY/eMfOLHvCKZN6ICKdcfgm6nvY/v246hbqzT+2H8S/oH+yBrsjUXzd6N89XwwxsdB5+KCUkVC0eStqkJ9pOpLElwwX04ljY8VWL5yO9yctUg2QuS2vXbtJlzd3JA50B8RDx4iIcmI0GyZUaVCYYRHRGLe4g1o1bwaLGYL9hw8i6QUE4L93GHR6HDk+CWYLWaUK5kfJ05fRuYgXxQumBN7DpxFitGKLp81gpOzAV+OX4wcoZlRtkReQTKvXb8D/0w+SDGaceNmBPQGHbJm9sfFq7eQJ0cIihXJg9837kXBAqGIiorHjVvhaNuacSesiH4Uh2mzf0b9OmFwdXXGlSu3EREZi+KFQ3Hw6Dls2HUefTs0wm+bDiIowBsN64Yha5YgJCWlYPnKnahcvgB+/W0PsmQJRPkyBXHvfrRQTIsXziEOHJKSktGi/Qz8Orc7zBYLfl2zAz5+Prh5KwKPYmKRPUswsmfLhImz1uDLfq1w9sINrN10BDPHtxfP7K4Dv0XHj97Epm1HULpYKK5SEfbxRt7cWbBr7ynky50Vb1QugQOHz+LilZv47MNGYl737kdixS9b0Kn920hJNmLfoTOIfBiNbFkDULpUYaz4ZRtCMvth7uJNGDP4QxqWY8a3axGfbEG5otlQrFAOQdT37D+NTH6e2LDlEEIyB6D1OzWh1+kyrEb/+Sfm5dR4ZUkwp0c1looko2uGhYWJTRPVX246SJ64eeKmisSUJJjqgkoG+eWspuNwhEolwSSJVDFIqknQ6P/E6zds2CBO70kEg4ODhck0c0uSPJJkMbAKfdm40UivkKCSXKY1teZ46HvLa2nqy40cCTfJPUkwlUySa5pEs20SUm5kOG/Wpb9Xv379hGJatWpVkQaDm0JuGEmaWY/t0BSbxJ3z4/zZ5+XLl4XyTYzYt1o4T0ZHZV9sv2/fviJtCNvh5pAHATTJ5hh79OghLuMBA9VrkmDHcuHCBZGnkqbLJMnst0CBAsIXjuMlUU/PR/lZJJgHDdz80sSauNESgJs2rgtVYY6L60S8aJ7NgwFZJAISgX8OAebHJUHigRhNnEmUqELymUOLDRJOHgjSd5efY7U4plPiwZl6qFimTJl03Rsc0yulJcr0U1UtSfjs4zMr7bOGJJPEe/jw4WIIVEA59vSeSRklwUxJpBJ2Pn/Ta4u4MGUSD1Lpt0tcHOMfqHi8KAl2DPhFvOlSQ8Kf1iyaRJdzp8sM1V/WY/7mZ5Fgvke3JLWe490lSfA/91mTPf1/I0By1PCjifh2fDv0GjgTzZrWgpuLFrv3nkKXz5thxNj5uHIuBfPmf4Gc2Tvjl7VdsH3Xcfy0/gSGdmsAV1cXQYLHTlqKYoWyYfuekwgrWxQ9ui9Hk3eLo2SRfLh77z72H7+E2tVK4IclB7Fz61AMHDwfMJgwsNcHGDlhIQoXKoz8uf0xctJGjB7cCEtXbMYvP+7FsiV9MX7qj1g6byBmzP0V7zZ7Ax90noqcoZlRJE8Q1vxyAj+v6I3zF69h7MRf0apNdTSpW1Y4xcbbSHCh/DnFIqok2N/bGVWrlMXPq3dAAwuaNqqOtet2oHKlUsjk54XFyzfio9b1hYJKUjj1m5UoWiA78uUNRaECOdCxxxSElc6H2/djERcfjx4dmmPOglUIDvSDt6cngoIzoWL5IkKRjI2LR69B8+Ds7opPWtXE8VMXEeTvg+iYeCQlpkCr08Hd3QW1q5fF+k17EBCQCcWL5MXvm/bA1cmAqOg4aHRafNTmLTGHlBQjzGYLRk/8HuXL5qHlOiIexqBEkZw4eOQsLl+6g/fb1MO4KT8irHRe1K9TXpBDmhbThLh5oypiTFt3noC/vzdcnA2IjIoV15M00hy++RfTsfrb7khOMWHg8G8w7sv2WLx8E0oWyY1de06gRZOqmD5nJbp1bIGNWw7gu18PY+3C3mJsE2esQJZgP+i0JPbe2HPgHLJlCRSE/vylu3Bz1aNB3UpY89suXLtxH4P6vC/mde/eQyz/ZSs6t39brNvIicsQGuILnV6Hz9o1QVxcAn7bsFcQ7hnj22PR9xvwyYdvYcLMlej6SQOMmrAYHT9rht83H8AHLd/Emg17kDdHCPQGDYoVfvLQ+d/+VL+yJJhEiqbO3BxxI0GzaBK7t99+Gww4QtJK8sqNjUqCSZC4ESMRpO8v66UtKgkmgaaCyGu5GaApMMka8zwyryN9YKnUqqa6JODcUPBLnz5gT0t5wY0RN2WO+TJpBkdzOJI1klCa0DG3JtNQcA7pkWCSTpqDk/gWL15cTKN169bCf5fjpIpN02mOq3nz5uDmkcFZaLKskmBuTqkwM3UI1VoqMY4kmG1S2WX6C15PdYXzdQxAxc0ZcVSDo6RHgklU6ffMsaVn9kwFl+vpaHKurgs3YyT7qikf8WUbHCdJOom4GiyMG2qSf64ND0NYjwcT3GDy+vQOPf7tD5jsXyLw/4wAnw/8XKtqKD+XPJikdQnf4zNMJagqDmkVUX7m6e9P6xgWHgjyd9Wkl899Ejea77LwOceDSbXwsJRWP3TP4DOabiDsg88+Fiq2fL7xmcK+eEBJtw3VWift+mSEBNNdg+4lnCMtcvh9kp4fLr+7OB+6h1Ch5qHr/9i7E3Bdp/J/4KsyF8nYkTHzeAxxUCJJmSWJIr/MUWQIDaIQKpLMVIRwzCSHUObDEZmPoTJmbtAk1e/3vz4r9/k/57X3Pu8+5+x93r3fe13Xvvbe7/sMa32fte7n/t7T6qlA1pSSYOMSScTrriHaPL4igRhLeQY8B+9NBkoNSTbWkNm9eYIdaxxkvHdWsyUJHs6rO8c2mAhYS1vv+K2y3x4blUOPOrtsueWHy5yzTV++861rypZbjyyzzDJ9OffHY8vmW65c9jh4TFlvhXeX7T69fNl+9wvKiUd/rMw8y4zlfz75kfKVw35UNv/Ie8qY6+8sK6+0bPn2KT8rn91mzfLqq/8pJxx3fdn0o8uUt849otx+87iy/dYfKDfffF957T8zllXfs1C5+rpx5cMfeV954Zlny48uubvst+uHymMPP16uv/a2cvTRe5fDjx1dRv/goHLUdy4s73//0uWI064q226wUvUGnvnDG8qFow8sm336yLLzp95bjjv29nLLjQeVNwk7lhMc4dCvp1Eg1wvNP3cltGOuHVveOc+cZcUVFi833Diuyq8111ixXHTZTeWzO25Sfnb1LTVv+P4Hf1uWWGzB8vSzfyzPPPN8me1t05dRo1Yo5110U/n7q6+VA/bcopx02qVlxDvnqNf91T2PlQcffb4cc+hnykt/+Ev58yt/LTPPMF25eez95eZxj5RtNluzTDfDdGXxxRYqd4y7v7zpzW8q66+7Wr3fPPPMVeadd45y1dW3lVHvWaaGhv/63kfKPPPOXlZcfsky/uEnyvPPv1A91tNNP3159rk/lIce/X35zDbrlLF3PFQefuSZstvOm5bvnXx52eCDI8tKKyxRQ7wP/dbZZa/dNi//+vd/yoPjf1PG/+5PZfP1Vyljx91X/vmv/5R1379izYFeaIF5ywEHn1b22GnTctI5vyzLLPjWMmrUimX0ZbeWf/7jH2WLjdcsTz79bLnqurvKB9ZcrrxzvnnKZw66oDxw5UHln6/9qxx70iXl51c8Wg45dOPyr9deLQ8/+kxZY7UViqxhYeLPvfhKWW6J+cpMM89cfnnj3WXddVYpI+ads8w26yxlgQU+X665dp9y+dW/Lo8/9Ww55ejPlR/++PKyy45blFvH3lMNvl89cnT5+IYjy7JLL1aWWPxd5fgfjikf23C1ctXPbyuvvvq/ZcdPf6RGF5x/0S/KHHPPVdYatXSZd+53DOaSauteHUuCETJeWS92pIzXlLcRoaJseLnLFUUm2yHBCy+8cCVKvIlC7yhWPKzNPFMkjnKElLLw81IiyjyMSKkQbDlolIqeQq0hjqjJpxIiiKTKd0MgKQ/ILBJpAlGceIz7IsEILZKK6Mpfc7ziK+2SYMrW6NGj6xYi8KSQNkkwsu+6POC8u8K44S1kz2/KGw8AkizMWmslwb6jZFK+IuQZpkKiFYURos6r7HdPxcEof7wo7kM5pZS5r8+vuuqqSqx54Z0Le1EBFGZhmEHM9YuxgEGkr0rcba2IPCgRSAT6hQBSRTbyRkazDiO/n+ExGqMmoxoZqX5BNBEoDIXNqvQ9dUIEClkaqRFxDCMpeS48OloYLVuvI+LG+6O34lHtkGCymVFSk7ISHubWe1FsyUiGSo1cVe+htU0pCXY9z0FEzDnnnDNJDLwDvZuaMrkvEuyConm8w9SoiJYkuF9LJQ9OBHpFQEEjuZq3j3uoLPbuEWXuuf5LGMjPBx9+snzg/SvV/NdXXvlbzZ19y1veXB4a/0SZaZYZy4h55qz/zzffXOXxx58ts8/+1vLSy3+pBZN4Fx9//PflvWusUB5+5MmiKPI8c89Z/vb3f5RX/vLX8vbZ3lZme9tby0MPP14uuPSGcsQhu5Tb7ri/Fq1afNH5yx13PVSLIy2x2PzlyWdeKMsts2h58cU/1PxShaseHP9kef/7ViiPPPZMWXrJBWuu8d33PlxWWG7x/xbl+r83lb/+/Y0k+NnnXq75q7fedl8ZufyiZZa3zlxuvf3+suLyi5Xpp5+u/Oqu8WWlFZco73j7rEURqrHjHijzzP2OstiiC5Q773ywzD3PO8r8881Tbr39vuoV5qlFHJ96+vky/QzTlbnnmqM8/MjjNed3ySUWqv2SSofoyjuGlzHOOMP05bY7HqjX4NmVP/z8C3+oRZ/uuffRGqq94PzzlrF3PFCWXGKB8oOzxpT99vxEzf29867xZYYZpqvFy+665+Ey04wzloUWnLfm5E433ZvLa//8d+373/769zJyhSXq9e++5+Gae7zE4guWJ596vkw/3VvK8ssuVu69/9EaLszY+653zVv78ac//63ceddDZaWRS9Rwd6HLK49conpjPedVVl6qzgnh04/+5uky+2xvreRfqPdTT71Q7w0zjiL3fOaZF8uoVZct99z/WB3/skstUm4fd3/F6tob7iqf2mq9Muuss5Tf//7F8thvnykjV1i8/OEPf66h9D4bMWLu8s9/vlZ+9euHyxKLLVCLr/35T38tb57uLWXJxeYv997/27LqKkuVhx99ss6vBRcYUcfzwgt/Kquv9v9rDHWSGOhYEgwkigXi50Ur9+qkk06qFm3E1Av/wx/+cA0vQ/QQuO22266GnCF2BIcw4WhRvdi15E9ttNFGlbBGWC9SRYni0fAdLyRSx0PMuyzs1j0pX0LIfGf/R+Sy6eGk+PEgu4eHzysRYXdIm1A+igfCJxfL93LpEG2KlTFTlIzFdzyzQozd99prr60EWo4uYkuJZO03Tl4PxgCKDW85jwN85BYLN6Rg8kZQFiN3FhaKV1FeeSn0j3cDgTW2GK/+Rwgf44HQZEqdfGKEuVmanZdWLqA8ZPcldBgzGASQ7djTs7kIeH14yfXHffQRRrAURsnLwrNvvK4l99gzEW4dTag37KJQWictsuxLIjDcESArGCUVsmMUa22iZ6RcMOpFs5ZFq0QTMSOlghxrbXKKyTIEtqdwYscz6onC4SkOr3FcxznqRXiHRGRNb8+kHRLMEOfdpDHO9VXFnwJiSygRM5p3TGvhxqlBgmM86krwxst5bm0MoyKCeHVbt5Zj9CVXtSiM1Tw/3p3NVKAkwcN9Zef4ugmBCy//RfnYpuvUIbe3/VF76MgJfurpZ8vSCmMN4UbeqY48wwztbT86OUP17qpkvbEl0eRcpz/nGJdtrBD6wbxvf/o4UMd2NAk2aORHQ9zi4SBHTS+D7/zP++AYf3uorYWSEOP4PK4VXormsY7xuWPi8+Y941zkGznuKcy3p3u1jif6HIpE9C32DQ5Phv9j/NG3+D/6GZ6XCCdu/o7rBWbNSR7jcn7Ti9rTePW/iW30pTk54zo9YchgoOBWTy2ecxPzOC6wjIJYgUfzOk0cBmqx5HUTgUSgdwSseYSPp5BxMmQx8on0MYohw75HxkT2tMpockC0CiJK1mgIrPSTSIHo6xk4x30QceHRGgOcSvv60E6kCFniGhpjZ0/7kPs+3h2Mc5NSHBhVQ8bxhrf2A3ZCrGO8vW2pxwgc+6YzXPa2F7znwEjJwOperr/44ovXAmXG1FvodoS1x64DrVgbQ1S89t1AbDOYaywRSASmDQITjFpt7wHcXj8VdkIeZ5pxhvZOyKMSgUFCoONJ8CDh0O/bEBaqR/cWFt3vC3bBCcLpejIYdMHQc4iJQCJQ9y/8Vw0PRgTtK54tEUgEEoFEoDMQkC86NT3A/39Ugr21/+4Umy0R6BQEkgR3ypPIfiQCiUAikAgkAolAIpAIJAKJQCKQCAw4AkmCBxzivEEikAgkAolAIpAIJAKJQCKQCCQCiUCnIJAkuFOeRPYjEUgEEoFEIBFIBBKBRCARSAQSgURgwBFIEjzgEOcNEoFEIBFIBKYUAUWZFHxSj6F1i6QpvXYnnK/glIJVCln1VIyrE/qYfUgEEoFEIBFIBIYLAl1LglXOVF1To3wMR6VquEzSHEcikAh0NwK2I7I1j6rT2iZn0aktAAAgAElEQVSbbFK3xVtggQUmAsbWcLE9nW3cbIF3xBFHlHHjxtWKz/YYtm/51GqqUdveSDXlyW2I/Sc/+cm6vV00WxjZ/q7d9t3vfrduHQcj2wmeccYZ5bzzzqv73dtXPlsikAgkAolAIpAITIxA15LgQw89tO7Bq+27777F3orZEoFEIBFIBDoHAQZK+56PGTOm7mGO/NrH/Nxzz62dtO/vbrvtVv+2T7BtgDT7BS+44IJ1v/EDDzywzDnnnHX/8i233LLunz41mj3k7WPuvpO7P7ntoOx/fOedd5bll1++jBo1qhL2e+65p+5Xr5J2b9sgNcewzz77FETYHuvrrLNO3ef3gAMOKFdeeWXZcMMNp8Zw8xqJQCKQCCQCicCwQqBjSfBVV11VNthgg7rX4U033VS307CP4m233VZefvnlajl/6qmnynXXXVcVnieeeKLuLWkvWec999xz5e67765/P//88/X/kSNH1od3++23l69+9atlu+22q8rLN7/5zapIrbHGGuXhhx+u17f/IaXkoosuKssss0y9TnNvR3s1/uxnP6v7Ua699trlPe95T+0raz6laIsttqh7Uz7wwAO1n88880xV4nzmPNdM5WRYraUcTCKQCExlBI499tiy9957V+8muR2E8NZbby3rrrtuDY9+9NFHy2KLLVZuueWW8r73va+SP15ijYz1LrFfrr2Gmw0BtdcvWd+6X3Ec5xj7FLfu2xt7rjvOfsT2Io4mXNt5jrE3sfN7azG+b3/722W//farh9lGatVVV637KN9///11T+Vo//jHP4of/bU/cbRWEux6+++/f5LgqTwf83KJQCKQCCQCwweBjiXBW221VRk9enS59NJLq3X7e9/7Xjn88MOr4nPccceV0047rYZ+zT///JXACvvym9LDiv7rX/+6bLrppuWll16qxzqPoqRRnFyL0kGZ+NKXvlT/R5opD2eddVb9HxnmIRZS516rrLLKhCfvOKR2s802qyRcmN13vvOd8pnPfKZ6ID7xiU+Uq6++uhLeM888s5xyyinV8yyvzbWFqF144YVlqaWWGj6zKUeSCCQCicBURADpJTNfeOGFifYYRzSR3rXWWqusttpqlfhuv/32NbVlxhlnnBCezDDpfOkuZH2QU6HS1157bc0vZjhFqhkmNcZRBNQ7h5d2vvnmKzfffPNE9yfnhRxryCjS7f3jfqKMjj/++Pqde/rbNXtqQYKRbIR3kUUWqYcxsvrRb/3TGFxXXHHFSq7lDhszY66WJHgqTrq8VCKQCCQCiUBXINCxJPjzn/98JbZbb711obAglZSc888/v8gPW3/99auXlodg4YUXrqFgcr8QTaRUuBwLOrIpR+z73//+hBxgT9ZnX/va1+pD3muvvarCc8MNN1TCjfAKdZtrrrkqqaZo8Ow2PQkINaJNSaGsUEqQ6WOOOaZeUz+E7r344ovllVdeKdtss029Bwv/mmuuWZUZY1lyySW7YqLlIBOBRCAR6A8C8n/J2Q984AOVsDYjcVyHMVMuLkMiw6V3wE9+8pMqY4UEawyNv/vd78q2225bRowYUckqwkgWk/uifXia55133uppFhnkXfPTn/60eokRW4ZW5zTvjwAjwpp3lXeUiKD11luvRif5TGTRj370oxodxEi6++67v2H4SDtvcTTvDHnOO+6440TvmwcffLCsvvrq9V3nvShMmpFYOPiuu+5aU3qa4dDpCe7PTMtjE4FEIBFIBLoRgY4lwWPHjp2QD4VACoMWdibEC1mVF/b0009XTwCiKaeKMiOcGbmUV0VBQJh5ghHWZpsUCea9RYLlZX3lK1+pSk4rCeY5psDwUvBYCKumfGhBnJ999tkaxi18m9Wfgvbe9743SXA3rrYccyKQCLSNAM8okooYXn755T2ex/goD1gqjJBnstU74qijjqrHb7zxxjUk2PtBJI/IoLnnnrsaJRk6Nek2IoVOPvnkSiiRYAZW5/WWP8yDHKT4j3/8Yw2p1ocVVlihhmQrUsULzAC67LLLVu+01Bi/W5tUHoSap9ff0ZBq0UTO8W7z/oAJw6lxe/c5Xji4902S4LanVh6YCCQCiUAikAiUjiXBQthY4M8555xqUV9ooYWqIuRvIW2s4ap88voitPJ9eYqFiu2xxx5VGWL9p5BQioRG8xzw2gpfUywFueXJ/dSnPlXDle+6664JnuCeSDDvLYVHkRVh0hQRYW680vLOeBmQZX3hORYKzQuQJDhXWiKQCCQC/UMgSPDmm29eDaI9tSDBqkIjweT9F7/4xVoYSouc4DvuuKMaIBkuGTMZL+XxIrPeNYyV5DZjKRLM88ygyhDaU+spJ1iaCzLKi8x4qjlOtJL+qQshtLqnpg+qV0vlYbhFeJFsId88wMapOR+59j/jqx0OkG/G1yTB/ZtfeXQikAgkAolAdyPQsSTYY0EsVcsUoiY3WKgZ0kpxEd4sb1herhxhZJg1Xrv44otrLhdFR1i06qLyqh5//PFKSnfeeecJBaxY/t2HV9n1/WaBpzS5lzwxSg0Fyb2QZdtXINRC3SgiCO9yyy1X88Hcm0VfHrH8LtZ/n8tb48GWL+zzU089teYTC8PLlggkAolAIjAxAoyHIdNF+7QSUtFBUkvIZuRWXu+kSDCirIihdwfvqndJNNE8vkOChTSPHz++XyRYeo18YGHK3jlBgvUPoW/Na/a9/ohYkj7D0BuNEdY7jUebETdIsHdRsxK1zxlnGYWTBOcKSgQSgUQgEUgE2kego0lw+8PIIxOBRCARSASGGwKifA4++OBaG0JaS+zt/tBDD1XCy4PKuMjbGtWh+/IES6MRySMiyK4BQqMZM6XfyOMVft1fEoygI+tPPvlkNZqKNEKgeZrl8gpbRlQR69amjgUC697+Nj7VoU8//fSaQ3ziiSeWz372s3Xsu+yyy4SQbYZVBlyebtFH6lEkCR5usz/HkwgkAolAIjCQCCQJHkh089qJQCKQCCQCk42Are0QU7m8Sy+9dC2SpZjUFVdcUVNTVPiPOgztkGCe3wsuuKASXWHGyKncYEWzhCIjoe2QYNdxvoghfdppp51q3QdEFWHlUfb92WefXdN3hFd/8IMffAMOxufemjBtaTyKM9pmT9EvJNr3diqQb+xa7iXnWIi1+he8zlkYa7KnWJ6YCCQCiUAi0KUIJAnu0gefw04EEoFEYCggwNMqPFgoMK+vtsMOO9R0EmkvM888c/1MyLFaDTyvvtfUfuDxtZ1QbEfH06q+xDXXXFO9rjy2yGtU6lc5Wj6wGg+zzTZbrxDxRsvdlRrDWyt1x98KbSmsxdusmrN+Itu9NdWr5TAbn3ScGB8Pr/3phTwj3apl8xALq5ZrrGCYYzTVsZFnodPG6f6up19ScbIlAolAIpAIJAKJwMQIJAnOGZEIJAKJQCKQCCQCiUAikAgkAolAItA1CCQJ7ppHnQNNBBKBRCARSAQSgUQgEUgEEoFEIBFIEpxzIBFIBBKBRCARSAQSgUQgEUgEEoFEoGsQSBLcNY86B5oIJAKJQCKQCCQCiUAikAgkAolAIpAkOOdAIpAIJAKJQCKQCCQCiUAikAgkAolA1yCQJLhrHnUONBFIBBKBRCARSAQSgUQgEUgEEoFEIElwzoFEIBFIBBKBRCARSAQSgUQgEUgEEoGuQSBJcNc86hxoIpAIJAKJQCKQCCQCiUAikAgkAolAkuCcA4lAIpAIJAKJQCKQCCQCiUAikAgkAl2DQJLgrnnUOdBEIBFIBBKBRCARSAQSgUQgEUgEEoEkwTkHEoFEIBFIBBKBRCARSAQSgUQgEUgEugaBJMFd86hzoIlAIpAIJAKJQCKQCCQCiUAikAgkAkmCcw4kAolAIpAIJAKJQCKQCCQCiUAikAh0DQJJgrvmUedAE4FEIBFIBBKBRCARSAQSgUQgEUgEkgTnHEgEEoFEIBFIBBKBRCARSAQSgUQgEegaBJIEd82jzoEmAolAIpAIJAKJQCKQCCQCiUAikAgkCc45kAgkAolAIpAIJAKJQCKQCCQCiUAi0DUIJAnumkedA00EEoFEIBFIBBKBRCARSAQSgUQgEUgSnHMgEUgEEoFEIBFIBBKBRCARSAQSgUSgaxBIEtw1jzoHmggkAolAIpAIJAKJQCKQCCQCiUAikCQ450AikAgkAolAIpAIJAKJQCKQCCQCiUDXIJAkuGsedQ40EUgEEoFEIBFIBBKBRCARSAQSgUQgSXDOgUQgEUgEEoFEIBFIBBKBRCARSAQSga5BIElw1zzqHGgikAgkAolAIpAIJAKJQCKQCCQCiUCS4JwDiUAikAgkAolAIpAIJAKJQCKQCCQCXYNAkuCuedQ50EQgEUgEEoFEIBFIBBKBRCARSAQSgSTBOQcSgUQgEUgEEoFEIBFIBBKBRCARSAS6BoGOIMGvvfZa+d3vflf+/e9/l//7v//rGvBzoIlAIpAI9IXAdNNNV970pjeVf/3rXwlUIpAIDEEEpp9++qrX0G+yJQKJQCKQCPwXgTe/+c1lySWXLG95y1umGSQdQYIR4BVWWKF85zvfmaZgTLOnkDdOBBKBRKAHBMaNG1fuvPPOsvvuu6eBMGdIIjDEEGDAuuSSS8rb3va28qEPfSjX8BB7ftndRCARGBgEEN+jjz66jB07tsrHadU6hgQvvfTS5c9//nOZccYZpxUWed9EIBFIBDoKgXPPPbecc8455ac//WlH9Ss7kwgkAu0hcNBBB5XZZputfPGLX2zvhDwqEUgEEoEuQGCDDTYoF154YXnrW986zUabJHiaQZ83TgQSgUSgbwR+8pOfVBJ85ZVXJlSJQCIwBBH4yle+Ut7+9reX/ffffwj2PrucCCQCicDAIPCRj3ykXHTRRUmChUOnJ3hgJlleNRFIBIYuAkmCh+6zy54nAhBIEpzzIBFIBBKBNyKQJPh1TJIE5/JIBBKBROCNCCQJzlmRCAxtBJIED+3nl71PBBKBgUEgSXCS4IGZWXnVRCARGBYItEOC//a3v5W//vWvE8ar4MQcc8xRKy/21v7yl7+UV155pbzrXe+qtRhU6J977rknOvzFF18sM8888xuKVjj2j3/8Y1G5+h3veMeE+zz77LM17HOWWWap1ayjsvXUehAq7P7zn/8sf/rTn2oBxbnmmqtWzp7SZjyvvvpqzdscqKYyMDy1eeaZp88CkJ6LisKacc4wwwz1Gf3973+f5Lm99R9mnmXW3BioJ9z7dYcjCSY/fvWrX00Y9IILLlhGjBhR51hvjUwwD1vlzJQ+EevimWeeqT/k3uKLL95nP8iR3//+93UtxTpr7QNZ9uijj5Y11lij12Pa6bd1/5vf/Kbeb4kllqjyVnvyySfLb3/72wnyYJlllun1cs8//3x58MEHq7xbaqmlan/gf99991VZO3LkyInk4EsvvVQef/zx8p73vKf87//+b3nssccmjFcfyOVsiUAnIJAk+PWnkJ7gTpiO2YdEIBHoNATaIcFyanbaaacJihBiSKm66aabeh3Oz3/+81ps63vf+175+te/Xo+99tprJzr+gx/8YPnMZz5Ttt122wmfI9tSV/xG0NZee+1ywQUXVCJ8wAEHlK222qoqau973/vKLbfcUpW0qdUog/q02WablT/84Q/l/e9/f9lmm22m+PIPPPBAufzyy8uXvvSlKb5WbxeA4yKLLFKMARE95phjer3XcccdV5Zffvky++yzVyMDcj5q1KjyP//zP7WPfRk3eruoZ0RZpgRnG1wEhiMJ/vWvf11WWmmlWrXefCaDFLk5+eSTewQXGfvwhz9c5/Fhhx02VR/AFltsUW677bay3XbblauvvrquD/Kst4qz1sJee+1Vxo8f36vh64wzziif//zny9NPP10Ne5Pb4PHlL3+5VgbXNwQVCSVT1XrQ/H3WWWf1eAtkd6GFFiof//jHy5lnnlm8DzbddNMy//zzV9mLqP/gBz+oz0JD8MlIRr1bb7213HDDDWXDDTcsX/jCF8oPf/jDcuSRR5btt99+coeT5yUCUxWBJMFJgqfqhMqLJQKJwPBCoB0SrLriIYccUj0zlM3Ro0dXwvTcc8+Vf/zjH+XGG28sn/jEJwqP8c9+9rOqFPGa2H5phx12qDmLt99+eyXBvJXXX399JbL77LNPVZg+/elPTwDV3zwQN998c3nqqacq8aUwImtnn312VczOO++8cvjhh1eFC/njDbn00kurJ+MDH/hA9Wy+8MIL5Re/+EWhwPbmjWl9kraaoXDrP+/tHnvsURVqnqW77767eksQzTXXXLOOG8lHwnmtkeXe7uM8mMGQpxkOM800U+0rhTqupYIlBVMfeLWQfJ4tL3LH99QopbvttlvZaKONqvKquc/WW29dMeYhcj8Ku+vo77HHHlu3DHz3u99dC4ZQZnfccceKuXMeeeSRem/Xm3POOatB4P77768eH9fwt/7wBjEYUOI9X8o07xfCz4ix6qqrVq/Z5JDq4bXKBnY0w5kEW8fWH5mw2mqrTfDGnn766XXeakigtbfiiitW8sYAtO6669YtMR9++OFqMCNnrD1YfepTn6pezEk1a+vb3/52Xedjxoypa0cUhXm9995713XH22o9IZPuSQ6stdZadds5fyOWjmF4Ih933XXXsvLKK1dS+rnPfa7KQHJuk002KR/96Edrl9yPLJp33nnrWiYPyCLX+9GPflQNASFrnL/xxhuXddZZpxoN77rrrrLccsvV9a1fyKv12VuExvnnn189yTBcf/31a98QYvjol4KJ7nfHHXfU4+AIB1jC33uA15lMJ3NElFx11VWTgja/TwQGBYEkwUmCB2Wi5U0SgURgaCLQLgn+6le/WpUbiuEVV1xRFSOKHu/Dxz72sUrWEN9ll122PPTQQ5UM77vvvvX4IME+o+ghRYsttlj1MBx//PETkeBTTjmlHHzwwYWSS6mlAIcCxwN9zTXXVMXWtjDf//73K1FDdD/5yU9W0ouoIXCIGg8ID0672yPw7lAyKZwLL7zwhFBs10UkKb+8HRRaiuACCyxQ/4aD+9xzzz09hiEHCeZlXXTRRcvXvva1ihdiT6mkPFJkkXlkGc7G9853vrMSe9eGU0+h2RRrhgDnRfvPf/5T++EeFFrjQVIpqCeeeOIEEoxoI62IsmuE4cGzPvDAAyu+FHLKMAICGx4nhgDPVIQVkmIO7bffftUQAnf3hY1jfvnLX9Yw1mwDh8BwJsEiG8xR7b3vfW8ljQxF5qa/V1lllTonv/vd79ZIBETuqKOOqvPx5ZdfLuSJz3lmGeQ233zzOrfXW2+9ST4Q6wOB5l22zqOdeuqp5cc//nGVccKjkU0k1LWRQZ5g5BX5ZUxjHCI/yDIyBKEkMxieLr744jLrrLNWLzfvN4OTMfDAnnTSSXWcjGxkJoOSz4y/2chY64xBCknnDXYvodEwuOyyy+o1+2qOI2usd+Mmp/WFfEe+yRnyidw79NBDi0gfJPiJJ56oMphRksGQfEGksyUCnYBAkuAkwZ0wD7MPiUAi0KEItEuChSGHN5JihwwiPTwFQYKRKWHSwgApiJTUJglGrnbZZZfqVZXbR8HkTWl6gilgCJvtXhAqodFC7twbCUQQhfEivggvL7Rr8j7Ks6MI8jYjvkL2/G43r1dfhSfyYLsPRQ+hdz4CyeNB4aNUIskUaYqr83hQeat68tgGCYYToi3EE4bOoRDPN9981TPE+4L4wgaph5drU7K/9a1vVa9sa+NxhSEveWujtPqex5bnSl4lz1R4gn3vmkgG75XjeIQo8Lzpni0FfPXVV69h7RRyDWnnjRcVwGBBKUbwjW/JJZespBpxFj5K+WcYyTZwCHQLCRaBITLEGuehNZdFLUjVMDcZzZBJZIwnVC4vgmleI6jWiPVkPbcjE8gi64IBqEmCEWuhxtYE7y8ZwOiDKIq48DkjFqMgOcnohcyTDfruejzWEQ6NWFpvyLN1Y79nco/8ItP0H6m99957axpDaxORI6rjhBNOqMYsaxa5ZgBDSq3B1lSU5jUYzZAFRBsJtu57IsGRemI8rocEk4tk4dFHH12J8HXXXVf/z5YIdAICSYKTBHfCPMw+JAKJQIci0C4JlteL5GnC4nhyKUsUtXZJMKLEKxkkWM4tBbZJgimQwvl4O3hSKK9IGdIbJFh4n3siwTwvPDxIcxRk+exnPztZBZp4uBFbJJRiSKmT40qR5o3lKfE3BZt3hweKAqxfvDRNEhzFvYQ0Bgk2Ft5TCqbrU1wpthRzCrBrCU+ED+/LlltuOWHWIPo95T+7j/BtRoD4HlkXQg4XmPOWUZ55ryZFginvSK3Gu6S/iABPNPKsCSeNfMNvfOMbVckPEnzaaadVUh2E3XPsSXHv0OUwJLs1nElwhEMjmNYiw5QoEVEL1owwYvMTSW0lwXKE99xzz/pMrY3+RiRYlzzKIjyCRAoD5hkms8gvHlbr1rXJK0Yg6yRIsLBmYc8MQ/qANJNd8vDJQuuLN1l4s2gORjiGJWHNQdQZr5BkcgQ5bjYkGem0rhmnNDIFIUaAYYX891W/gaxByhkWNNjCVJ/JeHIDuY0Q7CYJFg6tz/BhuBMFwgCaLRHoBASSBCcJ7oR5mH1IBBKBDkWgXRLMQxght7wVPKKK1VDOKKKIMaIoBJn3lCe16QkeO3ZsVdR4fymGvCJCCCleTRLsHISOp5FHV+gigkXBa5JgpBhZpBy7DuUYsaSQUuoohxQ4Spo+ttMQOOGEwhQpwLxLQn95U3lveGwplV6skyLB+i4c3DWEfQtP1i/eX6GOvqccU+QpxnKahUcLtXR9hWYo9pRr2Bkjcm68zfBu/aTswkIYqMZggWjzHjEqwNg1YIoc9+UJRvx5pFWtZXyQw8hDRKnuiQS7F6Xdc0LaRQcIWacwG79rpCe4ndk3+ccMZxIsAgJ55N1ldELIyAvF5sxJ81OYtHWGuFlf1oG8YEYtMkcUi3Bp9QREqjiW/GinIb1SGOTtf/Ob36zrx99IH4OY+7m+aAkySvQK45H1SyYhxUKg9d+6teZFr4huYaSydq0VHm41F3hWkWseZBEpmvVl7fdEgsnlI444YsJQkGdEGTEW/aG/vM/qJ5C9jJc+i4a4G180XmhGsCiWxbDn/uoXRCOP9Z8nmKy25o0D8WeMDMNDO/jmMYnAQCKQJDhJ8EDOr7x2IpAIDHEE2iHBSCvvalQxRQopkpQrxJPCp3gWpZRCKGcXAQ0STDniTRFGzEtBoaLIIn0UsGZ1aJ7lyCeWk8bjyNOJiCHBctQoic6niPEGI5U8MpRT90AqKaM+o+S1W0HavSmwwpCF+iKhQjD1g5LLY0PhRESRxAiH1i9eKmOLcGjklCJLSTV+yjpPtX75DEEVQggDRgO48XpR2in7SLzzhCcyPoQS2vTUxtSLnEDhjxrlX/+MgUIqNBJ5R5QRJs+Jt50X2Zh4qynIwi5hKN+b0nzuuefW+zJw9OYJhgelGBlmDOHhMhb5iO4t5FqIaraBQ2A4kmAeRWsxGjnhJ7ZH4620DkVgMMqJOJALy+OJmEaqgXVkLoreIEMQU3MfyWu3MYyRMyIsRIMoNhWGKH1wT6HXIi6ERQujtgbVMpDr7xh1CqxTXmTpHK5FJjKykVHkS+Q+C6NGiMmSOJ7BEYl3/2ZDxmP7OtdnEHAdMkstA5gZL9nDSCmUu0mCyazYSsl1eZ3l9Aqpdry+6luzuB054vowJ/9dQ24wIyFvfLtGx3bxz+MSgclFIEnwIJFgCgKBI0wsLIwUDNZIigDBzQpPuekpr6uvB8xjQJmiUBKMPAcUjt7K80/uZMnzEoFEoPsQaIcEdx8qnTtixJ8ynC0RCASGIwnOpzv1EWBc5CVGvLMlAt2AQJLgQSDBwmWQXF4DRU5Y8jXWd4UPWAkRYsJHeAtLGauaanw8CCzx/mdJZIUX9qLcPq8Li1qE1bB8ug+rHyLtHFY4FjnhNCx2Gqslqx+vRlT/dB/WSPdgSWynKEQ3LJAcYyLQ7QgkCR5aM4C8987IlggkCc45kAgkAolA7wgkCR4EEiyXi5dWLoYQN+E3iKbwQQUJVOuTh6FE/84771wUEhEqw3Ms5ES4GAsdT7HcC7kcSC3C6nOhf8J97HknB0XuFTLtPDklChoI1eEd8B2rsNAUYWlIuZAVOWG81cLc9LO3PeNyMSUCiUB3IZAkuLued452+CGQnuDh90xzRIlAIjDlCCQJHgQSrIiKMGV5EgBXJAA5RXLlrSlmwLMrL0UlQARXnoZtQPwt3yL2jVOJ0P5x8mF87pr2ZlR8wN9+I9e2BVCkRJ4XAiyXSx4HgovoCpmWxyWvSw6InDn5Mqr4yRVTpCVbIpAIJAJTkwTLXVW4RnEXhj+yaHIMbvJ6FVNyjf40sjP22O3Pea3Hys2Vt6tQ1pRGzZDRCmKR6QpFMXZOaRN9JP/X+yBbIpAkOOdAIpAIJAJvRCBJ8ACTYIVHKGpygVUAVCEvCh4IXw4SLESZxxYJ5uFVpEHhhij2IudXcRSl55Fd+765nr8pYoqjtJJgnmX5YQiw0Gdh1MrY8zIrZKPYAa9zkODMIU4RkQgkAq0ITC0SbJ9bETGqtkrTUGWU3JL2wehG7tlyQ9qGdA7kUoSLfXHJO/8zFPpM0RoVhlV7ldohsoWsdJ5oGMdKHRF1I2XENdzT1iNqKCgWw8Doe9dqFnVpZwY4D3FlyBRxQ26L7lHEyr2NyfXt/SltRSEaRWlE9vgha30mBcXWRoybzldR25ZOsbema+m3+yG2ClQ5F1ZkurFIgfHuaJJx39l2iHGz2byPYOW3IjXeCYyfivjAWHSQ/npHwTIKnbWDSR7TuQhMCxJsDjPkm6uKQSm+NDkGL+vGPLfO2wnzt344FaJZF6LlIh2s9SlZX/Qi/RQtZw33t1kvHB22NLPuyBNGLYWjFK9SPM/YyQo6mf5xSsDF/Y/T+B0AACAASURBVK1TxQKNj3MjCkdF36xV+JEBHBmMcOSWe7U6LKTWhY5oPL2Nu79jzOMTgeGIQJLgASbBhJuqoPKBKR6IJ6Vy/PjxtWJeTySY8qRsPqFIeePJdQ1VUPtDgoVHq/LnfEoa0qycvS0xhGi3kmAvAcqbe/dXKRyOiyPHlAgkAqXKK7JHNecpabbwURV49913r5ehJCOqyCAldPvtt6/EmLfY3sAiaJwjYsV+mbH9CPmILPLE+pxBTx0EVaGRStuLkGWURtsfiaJB5lSrVoXYdyqpUkhVZiVn+2sAbJJgBk79ZNTkfVUBmezVL0RZqgnvM6VY+ouaD75jvNQX26aIDrKHpgggFaHhof+2IrE1im2Q9JEBk3fX1iMqbzNiivixvYsK2dF6IsEUanhRqCnkcLYtEsOsatAKNKq26z0BL88cllPq6Z6SOZPnTh0EBpsEq16M5NluyLZYtuKxziPSrT+jYqRRmdzasTXXpJq9fxFPaV4ItPXnM9uQ9dQQWOSVQcs2Z/0l6qq5kzMKnipIiuTqp/Uo/Y3RSeX37bbbrhq8/G99WWsMguSPKvW2DiITrFGyTXOMYqlkH0OZde5HxIiK6+RYc91HxXkRNmSSyD4V3LMlAolAzwgkCR5AEoz0Er4KXiHBGkWEwKW4eEEome8lQbARdsiuvwk3HlpV+ljpHS9MTjVpVj5KGGXKnpeEMOFK2BP+vC0EKyUPaWY95Gn2UiJofS+c0Aup6Qk+6aSTKkGmdPb3RZALLBFIBIYnAlOLBEuzUAgQ2WttttmhgNq/EwH0YuLxRZops2ohkGVSP0I+USDJUIY7nhVeZdfnaUV4yVC1EchCUTS8wIyOFEPKpXPcg9Gvv+kfQYJF6FCu7Z1L3ipSqLaCcZDttkhCgPUB0SVXyWJ7gqoFYbsSRgHH6/dGG21UZTpSzyPEUIpQkOvIgHOMCQlGiG0/RKkOItwXCdY/OPB0MYDaj5TCrlCjOhObb7557Uc8C1stqSHR3HN4eM7w4T+qwSbB1pkCbYw9jFYMQHQbRq7ddtutbjGGODL0IHPWAaMOL6f5qGCnbdHIDLoTUkgmMNxI9ULyHEOW8PI2G0MXUol4a+RJpIiJdjDHGcvoZmSCayCKfiOh5r2/rd9JNfocg50xMiSRBdaSLZKMjSeYI4T8GjNmTO0HOcag5TjrzzFILu+u33Qw2OmryBeNUc14RL7wAIuqgQ3519zOyBq3/RvCTa+kezIC2tYoWyKQCLwRgSTBA0iCc8IlAolAIjDUEZhaJJgCR7mkCGqIGAUR6UIOeR0dQ8kdOXJkrX3gWEompfqQQw6pFfWRQKRQVAsCi3gKb+YRQQaRSakgom2QxSbB5bVFKpv7i7b7fBg1eW6RQmHOPLiUUx5gfdCQRnUW/CDAPEJIrftRzI2Dokrhp4QLk0QKGDD1m4fb8Y4R6ogEI9Wxo4DwSeTXuISDwwSZp2QzkPZFginsCAVDgmvzgLkWJZqnTV+/9a1v1XFRmpEBBKXdPZTbxTGPG3wEBpsE92TwQvo++tGPVgJs3Yo04K0U/cC4oyioeWmfXuH9CJ7oDnMRqRSJwoHgb4Z868vfjPmiG6Ihwdao3zyjvLMIN/JJriDXnAbSzcgN4cKcDdYDA5E+ir5w/Uk1RJzM8huB1y9rSAqaNDhygpGKgY/skH6gcT6QHdI/RG0g3IxSMEH0GQysPb+RYqSW95cRizGNsQ+ZF8nR3BeYw8O9yAPKPQwRfM8jWyKQCCQJ7nUOEKSsZkL00guaSyURSAQSgf8iMLVIMO8sTwcFEcmjFPNuUiCF+t1zzz01JPH888+vYcTIHUW2lQTzbFAmw6spZYRnFmFELJHJCy+8sBJiiimlmjcI0URCgwTLM3RPirh8w0k13lmhzjy7vNCUUgUGKbTGJhdPKCNvUk8kGBnn6aXIw9T42yHBlHieY423VirL5JBg3i+KP+MD/BdffPEaRZQkeFJPfuh/Py1IsPB66zhaXyRYoVD6FyMZY42GmPLU8h4juyI9eFBFwAkzlrKFRDLqILZNEux73mUGJmuUcUnqBVLImEXHc661pY/uRS7xsvanBQlmnEI8yQdpHUhrbySYbPI9I5/ifoiyGjCiSXi4jYc+yvstz5hxipEAwWYgc30GKjKTFxkJJjelLcBJRKHvkwT350nmsd2KQHqCX3/ySYK7dQnkuBOBRKAvBKYWCXYP+adCeIUPUu6EE1NseW3lwvLcIGjygXlYkEbeW8oxYmlLOIVvfIa4ypmVPsJ7jMxK6UAQeXSQVF4WpJhiiKD6Xh8QVR5OXk/KaDshv5Rn5yHbjKWUVkozAswjw2MlJ1jaCa8sDzel1PH6jNDzFOub4l3GxjtM6eXlMg5KdKsnWDVte8kj7fCJmhK33HJLHWNvnmD3F1LtHKGVoWDDCiFGynmteJ+ElOo37xKsKfU8Zzxi7WCTK6izERhsEoyoCe+Vv47EMlpZJ9Yw0skTbB4r3MQTjATzYJr/yCqC63O5tGRBkGC5tEiwKAik2pq0npo5/dYZL661QV7wnEolI0+QYP1wL+cqBEc+BAm2hpFw92+nLopr6J/7M7LxuBqTMbsX2SLaRcSG9WoNI77CmSnfsQYjHJpMEa3BWKfviC0PtePIER5ta1N+dIRDk2cR+s3LLoXEcWQRwwIizbOeLRFIBN6IQJLgJMG5LhKBRCAR6BWBqUmCE+ZEIBEYfAQGmwTzbopyUAxLjqqojKjWjhAjpHL95c0iqwxUPJs+QwARPZ5QURwqJSO+iCICjSi7rpxX3mbkspnzyuDFuISIIrSOl4cv9BkhRlx9hyiqjcIgFSRYaHQQZYWu2mmiKRjTGLWkLYguUVmdFxuJ5XE2Nv8j/2oaROPBhYcIFt5eodD6FukVPM1CpXmOXYMRjyHBsYyG+g+zZmPUYlBT4E50Sm8FwdoZWx6TCAx3BJIEJwke7nM8x5cIJAJTgECS4CkAL09NBDoAgcEmwYaM9CKIcmEVeBK6K5+fp1P0glQFWwLxuCKCiKhzHnzwwZoiIT9YFIJIBtfhsZW77jvHSE8QcqxyerOCuXu4Lk+yJk9WpAbPsdxhReoUnvI/DymiaCsnkSkIt/Odazuydpr+STGQZiHFQH804+a9FXptLAg5DKJGgfPkKCPhIjXs4hEkPNIzEHbeZCHP0iiMHYnmUdb3nrZ3E0njGJ54BDpz+tt5inlMtyKQJDhJcLfO/Rx3IpAItIFAkuA2QMpDEoEORmBakOCe4EAE+1uJvYNhza4lAonAEEcgSfAAk2BCn/UuGotlFN5q/c4xvmtaNeMYLw55dK2NlZNFsXme/33Oqhl5LXLjNJ+xfMbxLI3+bx6rv/Gyinuy0Po7LJTNezje/83mWPfWj2bf9cN3zRchy6Wf6ENcWwXYaPqor81jfNZ632YeT2w47xrN8ccxgW2zP/obfXde9K15TJzX7F/rc9G3wLv1uxifz3saYxzf0zOPZ9PsTzzDVvx7wtjzi2cYY2ueZ+7Bze+4bms/Ys41zzOOGFezb3GP1nk9xOVmV3V/sEmwHDgelGYTHslrMjnNfFVlVp6g4jdCNeXttZPz13o/3is5fVNaPJEXS7+ETfJCycftSb73Z7zkkvBKucBTQjRcB068beQADxQPV/RPMTMyhNdKqCevW1+ysD9jyGMHBoFOIcEDM7q8aiKQCCQCk4dAkuDXcRuowlgqmFK+msRW6Xt7Q9ojToGX+A6JUNxFoRRExB6WvhfaQmFTNEG+TLTY11dokZwSRU1URXSegiiKqVBgVBOVc+N7+TIULsUahMlQdlRRVGiCcqcPcm8UW5CXIj9Fk4MCo9haRH6N4hex/6U8mGiu4XpCdeTAxFYiximER96LfKFoClXIb6GoOl7RGXk5wouiwUHujwIy+olcbbzxxjVMqtlsbyD/RxiVMWinn356rdyoUX5VQ4WvAjTyeBTqCVxtXaIvwqw0uTX+VwFW8Q7NPeHd7F/r8pPDQ2lU+Ke1USJDoTc/FOfQFLXw7OEEQ89cVVvbJGhw8szhI7zK+Dxf/VDoozmPkAZFSeROafYw9Fxtw2D+afKJzMPm3BQipvqtOQQzRYZcS4VeBUAcCyv9at7POM0j4Wpyn1Sn1GxFYYyObxol3gBKftCxCAw2CVYIimyxLsNgo8CLtTo5Dakj74Q4Wsu2DBFiODmkUxVqMradatJ99ZUsQ1TJaWtEv4RFTklDqhUQItcmd62RLXBWKEv+JRmkWrdQTfNAU/SLnBW+qrqunM5mYaIpGUOeOzAIJAkeGFzzqolAIjC0EUgS/PrzGygSzJqOtNnTErFBMBSJQAx4FSgayIqcmJdffrkSu1NPPbWSCUUjKEjIF1KJAKmWqFS+vSMRM0UPkBSVP1UBdC33QeLcE1FRVEKlT4UV5J7IWVEdFAk2bkTq7rvvrsfxmCJY+hHKj+MQaoqRTe+Rtv33378S4Isuuqj2ladAJVHN/SlI7k2xMzZKqLwgWwHICUL2o1F2FcFAuilYvCRyd5B7TR8ZEhTCQOooXe6hymnkDvlMoQv3UixDHxWIQPwVq4A5Ah77ehoPLBgEkEzYUeSMBRE1Htf2PUOAPssrovzC1ThavdBNUQA/xzJAtDZE3vfuRZn0PDW/5RbZDsW97QXoGIUwPGvKu2MYEFSHNC6EnJfe2CjW8KYMI/vGGnuyup8+q2Apn4gXR84QDJyHDMuFYjzg2Yk9XfWPgQOOSLr5qvqkQiTw1pBx3iwY2jMVCaaIe47mknnOqJFtaCIwrUhwRLMEamTUKaecUueSeU8WMLSZt+Y9OYJYqsRqbiO55B75RT74nry0dpDgp59+uu7BaX2168lkwEMSyU9rCWlkFIpcRWuSfLAmVYImB31GdiCUZJzPFN3RV9WtGahGjRpV11Dse8w4qW+uI1fRHqqaY+076r6uwRgXrUmCrUUVaEVzqJbLuKcCN7nn2uS894H782oz9mnIuCgWcoB8ZcC0/r0z4Ew2MXbZaomhiyxA5F2HIUy/YM9oZt64Fuy9Y6KRm2QsTNyHcVc/PQfnwld/Nc8MBgyH3oXOc76+N4shDc2VNXi9ThI8eFjnnRKBRGDoIJAk+PVnNdAkGKHz8uZZQx7sM0m5iP3iKAM8mIgo5YK3ASF0fHgsKAsUOMogQoo42jdSc31eAEqK75DgK664opJHykUQ1CDBlEBKmP8pSUGCw6tIiUJgKD68gxRGnhR7dCL1SBLvsB8KoPuF11h/jAMJcm19jIqMvZFgY0T+kXhkuUmCeTAplrbzoJTxRje9OMi279zffRA+Wynw+FIuKQC2C9AoaQigPQfdA8ndcMMN6w9veZMEM2DYfxCJo5zCE2GeUhKsn/DhXUFAGUY8CwQXQWXsMA4Ks3BJBNheqJ4/T67Gu6UCJsJPSUaCeW+N27kURGTA1gmeg/t55j6/5JJLJqooCQsVNB1nHlJmGUB45qPBkuHFfISJ67m3Bpe99tqrKrCa+a0PwlpVBkVEsg1dBKYVCW4ihvxYt4wyjFvmH3nHEylCgYxCEMk+89ncRKSsCzKRYYcMM5YgwQxzyCUDY7vbAFmLrm1dubf15J5jxoypaxgpZ8gSzq0/DEciOKwd64E8Ri4ZixxvmxMVaxmhrGMe7xtvvLEa3dxLv3jFEWJbwSh0Y70xsJFdxhQtSLCoC+fAwTuFzCVrvG8QScV5GBMQevdC5mNPURE3yLv+6ZN3AEOaH/IfZgyuCDhiS8aQW4yODIdINrKPJCPr+uc9ZmupaN4xZBnDmuvBi1FYlBJCzejrHM+bPPNuJrc9b+HXDCDw8RyztYfAYJJg7yHvTEZ9ugKjFSOV5xj72UavfW4uMdAwAqlozPhPV7KtkeJSDC0RJcGowrDMCBXNO9J7ZkqjEdzT2nL/ptFmUgjTiczJZkSVyCzjZgw2t43BmvV+FwFoXVov5jtdhh5gTN7pGnkS0W7N+zMIWbPWgfXIIO66ZJh3rnWsWevu7V1Nl6NvNhs5xHlCl6JLRIVpf0c0Gl0r5KLtmugHxqExpHmW9D+/neea2RKBoYZAkuDXn9hAk2AkhpBFVoX7EfwEEMGh8h8BSujxolGekDqCNULQdNNLH6FAWCkIyBiBrXk5UBIofohShPMSmhQOhFkLEtw6UYMEU4gITESI55WQZXXnmRTCK9+M4uNvghc5RBy9CJrNWAlN47PNgeMJep6LnjzBjifMKYi8EkGCwxvLs0CBoyTqm5detN5IsDBo/fPSpGBqhLX7IJoIMkXSeCmi8GySYPtlwtXm9sbhGXoGU0KCedKNzXPwQ0GVo0jZo0zql7/h4YXpO0olJZ8yHd5XY6HA8ypReCn7PGORy+tcL1rKg2eKvF588cVVqeWFp5RHayXBPFu8Q03F1UuZQcM1kQ7EPV6QvDRehAwjmj7DSjPfp1Q5GWpCdbj1d1qRYLIgjF1kpBQMJJhyTTmmRFKcKYM8leSKSAUECsmzBqyX3kjw5IRDBwnmMeX91BiA3IfS63vyVvN3yGv9JsuQRUoxsogEk68IJnlvrVpzyCD5LurH+IwDmUSC3Qsh1oxVdEi0pidY2LZ3CRlDOUaCyXj3RXI9U1Ez+iVKhtxzH+9B/7uv+yHUPOnIOoz7IsGbbrppNWJqyDRjBfLK6MfAGY0sEa5NhpNzZCyPr/QL8ouMJVv0jXGSAu49xmBMFiMAIpGSBLcvaQaLBDN8ILIikRi/RTMhhJ458kY/McfpOprnzPPvWXqPWefmoUrQ3t3+NpfjfYIo0nP8mB/ejYz8jEPW/OTk+QeK3pPmFSLMkN5uE3Gl/zCmXxiraC/6G11FpJT1BxvriLGdk8NaJh/oUwz9jEF0Fo08Mc/pWNFgRmEn+5xLp0Nera1wNMT6IyNcG37wYXCK1CzGbXKAHkM2en8zbGkM//QeJJrOoL8avY0s8D1HAJ0K/tavZ0ynimiSdnHL4xKBTkAgSfDrT2GgSTDrKIHBCo9ksM7xnFEWkGGCk0CifCA2XhQUFQQy8s8od4QVZQZ5IvTD+kYwejHwUFBGkGBCkDUP8REaR1AGCRYOh+gQzAiWayLULLeEnJcKay7hTZh7uRDyCCMlCikNbzIFikUzlLOY2EgwIS3sbbfddqtKlPFQElvDoWFDsHt5CrFGmhFGpAvBMw4vQrhQhiiN0XojwYQ+TOBGmdLg5MXLCwIjJJgSxqLpxeeFJWQyrLSUVoqqF4AXnBfDlJBg14n9Db3UvPw8f+NGgim7FGzfedZegpQH3nFjhqNGsfUSYkwxB2CkX54Jo4XxUTIp3gwAxszKzEPlWZvv0VpJsHlofvIYR+MZlkvs+VNWzBFWZkSc8o+ANIsF6SevWOQfd4Kwyz5MHgLTigSHjIpeh+LVFwm2bpBHcousQMJ6I8HkqnVEtjW9OH2hFCQYYQt5x2PqnryfrSSYrKesUkKRVKHEjESUUPenZForFPAmCSazGP3IH6RUdFC7JJg8CaOj870r1JUgz/siwWGY4+GOOhQiaMgjcsTYvEf0DcH2nmp6gtslwWSa6yE/npf/ece8F8JASZ6JTmmSYPLGuyFJcP/X8WCQYO9wegGjpzkbhn2Ga/OXnkHfERHRTCWy/pBI84vOENshmXd0JAbbVhKMqJl7mmgL7yrvNfPItaw1a8/8YYShezA+mW/6aB02GyM4Y4+IpyDBZIdoLFF01nZvTT+91xlrNGSWHkXv8Rmdwnqim/kuIjm8S3ld6QCu4TuEFjbkCd2sSYKNyXVh6R18/fXX1+gvf/dGghFcBiZrlj6lIcYM5rBlWPc7SDAdCA6eHSOEZ6IhwYxmPMB0VEbwJglm1DKGbInAUEMgSfDrT2ygSTDFLbyjQm0oIyGoWdcoQIQIAuMl73gEjQKKzPiMsuRlwBrOYuk37whFh1BCTglG14qcYF4SCgthyAJIEPaWE4zkIbNIJtJEUSGkKVWUNQTKtUJAE6COQYKRzfCAgFQfkEskmNA0HiTMi4W1sycSTFlkVXU8SyrCyjNKEHtJ6R+SBzckLRTX3kgwTwRyS3B7MRLuyKH78Fx74QYJFvbtxYi4IeostTy2XraEv2N5XYzDy4piGc/UeHmVosCV/71MPG9ef00fhWQiwLwpSK/PeMeNxcvZy9oLKZRrOPD22NMwqtl6SXqBeSaUQsq++1AaWc95kLw4Lezw5jBu8OI6hpKJ5MM3PLetJJiSwnBywQUXVHy8NL1oWfEpU0KiWPv1l0Lv+kIYKfrRKPCwdHy2oY3AtCLByFgYAGOfTYoXWUY2MMRQNGOvUIYYzZqnlFq75ixPSIRDy89l0CFHyDOyleGp3aJUQYLNdTLPvSnJZAa5pM+UWg1RZiTi6fU3eUQpVkvB2qQEM2JZR5RUfbC+yUnXsM6sL4YkoY3GgHBHwb/wBCOvvMrkjz6RDdY22e09Q56QE0gwgxr5h8yS8e6PsJB9DAIMq0iM60R+teuQy3AjQynM3kP6iaB4Z4iqQZhbPcHeN8bHIIGEMOZp5AVcyMJIt+Hl8y7xHowIqCTBU0d2DAYJpgsgQ+ac5xjNeypC2L3HGHM07y06gznt/WyOmV/mowgif1u75mQrCTZn6BAINMMIfQgRRBKtcaG+fqxJnmjvZ7LCvDdnrb9mBfW4H3kTJJgBXj67+RvFKXt6GuarPoqQoqMg40L+6WK8o0GCpU24Fh2qtUUkRERN6Y+ouyYJhpf3MBlCF7TuvIftZzwpEuz6kZZE9tFvrGOfNUmwNBN6HScA47qxwA4J5vF1f3hb10mCp87azKtMWwSSBA8wCQ6vobwVzYvCi0C+i5cFwYkEU2AQRNa3COlDzCgLFCEKAo8GbynhTbhTxChNQsVc0wuDsEb6EG15Nv4Pcot0sZgiQ5H/yUJJkSPskGQvCJ95mekrsodAUdI0oXpImxcFxQnR9cIzzmZeHUUMCfKicrxGWeTNFDrbJMEUPkpthOYQ0BpiCBfh4REGTAH2QmQUiMrHxhV5z5ET7DwY65+XlHvwVFLWkHDX8DLwgoSllx/FkaeXshbhWwR+VGumkPF2MAhQEoVuhUVb/7zEo/FyMFCEcm1Mrstr6iUfuT8wh69n5nwv0zjHfEBYWbSNS/glS7Vn55l5wRoPJV5uYpBguOkbIu7HfDJHovgPcuAlhggbm2dpXM3QZTmB7ufZwUofeKrhxEPjBUyxMn6Ew2eU+silcnxUj522Ii7vPqUIDDYJpkAKhW42c5AMjZQFMo0iax2SO9Ytxc28N3cZgxj7GKwYcnwvosO1yRDr3vpChMmxdqs9Bwl2T3KbgchaoLzqE7JJhmvWg/XuMx4ba9T9HU+G6xMPk88Ykiib5ACl1hpmqLNmjcNvRjlhilFZPv52DnntPIq+6+sXeeMca1+fvEOM3T31R0MUeJyMB74MCGQlozDM4aL/IoNcj1ePUZDxjgKOhHhPkUPeN56HFn0jfz1L4/OZdw8yz7CH2BsXeUqOuKe+eF5BlMhokSzw8Oxd37vCO4phJFt7CAwmCbb+mp7WJgn2LjIP4r2J6Jp7QYIZXOxa4Pk7lv4T72sjjXBo72rzhpGJAYqxnZ5krZjT5qW5FEUf9YcewXBNRnj/STtqNnPMGuxvODT9goEoIrXMUVFo1gnyGSRYHxi0GJ407/TYGtJx1k/oEMg341aTBDuHjLF2YEjnsB6Nf1IkWKSJ9z1i7V70SPpQkwTTI2AXRkGEmEEB1kgwTzadix7AQ54kuL21l0d1NgJJgl9/PgPlCaYENIs4uB2CFkSWguL/yGUhnAlHioIW51NyeireQpFzPKUvPKP+9zkyFcodq6bPKWv+drx7EsLIj2MpFz5r5nAiXARvvDAc65y4tpdZXLs51fXVveNevkM23cP1m/l4MIhrOk7f3RMu0bemkup7+EU/vRQoU16o4W2HRXMcCGITe38j+a7vhet4/xuv89zD72bVWOGZvtev1meqf01vknEbQzTXd57nG/eLF6F76btnHblSvjOWmAdxHfeN6q2xDYpzms/UsfoKa9fwsmti4fPIT9Qv1zOumBNxr8DD+foXrRV/n8PX3Il5oj+tc6mzRWH2rjcEBpsEd+qTQHqFYPJqtirQndrn/vaL4s0zx9PGOEeuIc7CTBm1KMDtho739955/MAhMBgkWO9jWz1EFgnkZWTEQKbMJeHQYYBpjjZIMMOIqC/GKT+IVk8kmCEXgWNQZrgXgcAIhKSJZPK+o2941zLQMPwwissvjnojrbUqWkkwfcl70Tj6qh+ABDN4i8ZDICnVjMKMyMhnkGBhzIhoGLecJ9KNcUcUC4Nd1OEQsm0cTRIclehdk8GPgZohyjue8YphSKSHhmzz9MK/GQ7NcIiMuy8DQpMEi97Sv/B661cY94MEGxuDmGvwGEdOcIZDD9zazSsPLAJJgl/Hd6BI8MA+vrx6IpAIJAIDi0CS4P/iS9GlELfmEw4s+oN/dco/okKpZ8gS3cHr1m4F7cHvcd5xUggMFglG1HhlGU5FHwgJ5gkW5cWQIpIMYQsDMcOriDZhyggtEiw6DvnkXRVRJRqqr5zg2GFDuL/K7by/SKDIM0RaWC9CKZ1JGLGop9b6JfBrJcEIJEIoWguR7q3xABun6DFNuLJUBoTUuVEYi7E/CDlSLSJO5JcUKWHhSLCxaiKpEHZe3mjWJfIvIgP5dW1j4z1Hvl0bQWWgUz9BmpMIQSkaosYiJ5jBgOeYpxxRZuSKlBGRgrHjCEIs3xquiALvL8OYtA7PVEOCFWLllOgJ00nNy/w+EZjWCCQJThI8redg3j8RSAQ6GIGBJsEiE3ggw8Mo+oLS63+KGo9NpJN0EkzhJYqoHikaQi2bESHIpEgLtRl6aiJRKKHChFu9TRRMuEiloMQ3PbCiSnrChOKuX80tXkR0UJKbfaPww5anLKJNKMkRMePe7tturnQnPZfsbKo+CgAAIABJREFUyxsRGCwS7M6igIToI8SiB3hneQpFbImmaDZGJeHvUgLMXX8717xE5pBYZDqKLkbOrbkp3Uozt60z4fHWItJm/kbVeGG9jDiIsfsIV+5pX3AkE4EWYmytWLe8rVIa+or84ECx5iI839pSAJXHWb/dM1IHyDppErzU1rzwY31GgH3m3hovrNYM+Tcm1+bxJTPIACQ9xkJWSF3QyIa4FjzJJukgmmtIYXB/9/S/vxkgpFrEmkfapclJHUG8yWS4kyc8yppUOOkOsOureFiuyUSgUxFIEpwkuFPnZvYrEUgEOgCBgSbBFF0eDCGElCkeFCGQQiF5NxRQ4j3qpCafVzEe3hgKuFBHSqccVqGGFHQeGIq0MFBEvrmPurFQ1uUACm1EEuQKhuLqe54r3mfhnlFsCxFGFhwbdQUcCzdeJAo2pZg3Ss0J+ZmK81FQKc88TopTCXMU8qy/cBYKqSgjRTs8vkJXU7HtpFk3+X0ZTBI8+b0cmDORYAQwCsoNzF3yqolAIjAUEUgSnCR4KM7b7HMikAgMEgIDTYJVjuVRQCZ5IYRHqnTPE4HoCY/0OS+QUEbeFZ4XxfcUukGUeUSE7so9FHLJo+N/x/Ow8pIILXQdhV54ShTSUdRNVeP+7Bns3sIL3SMq06qcijAqTKVqv7w9+cOIsCa8MSrF+5/3JXYJCI+Wa8iz03jM5OzJp2yGGfLW6q9QxagJ4HiFsIRgCoFEZHmKeNNUX4490oU3K6ijWJ6/g5QrQOQZ85AJleQZVgNgSvZcHaSpmbdpE4FuJsHWKa9pFlJrc7LkYYlAFyGQJDhJcBdN9xxqIpAI9BeBwSDBiKmQXyQVcVWhVeiggiyIHLKJVAotRJp5KZE7247YcsTxKtnzlKoQqzCPnECVkoVBCqmUdyifTRgwDy5CKH8xyHc7uPDs2lZJfxSQQmxtG4L4aoi7frk2b7EcRY0HVn5jNCGFwjVVhEU4FbxTDIf3V3Nt4+UBlisZDZkxruZ2bL6Tb6nwjzBF4agque6xxx71NNeGESPCxRdfXIm2XEJhjprjkHYVnPVdCCRC7HpJhNuZFZ1/TDeT4M5/OtnDRCARmFYIJAkeBBLM4yDXiuW/ab2XBxIegWb1Y5Z8noDmPnbC6eRt9Le5t9ycvva5a+ea8nlaKxW3c55jhOrJVeFtkSMUzecUs/54Ydq9Zx6XCCQCUweBwSDBvDRkHBLJK2zrNzILybUvOdLLq4psIrNeXHLRYgs1x8tpQ9pUVOUN5k2Wc+tY4dTCqhFrYcP9Ib6BIlmFUPPq2o9UQZveSLBcQvdDPniuFZVRwEaxG3JPv/UBIUWGHWP/YFViEVIk2LsCeQ4STAar5io8WhMW7TP94glWoAc5d5572w9YyLPvY99SIdiMBMh/kGCFbXib9UeotHcRYwEvu61Usg19BJIED/1nmCNIBBKBqY9AkuABJsGULkUZbFkjJwspVRHRfm3yt3gBkEuFCoIgU5IQYEUTYtsfxQ2E4FGO+tMoh5QmeXeT24Te8RboQ38bpY9ixQDAiyI/R9VHyqpQR6GPvDXZEoFEoDMRGAwS3PQEN1FAgnlIEU+eUZ5MFVV5NpFgxBmpRU6FPJObQn292HhMhS4L/0UKhQqTO4yMQpfjb97jdrb94VFVuCeORSwRSuHY+kRWI6NybMk4ZB0R15BgfTYG7wRjiiqsziEjEU4hyj53D+RVWLNxuI69R5FanmhNZdfRo0dXzy+iLP/Xsc5VHdaxPOtRlMt9jZsxQdEeXnZN2LVreR/xpmuwdJz85mxDH4FJkWAFkugn5ohCVuYHY4iIBfOiuXUfNEQKOIex3hqM3HFFqswdBqzWaAWh/NYMQxdj+OQUu6MbuQbdqFNajDn6Qw4stthiVZ+j/+hvNGvTd1Foi16oaBVjVmzxFEXAnMMQ5foROeI8cotcE0WiloJr0isZsaRW+N59RXZoZIgoG//rE/nHKcE5wvjofp4vI6K9zD1/Tb85b5xH1pIzzeYZu5ZIHUZBRc7ILIY2120WHxN9Q87R/8wrc8A8CaeI66hPYCxxjHuJqDH21vsak/ln3jkHfgqUmR8x93xuzsXe7VHwi66tUFm06FtzzsKLAdX1m86oZj84sei0PdVN8LmIJfdU8yGaezffNd4ffiLixj09V8eQ3wq0aZ6D9dls1oA5E02fGUZFPcVYrV1YN5s54PnEntPOUwfCmo95SdeHcTTPR4E4z9Q1HRdpPOaa+ef7ppOvU9bnpPqRJPh1hAZqiyQKhoUoV81isVWAsDgT1Z5wfluQwthCaAUJVnKfEmgC2n/PxLzgggtqjwkafV5nnXUmepkIwSNUEW+KlQIzlNhjjjmmHs9DEvvjmfyqGBKkFCULj6Ind45gRFItPuXw3U/IncIthKM8G8KK4CCAhNBZRARlczsBe9T5IaBdS+ggMq8vctiU5qegtu7ZN6mJm98nAonA4CAwGCS4mRPcHFVPJJiX1VYdO+ywQyW7ZBIyaDsQMqyVBJOdFAYkWNQJ+cOjTHkjn3mO29n+hxymUIQSI5cWAVeAihdXTi95ph/6jXyT12Qpo6f8Y4qi5lqIMaWTp9t4EGTHUe40CjAjIdntnjCSsxtKahMnSuyGG25YSSsFBS5Cvu1FSpkiw32H5Oy7775V5jKOwtLzRYJVho3ftmJxjH5lG/oI9EWCzTcGETqI3+azInWMLt7tCA5dwo+GgFlL9BE6CyO2cyjydBt6C4NMcysxirLoA9ewhuge1qlr96fRb6RLNBX0/pw/EMeKwBC9ofiWdY24IT6K2tF9vvGNb9SxwwehDWJGzxNNQnY4nkFBmoI1qNGpjBVpRlg9C/LGtZApkRyIjOfnGSDfsFcrgQGLzqbZ9sg2UkgU0oSgkSX6QWb5IT/ob9I3bIuk0c88K6km5gWSTLeLKtXu4Xs6qKJ6MEDiGD8Qz2ZFfOkZDHX2SKbvGjO5xnioqT6tT8ZJJw2SKgLIuOmk5BPZB08RM+5BDzVvt9566/oeMCZEkJw0N81Tc9kzihoInE6uqcEPmVM/QbSQfdA1aSiRXhIyu3XuwJReC+/WZv6T6/BAliPSkxw3NpW2feeZS93x/MwNWCKw1gm8ObHIdWtFMUTfuxY9HVk29jAIOc46g5nnoXlHOda7jhHCmjQPvZcUZfROwEHgZh55RyHezveOZBT1vBWrNFdxFvgzRodjjVEWF/CuGopRnUmCX5+9A0WCCRjCh2eApcRG8DZRp3xRTgg4kw1JDstokGBKCour/5FngpIC55oWH8WG0BLKZoIKayMYVPq0Hx5hYjHyIhBQSGzkw5nAPBPC8VzPZvW8tSa9kDsWSoLJQrHYKUsEjoVHWBBeFoM+CtO2iBFvHhuLNZrFQkARmCabBUdYW/iOozTyMvssWyKQCHQeAgNNgskyZI3C2KpwkA+UIz+UMS9pypQXOlnoBe/lz7jn5Y5YIsfkmNBg35NJrNcUSEoPTytlgiJOCSCbmt6Xdp+A/lKaeAqERZOp7qvysr5QPFzfPSlE5H+zIbmUClZ0stgYm42SxKNL/vKGUOTI8t48Ezwr5DHZrZgYpZByS7ZTqBAOHmiKGAUdniz7MOONQJD1lzLGAJoEuN2Z0PnH9UWCzWHzAZFlQKG0Izvmt7Vi3lDGN9tss4kGSoG3Bu13Sz8wR52HJJu39AGNEu0a1qk5bD3QUSjO3v0+Y4hHtKx3eggCph/C8q1hRMbaYpxBbOTO06XIDrqTe1h3CAGCxAhl717KPT2JEk83si4Y7in8+s4wTw9BKK1D61GkHhx8Tm8iT8Lr1dOTJrvIJRXZNf/7QfSsR2vKvXnJkDxrDYmFH9mDRCEeyBu5xBim+B0vqbVJr9OMB0YIHJ0SmYI10uO6dEwk0bp2XZ5Vzf/IEDx9jygx1CG7IkfovuQAogkfclHz/OiRHBfuS0Yil80GV9fmeGEUocMicfrX3KbNHCNXODsYV3iWkeAg/OSabaHITX0LEudenqHnSlf1jDXP1D3opHRkfVCtn67MIOp7hhJGEyklrsso6P4wgLVGLtJPzRnPicFA89zJTYUOJ4cEI9zm9xlnnFH75f2kNY20jBEw0leGWkYDf+svMul5ig6ihzMeWDMMI0g8TIybLk5f9y5BcFVAxy2c0/TKws6zCieaZ+X9YN1yzlkP7mVuOSYiihBbDZcII4/1SN83RvPW/IRja+RH50vF//YwSfDrT2qgSDDhjOiaZIQsoWZihfAgfLxsCL1QboIEI8msPpQbQoIgIcBMfpOSUiXkzmKVb+ZzgljIHiXRYucJpqC5nwXkO5OYhRGpdl8vQJPYS0GYBFLsZePFRfDxHCCzFg6B6HxeAvclyL2QLGCft5JZ46eAuoaFSTB5OXhhIsQWYYTgDZVFk/1MBLoJgYEmwd2EZY41EZgWCPRFgnkW6QEITzSkE1njEaMH0BuC1CBnSIp3P+WanoIsI6QUaF4rCnyQYHqDc+hYjm02ehHdgTLPOeB7/aGL0E/oGwgxvYlRC0mheyCvjETIM48dPYPRBjEKssDob9yIG+KM3CEIzqPwI7aMT67Be+saiIGUM+PxOc82g39fOgrCqw8IvGsg0owBoesZC6JOl4MBggoTJIVhDsmOhgxxaiB3PJmuFw1WPkPQOB6QYKSVHoZUR/VrpBeeiCFdEvll4PDbPr9IFj0S0YEB451z6WRIIkcH0olswdM5SDC9LYr7MWQgsPRKzw2RYHyDa28kmMED4aSrGnuTBEuH8b3+8Bobf+jDnrWImVYSbDwIr766dxgyEULXMQfhx1uK3PkMceMNDxLsnsZoXvG+mtO8tFNCgt2LVz3WBwNJ1KtAguGFRDI60rWtF3PDHGMIiPBpzwNOHFmMHYyhjFGilujRdGo4WTPmmDkQjjPzMfaFNn/MKc/KGtJs6ec5Byn2mblpjeMb5rT/yQRzyHGeQxxvPvuOgUA/rLOh2pIEDzAJNqEIL+RQ5U1eCYucNdJEMuG9YEzg2CMySDDLnBeJ41kLkVjeBWSXELWoCXdClaBneZK/G1tiGBoSTOhYLMJjCHZklefYi4lQCkHLE8HiJDyQZYzA9TcCHiSYJc7iZf2xoFmsCBWLpymwY0G4v34KmWC9MlbjQcKTBA9VsZH97iYEkgR309POsQ5HBPoiwbxUvJ7IZTSh/EgBwoQEe2cHqeUpFZoanuAIm+WppB/wGFPC43jRZxT1/pBg0R50I04ChBupo/wjNqGzIGFIAd1JxAO9CFGg6/AE88BxEiAdPI/Inn5L5zI2SjwCBRvH0ZvoR45DzCPsFxnrq0o6wnDCCSdUz7RGF6PvIFLICScHYs354Z48dwwM9Cf6ESIbzXd0Lx5MuPdEgt0PyUKCkUdklY6JTGlIMGJC74MLEihqD2nkrePlRr7hiHh5towDGnLGo8gQAT/kDUFDghkPgug7lsc2SDC9M/RPumBPnmBjRwj9wAI+nqGQasQZMedJRkLpoWEw6YsEI2UMAq4ROchBgkVYGr8+MjSY0/J0EeogwZ6TsTMYIPjWgecxJSSYIwq5di+eZGuCIwj2njnDC8eY1EEknreYN5YhgjEmitjyFCP25jPsGapE8tDJjRfmdGhkmV6t30i1qAbELvaW74kE4wwId+xq4Bjzw7wPEizCwxpmfLAezZfIQWYEYaBC+M33ZmHfoSY/kwQPMAkmSIT+ErQmqL8JWgLegkMQhaV4QUT15yDBhIVFaqKxLHpYFidhj0QKhZZDZpGxOvpcaIzJieTy0CLPPZFgli9WI+FGLJ3uY2EKp3BdC5lV0ssjCtJ46RHaXhiEj8XoJcIj3RsJdm/Cz70sXC8kgo/AtPB5oQndobyIhtqiz/4mAv1BIElwf9DKYxOBzkOgLxJMf6Bw8yhG0SXkCHHw7kbG6AhRyC1GFySYss1zTKeh0DOuNz3B3vucAHQGegkFmhGdQq2gXU+e4Kjgjlgz9CNyCAWPZpBgx1DQGfcRAToFkkB5jzxVUXD6x+sVJFhYLl2LHhOFlZBSpASxNK7+FN5qDYdGAOGnzwhphEPrFyJGL4MDvc+Y6FFBsn2PqMMFMRTxF4VDOT58h5gievoq4g8BRnx49zwv96SzibILUi6yD8kxNroehwvSiPAYu74i+54xXQzpkhKBTGtIMK+kazcbgolg0+PooDCk8/VGghkf3N8zMR/ogrzHiD8jBNLP48xogHAjjb2RYPcwP+it5i5dWBMGjrxxGCGi+ijk3pyTcx3phGGc8ayM3bzw3GHBeDG54dAINT3f3KLLI7b6wGDRDIc2VnPHd+Yp8qufEfKt77y5yKr5GxEOvMAMT8bCmOC5ws5ztM7CmOD8aK2eYEYWodeuHfUwhKnT+YXum0ua/kROOT0A72gabNxL5MNQbkmCB5gEu7xFbiEQhuHtFRpsMXpBWAjNCskWDssOARGfE6AsdgofCHMW1oEk2waDhcjiIoAILZZRQsSiYWkSdkLYEoCEIcFKoHkJsPCwJFq0Qhu8WPRTCAziytLEA80SS2irfErI+U4f/SaQvQQJ59ZmoQvnMFaNZVlukEZoClni8Xa/bIlAItB5CHQiCaYYk0dhPGMoZPBj5c+WCCQCEyPQFwlGrhiikRPvcQozcoRMIKxIMA+r973mnY7EUZaRBYZxBnjeQ0o5Etwajuk9z+NMX+CFo2S7D9KGHCDQ9BUkVkSa73zm2ggKYiCnE7FBAPTZ2ufxVbeEx4zxngzgEXMvHmTkgnfV8UGC6Un0ESG09KUoCmasiCWvHTlCpiBTxmJ8vbXwGtLF6G76ST4hIXQljgVY6SOdjscdeeAZ5BChz/lMPxESuppjkRKYICL0taj/ou+ejb7qMwJNlxPeTMdDqpDgngpjMVLQ+aJYk6hAOPO8em5IkWcd+5yHNx9GCDe9sxk5yHnDsYEEI2euIXS3p8JYnjV9MraVMzbPmd5JRzUu1+bd55wxZ0Qa9kWCeUlFKhoTb7zxcDzBjH7pOZgT5gidmxGBwcR94IUIe7/B0dxCpP02Tz0r+mqEZZunTeNI1Moxl13Pc7B+PFN6NMOEz+Bj/sGeng7DqPXjmYogMEeMWe0I7zX3gQ9DBG8tHTlIMG85YxASbK7Jx7YOAy8GDN50DqzwpsPHvBDRGY1Oj+B6Bp4/Musannk8Z7jBhnHGunVc4GHc5rE1OpRbkuBBIMEhNFq34ejt83jR+N08p3l8M0ymp2Pi3J7O6e2azfv2997u09s2I5PqazvbkwzlRZZ9TwSGMgKdSoIpHKEwwpeBcXIKXA3lZ5N9TwTaQWBSWyRRcIPI8MxS+JE0hIZy3tymJgq9IYmIFgWZ1zG2t0EAkNBm/i9yiIS4ByUagfODJEiT4h31uYg3HjmKKRKJwCBCPGIIjGN5mZEEOcCUcJ5UnmzhrDyN+uveyLR+kRHCU9VkIcsQTv2RH4lgkRtCeyPnkYdMyDdCJWXN+PoyriEkHABNPQaZEiGHNCCWSHxsOYUM8fq5p/47Rr6yz5CjqP4OZ2QU4RXWazz6Cg/H6z8HCww9HyRQSC0Pu3GLCNR4ETlMpOIpWIb0Np0u8OJNhb37xD7kDBKxa4d76Wu0yMH2vznAMKFx1jA2iEiM7X18znnDU4+cMUIg+MaLMIZnPCIhkWleYtcwBz0HmPHuRzVxkYqKgSGQ+qIPnrPnau7FFnjIeOQywxMBdx5Cbp7CQR8037sPHMyzplMnxgunaMKRGQGief6eu/kgiiIqJZvP8PMZwhifu6Z5Zh4HVgi460YVaX2xLowBieXEYijRV55q3nzHiiht7srC+QU760jjiJIGECH7PoOruWl+CZFn5DJnw1vtd5zvWHg5Jgo4IuZSI1sL5rUjjzrpmCTBrz+NgSqM1UkPO/uSCCQCiUB/EehkEuwl3KzeSYGSc8UjIXSPQiHcjcItdJJXhwLB20DBZE2nUOYWbf2dFXn8UEJgUiR4KI0l+5oIJAKJwNRCIElwkuCpNZfyOolAIjAMEehkEhz5TCzVyC1PBis+r4uQLlZ3YW1SOoSnOZ7B076QPAKx12lv2w4Nw8eZQ+pCBJIEd+FDzyEnAonAJBFIEpwkeJKTJA9IBBKB7kWgk0mwkEn5ckiwcEkEV3iWkD9hgkIDhQnKk1JRVR6UIizZEoFuQiBJcDc97RxrIpAItItAkuAkwe3OlTwuEUgEuhCBTibBreHQCnnwAMsNk6cmvw4Jlj8lD00REUVYFOfjMZZrpbJmeoK7cGJ30ZCTBHfRw86hJgKJQNsIJAlOEtz2ZMkDE4FEoPsQ6EQSrBiO6pzCmZs5wbZ+sPWcIiQK8SigowoooqtgiZxgFTUVivE9oqyoSoRVd9/TzRF3AwKdQoIZnmxt47ciVgoYafLyFQVSPViBJEWDVP61/Y+iWLHGY99bn0dTXEjBpCkpiqcAmKrQKkYr/mN7onab4kuqDDcLY6lDoIov+aQgkYq7DG1RjMhvxbZsLelzlXzd23kamQSDKNoUfVEAi+FOITM4KdQk4kV9A4a/qGKtP6JiVM9WCRq+zeY4KSGqSTtvueWWq1+7p22H/HauKJvoD8yjWrT7K6qkIjjcXENRrmyJwFBDIElwkuChNmezv4lAIjCICHQiCba1nGquqo3GHpsgoYypAqtqph95vxRa4dC8wpRIW7o5z9+u4fPmNQYR2rxVIjAoCHQCCUaiVAhWkdfaJFds7WPvUVV5pSqorouEIYkInq2aVCW2XjWfI3C2VIwtaC6//PJafdkWRZOz0wQ5oEIvmYKISqVQsbjda9mOxxY3sQeyqsIqZ9tuxnaTsUUSom3s+q1WgUrNvlPx11Y8yKoKvJpKzsatAm80sk3FZCRYpWTb/zDiHXbYYXV/X9/DQrPtjS2XbGt0xBFH1B/bZmqqKDP6MQba5kYxQftAawwRtuVB3u2Xq6+aLZKM56mnnqrY67vtMpFl+++qwWAbnmyJwFBDIElwkuChNmezv4lAIjCICHQiCR7E4eetEoEhj8C0JsEIGq8nkmvvXA0BRhjtLSxCw962iCKvKEOV/VKRXoXtWkkw4uh4Dfm97LLLavE7JE0VeEXyRIMgzEceeWS9t62I9MO2QraUicZohoAjgoxmPJruj0DaLgi56ytd4uijj66RJbbt0XiGeaZFpYhYQXR5vz0DWwiJSGEEsG0NLFSqt9cw4hlk1J6w/nd+NATdFjbf/OY3y9Zbb133dUVCHdsbCUZwEWApILzvGsPCiBEj6m+pIry6MNbssWwLI4YBe0dLLQkSDFM/iDkCHiTY/r48xnDIlggMNQSSBCcJHmpzNvubCCQCg4hAkuBBBDtvlQgMAALTmgSLxOBhPfDAA8sXvvCFN4xQzr58fh5F5A755TlWxA4xbCXBQpalPYjgQPCQQvv/Cp3++te/XkONkVnh00KK7dUq/cF3iukhra3EFsHjPVU3ADm1fypSaM9d/eqtIX8IPa+qa1x11VU1nBnJRaKDBNtf1fj1u7Uhqt/97ndrnxFbxgEpHE0SjMAbp74bM6Jtr137wU6KBDM08LZrwswZGpB2422SYFvJmSvC1O0pG2PnCeZJdn/jYmxIEjwACzUvOegIJAlOEjzoky5vmAgkAkMHgSTBQ+dZZU8TgZ4QGCokWGgxD6p81U022aTsueee5fTTT38DCRYqjQQizhdddFENqeb15OGUVyuUWZ4s7+/OO+9cyTEy6hjhvDy+yGOz8YryPjsPiUZG/UwqVQIJ1kceWR5dHlT3ch/kNkjwWmutVfbff/+6j3lPJHjcuHGVSGtCnBkOmiTY50K2kXmhzAcffHD5+Mc/Xs4555xJkmDecD+84PrISz7HHHNMRILdT341Dzj81VMYM2ZMzRdGgvfee+/qqUfyPZskwSlrhgMCSYKTBA+HeZxjSAQSgQFCIEnwAAGbl00EBgmBaU2CeUiFJCOrwpU1Xl5htVdccUW54IILKqHlAZXniojee++9lTD2RIKFQyOsiN35559fc2GFGNsGTaEmObcILA+yAk9ykXlC5eoqWCU0+O1vf/sE9JFNBBWhRK7705rh0DyniOmuu+5aQ4l5YIME77vvvmX8+PHVA6t/F154YR0zzy4s5ATzgms77bRTLWbVJMGIu2seeuihdes3pFnOrnHyBKuUH8fLMWZQQGhhFOHQ8q0p/XKeYdv0BDM4xLPRB+QfJoh8kGDnLrzwwtVD7lz3znDo/syWPLbTEEgSnCS40+Zk9icRSAQ6CIEkwR30MLIricBkIDCtSbAuK0LHw4rI8ULus88+lUjpm3BiRA0Jlp/L4ylPeOONN+6VBEdO8Nprr109l0ilrc+QtD322KN6gBFsBE74L68w76kw6NGjR09AUeg1b6cc3GhyghHxddddt7z22muVtPbWeFYRWV5TzTgQVSHRxhCFsYRZCzdGII3/S1/6Us3vFSLtNxKM8GsKfTm+SYKFdivghQwL/RbaLbdZwSoh3qNGjarY8kALOUf6FdL6xje+MVFOMLyFmLsfosw7rs+KZf34xz+uVfc159tW7sYbb6wYuqb78yJHXneQYOHiwrmzJQJDDYEkwUmCh9qczf4mAonAICKQJHgQwc5bJQIDgACvqfBfnr1p2eSSIm28jIsuumj1ZApdVvFYZWKkF3nk6bSFkrBf4cVve9vbarcVbOJJRXRHjhxZP3OeolgIq+vydiKu8mv98AIjiMgnYqk4V9MLzIOKLMu51fyWt4u0u9Y222zTZ2Es/UUkVVXW3BvJNj6YGxsPOKKIXP/yl7+s+c4IbFSKRtD1Q9VnzX2R3rimzxBOhF3VZnm8ri3POMYiTBoO8GRsEALub58xAsjxDQwVEpP3qwiW+yi4BWv3Q6I14dFCnz0TIerGs8gii9S+C0HXeOTlGPP087hnSwSGGgJJgl9/YvZUW3rppauVbUr2mxtqEyD7mwgkAokG3+UFAAAgAElEQVRAXwggwTw2iqJQxLIlAonA0EEAEUK8ELFpTYKnBWpIcOQET4v75z0TgUSgcxFIEpwkuHNnZ/YsEUgEpjkCSLDQO6F12RKBRGDoISBUV95oN5JgIb88mHJ1syUCiUAi0EQgSXCS4FwRiUAikAj0igAS7EcRm2yJQCIw9BDolHDooYdc9jgRSASGMwJJgpMED+f5nWNLBBKBKUQgc4KnEMA8PRGYxgh0QmGsaQxB3j4RSAQSgTcgkCQ4SXAui0QgEUgE+vQE2zrkyiuvTJQSgURgCCLQrSRY0SeFmxSriqaugSJPflqbQlGKQCme1W5tGNdT/MqWRgp22cNYgS576iqaNfPMM9fiXM0K04899lhRJMx9WpvCXApl6fPKK69ci4IpUmUc8rt9FsWr4r6KbC2++OL1+2bTN4XDnnjiibp/soJj/m9Wwp5rrrnKSiutVAuCua/iY+6hWrSCVwpxuX/zvkNwCWSXE4EeEUgSnCQ4l0YikAgkAkmCcw4kAsMUgW4lwSoZ23YIibMlkQrRSy65ZK2qvMYaa7zhaT/44IN1n2D7Cdt2qZ0mUsZeuvbd9fumm26qhFEONgL79NNPl913371WUtaQbN8hufYrbjak3RZRKj7bJ1k/bBu17bbb1irPircq4opc+1816YMOOqjWbHDfVVZZZaLrxbm2PbInMaL+gx/8oO7tG02ovC2dLr744nLyyScXpPi2226rZFkVaAURDzjggGoEve+++9qBJI9JBIYMAkmCkwQPmcmaHU0EEoHBR6DdcGjbj1A655tvvra9KD2NhifCdiKtXo3WYymRzzzzzITjZpllljLPPPPUwyiePDnhMZkUapRk1/NjDM3Gu6O9+OKLdYuSaPYbNVa/Nd4W3pQFFlig9r+12R6Fd8j3PDG8RZpj559//kl1Mb9PBCYbgW4lwQEYmTLDDDNM2AbI59a6PXrtCMJDikgifkGCrWvEee+9967e3Z4a0uq8d7/73XUrJVWobRXkurZnGjt2bL2m6vo8uQ888ED9DvkdP378G0gwEo7I8vAiwLaDsj8vr6x9fRFzP7ZvIuPuvPPOel+EHsneb7/9JnSTLLKfsPHZ/3f11Vcvn/vc5yrJ1vTL/r+ILVlkS6oTTjiheoVtmaQPhx9+ePVuGyOycOSRR1avdrZEYLggkCT49Sc5UFsksebZzy62FhFaEpu3h8LWOpkoWhTPT3/601OkTA6XSZrjSAQSgWmHwKRI8KuvvloVP0qV0L/nn3++eimE3/W38XBQPO1PGSSxt2s8++yzlYRSYBHm5557rtx///1VgRNmSDHkmWmnHXzwwdU7c9JJJ5WzzjqrzD777PU04ZHGwcvCe8KLMuecc9bvKMaq7mq8JZRcijYF1fGrrrrqRET++OOPL/vss08lwgj6HHPMUY+Hn31ML7/88vp/tkRgaiPQ7SQY4bXmyBVKL33MllHWMu8nwrrhhhuWXXfddQIJRiLtPYxAxp7EfT0XZJKsoEsKIyYfyELGMfsB2weYsY3eh4yeffbZbyDB1113Xdloo42q8Q7xVYzQdY477rgql5ZbbrkqL84999wJXXnnO99Z+81byxAYTR/omsgtbziZ6FpnnHFGNdYh9+QWOYlww+KSSy6pJNw+w+TZmWeeWYRuk4sbbLBB9RiHR3tqz9G8XiIwLRBIEjzAJDjCa4IE/+pXv6qCiRWQ0PE5ZY/ACo8CaxtBhUCHUkRoOTaO8XfzXNeYlOdkWkywvGcikAgMbQT6IsHk1lJLLVVlmrC6WWedtVx22WVVKaPw8Z7ec889Zb311quel+uvv76svfbalSxT5m644YZKZCmhvCof+tCH6nmnnnpqDSl86aWXajige7R6SymYFMAXXnihKn9bbbVV4Y0eN25cvQ4FVqjgjTfeWL2vtknhFeGd8R2ivsQSS1TC+8UvfrEcdthhVZF0vdNOO63KV56WLbfcsnpwDjnkkHrONddcU2U2eeu+O+20UyW97kNx9bfwRb95laJRJBFh16CQ/+IXv6hEGZmnJOsrxVSuIIOCPmZLBKYGAkmCJybBZBHCyiNLhvB6Cmcmw4Qc9ycc2vN56KGHamgyAx7P7W9+85seSTC5p+2xxx5FnQX3FyHC+EeeMKCRHcKQySlkl/xjfEOQyTDHOzcao5rtn3hsTzzxxELHJOc0Mg2hbSXB9o3ec889q2x2395IMNJsPPpFLu67775JgqfGgsxrdAwCSYKnIQmmDAllIRB5iEeMGFGVJEoiIUrgEMoskeedd15VFimIxx57bBVyQm+233776gEh1Ch/GVbXMWsrO5IIDAsE+iLB4Y1FFiMfDZnlnRXKpxjM+uuvX8ks2TXbbLNVZcr/iDL5Rw4ixIgvj2j8jYTKZaNY8oSQhzvvvPMETIMEU+BclyfHtYMEI95IOeLNw6GvQgJ32GGH6jGW90ZuUiyF+/FyhAJLeXT/a6+9thJi47PHqnN++MMfVhI800wz1fxCnhbKKrmt6T/lUQjkLrvs0isJ5mkhw92HAo6Mu7b+fvnLX65KcLZEYGogkCT4jSSYd5fXlVxhzGPQoktFOLT1GKkZfUWliNxjzHIde6lLbyCHRKQoNMWgRb7IBY40iSYJlhpx1FFHVTKqP4x59D9RJqJPpHzIEX7kkUeq48QPUsqIRj59//vfLxtvvHGVtZdeemkNaeZ84UARMs1xQockWxnatthii6pzItPnn39+nV6INFnpOOHODAT6QC9l2OMFNkbea97obInAcEEgSfA0JMHCZyiBrIiUOALy5z//ebn55purcGKlo+AhtoQRJVP4CsueAg9yN1j9KHEsjJSnnqoNDpfJmuNIBBKBwUegLxIs1I8HgiyjPEZ0CpkkzFDon5cMwhokmPKlUIxQY0QZaSS/XOP/sXcfUNZW1d3An6iJQEwsQUVU0BA1EmyIhSZY0CgiCCo2bKCCIogoLQqCihQBURAQkSLGRlREBSkCgmIvWBF7r1kmapRo8n3rd3j35LzPe2fm3pnn1tlnrVkzc+9Tztlnn332f7dDGaRAClvk3SD/AGBeWIa/j3zkI3PRMAGCKW8USN5VxV0UvSEH5enxmFAyeXvIToVqeEU091BQKbsAOOAJBAO98u6AZt7YY489tiiG8uuA1MgzBqjf8573FEAMyLvG+BkBvNsYAfhobU9wgGDfM2byTtVhjqOf6XzjrFIgQfDqINg8n3jiic1pp51WdC2yxvoH9IBXcgcAFilC5gCQvZr1zlFx5JFHzn297777liJUO+ywQ5FrQCy5QteLVoPg+rnAOPklMkb0ifsBXd5hkSYAKLnHKEdO8lozzp155pmNOZZCVzfRhLvuumsB58cff3yRaeQVrzWATSZGk46BJgyYdEn95pTRdwCfcVHkTrakwCxRIEHwiEGwsBeeEeHQlD5Ci9UuFDkKp9Acnl8CjOeBAKNkUb5873/3E9g+50FmrUsQPEtLM8eSFJgMCiwEggFZXgrhewCj3GDAUygzL4Tw5ADB4W2gYDLiSfHguQhAyisLoNYgmCIGAAOsDIWU0fDKBAjmsQCAycDI5QWChRXrG+/xnnvu2TzrWc8q9wKyNQjmoaH4Cemm8PFS6weAq9AMAySgDwQLTSRnIxya94XSSpmkVIrS2XHHHcv4AVpj7wcE8/7oP2U2W1KgawqsdBAMXAKz1iWDmAbAWs+8v9Y/8MsQxQnx8Ic/vFwD9HE+RB2A9ryQYXQ0cjCa44o8y2c8wWQTuVXn+9PtyDnRKu3GWAjkejY5RtYwADKaafqjvxpQawzeCRD3OiKJk0VVaJ5vuiJaeJZ7/ESLsTDioROdlIHS+HwnZcNn2ZICs0SBBMGrZnNYhbEIWIJHmIlCDCxrPAKALy+uzwBjAJf3gSIozCU8wRQy1kjCmGASLuM8OF6GBMGztBRzLEmByaTAQiCYIimPlreCpwPoBQR5LBj5KGDklN9yaeXPyhPm1eDBoOz5nKfBNcAqxU74MjkJsJJ9F1xwQVEiGQ1D0QsQTGnk4a0b5XHrrbcuAFW+r/cAr3JuFZsRQqifQgz1D5Cm6ALBPNWK0GiArfsoswCx6By5vlGbwTXy9YyF94dR0rOFSVM0a+W57Qnm4ZbrTEHlPTJG/eYBYkiovUuTyRnZq2mhwEoHwdMyT9nPpEBSYLQUSBA8ZBDs8RSvUKqEPJ9wwglFYQR2FV0R+kKZpNyxViosQ+GSTybUxr0UOSEslDWhgrwprJVAM5Ct8AuvCsUvW1IgKZAU6IoCi1WH9h5yi8zi/RCpIncMiBPGB+wdd9xxBQDz7Mq3VRkZcOalldYhDE+aB+AsjFAFUpWd5enyygo1dk0cV+SdPCkALNDYBsHCG3lj4mgPVZlF4OgXQMBz7V7gWJ6csGwNGOX1AGQ1QJsHBGBmtPSu8847bzUQ7DqgHmBW6MaYhFd7j7znaLy8vNpCsBkyo/HqHHPMMUW+a/YFRk5GgWxJgS4okCC4CyrmM5ICSYFZo0CC4BGAYAAXaNV4MyKkhLLDs0Gxkn8ilI+HwfW8EQCzz/wvlND5lbzFrnF9hCIKl4niMHnExqwt0RxPUmC8FOgHBOthVLCP8D2hwkJ8yS/f+TyMfQx+8bm/68IzwvXis/mu8b76ue0wwPoZ8bfcYDnDjJKOKxFeLVJn3XXXnQO1+qm1++OzeIffvSrxe0/cS16T0cB+tJo+8Z54bv2+9kkA4539fPssUCBB8CzMYo4hKZAU6JoCCYJHAILnmzRhgCqVCo2mkGVLCiQFkgKTRoF+QfCk9btXfxwhIucP0JQD/OxnP3saup19TAosiwIJgpdFvrw5KZAUmFEKJAgeIwieUZ7KYSUFkgIzRIFZAsEzNC05lKRA3xSQVsXQLnd9JTQFrtQnqJujzESnDKOJxBOZJ1JPMT5NgSnpFCL3VMmvoz2kTbheCki7KUYlQkVzj2tElUgl0X/pE3HUkqOSFM0SMRhFAXuNL+6XTiKCRirJH/7wh3KpSJhIJ/EOUS7eod+Mha7VJ+MyvmxJgVmiQILgBMGzxM85lqRAUqBjCgDBcmTlrVKgsiUFkgLTQwGgRo662iMrBQSrLeCs27p961vfajbaaKPOJ8553gqcKvinPouCeMCmVDf1AwBXaRhRCRpwFQEoHQ4Ybjd1FBTG0wBP15C/++yzT6k0rV6A444UBHQeOZCq4rUq9vOBavebe/KbgWDLLbcs9RA0NWe886yzziqFCfELOjlLnexX10B6B2DsSDx9yJYUmBUKJAhOEDwrvJzjSAokBYZAAYqQ824f85jHJAgeAn3zkUmBYVNAdXPHeK0UEAzARcHRNm0dP6nonLO8FSZVR+Xkk08uFd0V6ZMyQd7J8VfUb7fddiuFR3s13l5KtCrvjISOQlKw9LDDDivPAn4dZ/nud7+7/P2d73yn2WWXXYqH1RFubRDMY7vFFluUc8Mf//jHl1cC1qrWA7+XXXZZAavO7HWCiOr2qvM7s9wRdSrU1w3gdvyaMSr+BwSrh6BvgLGz3QFt/fHbM33nRBKedMUO1TVAB8ffOdrOUXPZkgKzQoEEwQmCZ4WXcxxJgaTAECgABPtxtFC2pEBSYPoooAK6gpwrDQQDiYCl0F4glzHA+d+ALc+sqvX+pgjz2AYQVuFecVKnbfDKAoaLNSHMzvB1SoewYRXghUPznqowD3wCwby1hxxySPHAtkGwIzEdl7n22ms366+/fqli73xfTcj15ptvXgCpegbRgG9nnQOwbS8tIKugKi+46vhAsPPbgfp11lmneHd5rt13pzvdqTn11FOL8cBxnI6CcySc6vw+V3HfmcHCyrMlBWaFAgmCEwTPCi/nOJICSYEhUCBzgodA1HxkUmCEFFhphbHCE8xryVvLAMDDCwQ695t31tnkBx10UDm2jNcXSHQf4Mwr6loAEjiuzwXvNW3ALABMoeZh/e53v1tCldsgGLjVXvjCFxZw7T4gXWizMGT/mytHul1yySXNaaedVvq61lprleuEPDs2zpF00QBr4xDC7Fg6ocvGrMkT9tyLLrqoefSjH13G5DQSQJq3Gw0cFceb7Dx2R9M52xwdgGPAeMMNNyzH1jEK+CxbUmCWKJAgeMggmEB13q9zgeVWEE6PfexjGyE5QlrkdrAIKk5w7bXXFuEnpMW5mHVTmEC+hjMo5XNonkV4EVSO/SDgnMHp7GDhLMcee2wRrqyaUZSBIHXOsOepjKo4g/AdQjSKLcR79fH0008vQpQwld+iCINrhRPtuuuuzV577VUuJ1Tf9773FUsq66qjUX7wgx+U/tkICHbvyZYUSApMFwUSBE/XfGVvkwJtCqxUEFzXMBDy6yxv3k3Al+5CN/I3vYi3V16vfGKFrAZpAKaQ5Je97GXFw+o4NroQgOoH6HXOeBTmqkGw00H8T8/SP7m6wpDPP//88r+waWem6y8wLDxamDOg6plyhXfaaacS0vyBD3yg6Fyf//zny7v873cNgt3nf+8wdsWwAHcgmPdazvA973nP8nzno/Nq8zbT3/THu7IlBWaFAgmChwyCCTihJYAq4UogKWLAusc6KRwlLH/bbLNNyVM555xzVuMvYFL4y/XXX1+ElzAexRBOOOGEIpz23nvv5sQTTywhMXI2CDP5G3vssUcB4MJkvFdojc8JavklnguYyxkh8OqiETYPIJdA3HHHHYuAZlUF2uXPANLCdH76058WyyPhSfBvt9125dneu+2225aNAHCX5yIcKM8xnhXRkeNYKRRIELxSZjrHOasUSBDcFG8vB4L8XdWyhTrTfw499NDidNh4443Lb6HDwn9///vfF08px4TvejV6kqJjHBR0Hu+gx9Gp6FoUbHofgFyHotcguH4uvY4D4/DDDy9HZ9LlOBzodb4TqswLDORymshB5jE2DroX0Nqr1SA4APo73vGO4gjhIQdshV8LDQd63/rWtxY6yG3mjT733HOLHkjHNJZsSYFZoUCC4BGAYMBRrofiBltttdUcCOb9ZfXz2dFHH11+WCnlhNQN0AWCVfADfIFgeRryOniACT8g2P3CZRRgIMyF55xxxhnlUQC0QgsqGSqHD5CyHPJCE3S+j9L+rudBJhTlgSieQMAD7QAtayTL4fbbb1883CyJH/vYx5oPfehDBfjKGSE45cEIz9F3gl2ujD5lSwokBaaHArMKgoUsMui95jWv6azi6Re+8IW+8geHOftCFuU9Rkikd1H6yXveHwouGe6IFPLdniI0k1dIo/wDTWQ92a8xejLkUsKzTR8FVhoIlocLnFrbdZMjy8nA0ym8V4QbfcoaoB/Rqeg21oW/fS5EeL6q0kDv2WefXfJsNaBYeDHPMLApOo6+xaFQ61ccEkAmr2270aesR0daKZAlhFo+sDXN4aCfnCUaeeMdm222WQHc8zkZ6JUi+YRS66P76ImAOp3NfWhD1usnMExG0FsV9RLNp9r2zjvvXBwi2ZICs0KBBMEjAMGscyx1BIh8DOXzeYKBYEJUKX3CR/gxYdlulBfhzBSQAMEEmR8hPIQYEOzZADWPLcGsbL9KghrLpLwOwq1uQmyELvMO80pH+/a3v128uID3ddddVzYNwJtFEhgW/iys25gIbeBb4Rx94ekWRm0zOOqoo+ZAMCHMcpktKZAUmB4KzCoI/uIXv1jyAIFhMnC5TWgiDw9D4zgb2UtZ5umKBsxSpnm4GDftDQyV8v9Uq2W4pJQL5RS+ac4pwUCzxhvGmJttOimw0kDwdM5S9jopkBQYNQUSBI8ABAOuQk5Y0lQF5L0NEOz1lA/hxIudwVmDYPcBxzUIFrrMIskKCnxSds4888zi1RXO452h7Mnt1Vj9WPZ4hD1rk002KZ8rp09xohyxjHoeb7H8ExZKoBsIpkAJq5bfHCBYzgorLBDMO03R5AlmefRZtqRAUmB6KDCrIJh3hGwC+oA8hr6LL764nN/JqEfeRl0DxXT23XffUg9BkRzhiAyLPDRkpRBLUS7y94QLOspEZAzjJzmpVgO5yAAqdFKOnzBGxWmcGWpPEEYp546hUVEd3iK1GwBV7xGm2E8je3ltHWnVbrzDD33oQ8v7hXoC7OQ/7zD574fMZixllEUX+4yjZMjvbNNJgQTB0zlv2eukQFJguBRIEDwiEMw6LzdEcQFKRQ2CFc/idV0uCOZxvvTSS4uyAnBT0o444oiSR8wDIBw5muJVLPuUPWE/lD9eZF7faEJshM1Q5k466aSiLCraRSkW/nzXu961XM8T7Iw6OStyf+XdeLZQGyX95QhTMFU+5GnIlhRICkwPBVYKCCbT/DAcyoEjG4Fk0TAidIRFMgiSYWQfeaiYoAgaNRVE4pB7ZLC/1Wrwt+eJrHEvEOweIYzSXgBj8pVxkNFRZA7g6UxXnwHdwjdFC/UrO10vp1DEjuY9CuREZVpFdYRU2hd4ezV7kP0JYCezhVRLZQHSGVbJf9E/2aaTAgmCp3PestdJgaTAcCmQIHjIIJgyxGvKOq8hOI+q8+pY+EMB6QcEK0RFyYoqy21PsErPChzwcFBmAG8FsVj3AdJaiVHQSp4v8Ks4QlR0DnbzbEoQxY23mKcASFY9kULGWyKEWo6JJt9ZuDQviNwVXgtjV32Rp1tucq9Q7+Gydz49KZAUWC4FVgoIJq+AYHIT6AOCRc4oTMPTG00hHQAYUNbkD5LpgCcvquIxKvOfcsopJTdQaDKZqA4DEEw2ez5ZqgotuQ2wAsTAMRlKVsr747EdtJHD0md4fDWeXoZOHmyGVv0XCcRzTZb73v/yhoFe6TS821JqAHGyX9qLPSTbdFIgQfB0zlv2OimQFBguBRIEDxkED3f68ulJgaRAUmC4FFgpIJg396qrrloNBN/mNrcpqR4RGq3egToLji+54IILCthU+A9gtZkGCBaVc/XVV5eiMuo++OF1BYIVFFSQqxcIFsXDExsgWGEfIFpxnTjmbrHZXigcWqqMXGARQvrBOCl0Wpi0Yopymp1moHaDUHA5wejCIBCe5cXen99PHgWmFQQzxotS0KRUWQMKuuHNm9/85mU99Wquweu18cp1Cj0p/ObsW89gGJLytdzG0G+Na/rEsMRQFkWkGJ+i/9EPERnS4NrNcU3SKtyrbxwZIu7qZ7mPI8NYojHYWcvtVkf36Ru6ReoceoaBjAxovzfo793GwFmThbGWyy15/yRRIEFwguBJ4sfsS1IgKTBhFJhVEFwXxhKCHCBY/QZAEfAT0uwoEikd8nUV0RLlAqiqKgsYyp1V5Z8X2bF0omd4YRWm8lverdSSCIeWq+sd0keEUocnGOAGrKWTSGWhqPPMSm3RN5Vs+2k8wbzaqvNrlFfv52nmzZWv7F1AuAJZQp8ptiJ/3Od+odcUZWBYrvJ8R6/005+8ZvwUmFYQDOQxAGmqLVsT1qa8epFx1nCvJrTfummnmInqwPfWgdx70RmOClpOA0Y32GCDuWrsUt2A6zbABcwZwoBv72ZckyJWNzUARO4Bs9IQjJ38kEJRNzJDJB/ZE00UoEiSuklVq4Gx8as34FQP71KXQESL2i6iV6RuRCFW1wLQtSEhxrAceuW9SYFJokCC4ATBk8SP2ZekQFJgwigwqyCYMgwA8oiqfUCxlGrC8wTs+hs4lLri+BBKdyi2oUBS0p2fGfm20kt8J+TZESxXXHFFmU3/u0ZuLjAqzJgC7n+hxo4oUbMBcFXQkEeax4YHmteZghv5u4uxh/xjKTEBAPwW+qxflG7h1uHZAYh5gnh4gAxgW1+jyWkWsg1QZJteCkwrCLZGgDZpVQxPjDZAIn5ksAGCrWMRDTyZwJz6I/jY2gHiRGNYbyI2rGXrW56/qAfeWPLN+rb+RF3I/QccrQcAkSEKqJ2vAbNSypzfy2vLSBYpBrzDnuf4Melk1qZryQYAtQ2CySH9EhEiJUExPt5ZY/NMx1mSDwqskle8xn68A5ivT/jQX30zVnKI15fxC7gls/yW8uBz1zDyKeRHdjgeTd/8zQiG1k4z8dNvRMr0rpbs+UqiQILgBMErid9zrEmBpMCAFJhVEDwgGfLypMDUUmCaQTDDEw8nYChvXXSCPHyg1bFkinGK5PC5UzAAYOAZCAbq5Lgr3AnIqfIuP19RuADBALRTMTwTyOYlVo3d9dISAFfgtldjYFL5XXoBry0jlkJ34bl1YsYrXvGKEikCSHuWEGdpBgB2GwTHOzzXfTy96g0AwEK5AWnAPwxivLbqBjCsqTJfN8+QTgGAO9EDfUSayPF3Goiif56DDlF0Twg3g4MTTVwvegUQVxeGR/iaa67JcOiplQLZ8V4USBCcIDhXRlIgKZAUmJcCCYKTOZIC002BaQbBPMHArpMpAFrgl4fVbwU9gTQeSyAToBOOrBgpEBzREKItVF+XE9sGwdIAVHt3L1CooJ3jyYBEINNz58uD9XweWJ5aHtPtttuuFAzlSeWhVUOA93mjjTZajYG86+1vf3sBwQD7z3/+8/I9TyswbVzqBjiKjWfZeNUdUIhUMbtoIln0k3cbuNafn/3sZ80NN9xQLuEJ5jFWoI+yj1bGpOq89wPjKtEzLmhSIHijeYqFlKM7ejIG7LDDDqVfxpktKTArFEgQnCB4Vng5x5EUSAoMgQKTBIIpi5RSyqImHFmYrzC/YRVsoeDyDMn/jbBn7xaGWeccqvavbxRQYZbCiMcROtjul77qu3w+Y6mb8VCKfR6nFfie4kwhDjovxFZCO6MokDnwnEHHjV79noM8BBaf+UdOOwgGzFRfB2x5W3k0gWAnXgCUvKPWniPGhA8fddRR5VprUaqBc64BXd7M+UCw1ARrVgOW26HFvZjE2uFZxbtxvBhPshx6fQbaAfR2q0EwkOl0DWuH15YX+YADDiihz1GRXd6xPgGmCmxFA0oB4/AohwcZeAboIw2Dl1t9AmAc6EU34dZoKveYx9e71SLg9WV4EPZxagQAACAASURBVEJtXXr2M5/5zHLuuFziGoTP/MLJAc48BRIEDxkEUyTkm0QVQ0KZIsdqR2hTPnxPmAppkQcWzWeKKAjFkQcyLCVv5rk8B5gUSAosmQKTBIIVh3Kcjx8hfnLaFHJSlGpY8pFnhULt/F0elWgURcWtAElg/MADDyweFlWhhV/6rN+zfZc8OT1u5DGyd9hXKPWUaufE8/zINUY7fQYOeIAo6eedd145yk6FWYq0vEU5kZHTvFD/nDkc4Z7eS/GmZLeL+Sz0DDmOPHLZhkOBaQXB1pB1BuRaVzyXwCWQCQT7XNiudSdn3/oEkOlZwDIgqYAdMClMWjg0XhcODTADeECsa61ZfA8MKr7Fu+o+Otx84dBmi4daaDMPsEJ6vK/Aps+FVKsmvxAIrr9jbGNE8uN8bwDVj74bG92xNsQBtIps8UD3asccc0yRkcK1gVf0oksKG0cb9zIKMBIo7oUOfuuz0Ggh6K5xbJyxAcX1+4fDrfnUpMDoKJAgeMggmBCUbxIeA+ElwlcUbAjroQp9LOkKliiuQLnTWCaFpShcQvDXlvrRsUi+KSmQFFjJFJhEECysT96anDnhi1deeWUBwSqp+k1xJl9VeFb0SRGa3/72tyV/kFLJW6TATuTWUfgoxBTpKIJDISWnGSxVVxb2GGe04wfKNw+JojKu42mhNFKYKdTCHCmMvDdRVTUKTFHSVZ32fgA7mn4yfEbfeLl5dRS2qg2k/fCjI4/kUvKA1U0OoXFE9WheKUZanh4ho7zAPGnoKKdQk8tIAfbMNrgV+knJZsRl1AUigH/AVjNOe1p9nE3kbUYf3O/8Ys2cKWQ0qDe5H5qs1GumFQRbJ0AcDyTekmMrZxXQdAQSz6XIBwXc5MwCigAozynDDCOQ3/hdway4D+jjCQ2jDUPX5ZdfXgxEZIC1TUbQwVSGX6gwFt1NgTnF9IQK8zbT98gCERj0vXbTX/0HMOvmncYYBj2/gVfrT+izvN8akJN9xlZ7h+vn6ZtxySsmn6JvAD69E9BWTMyaFr7NQIDOioihnc/IH3QDtMnSbEmBWaJAguAhg+Cvfe1rRbGoQTABIwQGIKZEqdJHWKrwp+w9yyXhrCIopYOljrJHOGdLCiQFkgKjpMCkgeCTTjqpACwGRgpjgGBHfPBeUvwUu+E1oRADlGQnBQ8Y490hl8lcXiMAAYimIALR/gZgyV7AkCIqR9C72iCYvKbIAnWq177rXe8qwDdAMEALUMrz02/Pd8zLtttuW/pBuXW9CtC8LYrhUPIpqJRe+wDjJ0A+aLjwfCCYx9UeU4NgXjFKuUrZ9iYKPcUXbRgc7F8UZQYEx6iEoRYfOhZKSCYQrDE2KEjkOmNRaZc3zdFP/ueBYnRAf9V4efLRyLt8xxOFrtm6o8C0guDuKJBPSgokBZICa1IgQfAYQTDvAOskSyNFgseBBZ3SxbpJKaMcUdQoEccff/zQQv5ycSQFkgJJgV4UmDQQzCj4iU98ongx5AI7cxdwJSOBNEAYyAMwN9100xKmCAQAVkAl0CXMlwdX0RpeY94mETuAobBhHhnhf8CfkGff9fIEi9ABDsls9wKvQo4DBPPeehYQqy/kOc8UUC0MmeeJ50X+oecYG9DuuBLFaPRxqW0QEMyAoP+8tkKkvV9hHqAUYBduypiL5sBr3dog2HfALkDvyKh99tmneJR401XO9RxeOx4tIdsAtdBRYN/fDMPZuqVAguBu6ZlPSwokBWaDAgmCxwiCbfoUNaE0lBDKEOVI6BuPgdA9oWmUJnlWgHHmY8zGwstRJAWmhQKTCIIBV2BRzpt8PCCYjOTBdWRJnMkJeDo+RagtsMZLzEMpN1CYYeTvAWxC/YBZIM33vKNAMI8yECwap+0JVnBG5Vn3SVsBZIUfBghWcEYfnVXq3gDBvNJAcB3aKPxQXyO0kVFUWOZS2yAgmJc6rhf2KDpJiDJa8uwKURZGLWyUEYHXO1obBAvpdh/wC1QD8+huPxOeLR8xCvkwXAg1NW60tA+6JkOhlzrrve9LENwtPfNpSYGkwGxQIEHwkEFwHNpOCbCxUyaE2MkhowQBwZQIuS8Kq1DmfC73gyJGCZIXJldYIQgTli0pkBRICoyKApMIggFKeX1Cd1UwJjd5U4VGO1dU+HN4ghcCwe4XxiuclwcSwON9jWNCgEFhws4PlR/YBsHyYcnvutUgWC4jcK36q4I0QLBiP/7nhWbsFNbN4+oIEkCUJ5Zn2v883YoAuX7QIluDgGBeX8ZW4NVY7T/6oXqsSCX/y13WF8XJfBYNDYAsIJ4hd7fddmv233//Eoq+3377ldB0Hm/eZeeTMvIyAgD57lVEyzUMEX7kTcv1zNYdBRIEd0fLfFJSICkwOxRIEDxkEEwpoDQojiCP7eCDDy6hccL5FCfgseCZUJZerpZQM1VI3QP4UjwAaBU4WdIpIdmSAkmBpMCoKDBJIJiXlmdV7qp8Ul5FRZSAKoWy/ABeqkXz/gJkQKrPHFdCrpKhwqF9J1RZuLPwXYBYtVXAT8QNYOZvgAyw5aWsQTAvs+d6Tt3Idt5P8h2I9kyhwHJi5QYD28A6zyoPMnmvoI5Qbt5T3mn/A8IigYBCxbX0fZBmc1cVui5I5X7vFS6Obpo9yWf2GUW0VJAFvtGPN1j+tOJZjApoqPBV7ak1fkYIzf7l2JYw1poHRgUAXnVfBgtGAO/nMb7wwguL510BLkCN551Hvy4ONMiY89reFJglEMygYl3V1eClHVgnS4kgwPccD1GR2d8MNaqn99MYyURI1E2am7Wgj/Q9lddFfYjyUIFdu+aaa8raZITD9xwmvrMGo5hePNP6YUzTJ0YzaQMiTzTv1gepCirDa+QGGvnf59JA3Od//VDsSiRNFNvjaCEHFRTT9JO8CRozCoraqPsjOsb3im4Zo/9jbGRYFP3zbnJWP61/NRGiuJ5neqfv0EsKoDkUfaNuACeQd9dHu/mekTPmR6QKp5JrGECjgCwaopP3af5XV0GNAsZH0URo0eYlc2EsaIMXPDfoGPRwjZo+xuFav30WBWzjnUEvMjXObo7PGG3NP9qbe+8x972O5sKjIkHVmEBX8xNFHb3XfOMxtFZTwZyjk2KGaIMO9krNvmS+/F/XduiH12fxmgTBq2ZVIRCCi4AdtArnYoyB6d785jcXpmT95h3ApJjXd5QgOVMEr9A6i5XXQR5WhD9bcMr6A9LDOgpksXHk90mBpMDKo8AkgWByUvhsKLv+Jw+jeitFgkIS59aSsa6N4+jMXnxPYYhwZNf7P/J7Y5Y932eeW7/X976LZ9dc4TmeF4qee6O/8U798rm+19WW4954blzX7lc/XBjvbQOD9udBM8/U7zYt4/Ne9PGd++vzktvHycQ46wq7cU9cW/chaJ77XD+z3N81swSCAQ0GKMabAEcAm9z/hY4ymo9SeJ5+BaABJIwygxSiY5Rj1GLsskY8C4hjAALwVKxWDBVQBWIYgwA1/E0vFA3hPg4R4E4KhZNCAET3Wr9y6eXsK54nUsOpIRGBAtQBT/ovlUCLivKOfHIElDWlOrS/OVzWW2+90kfRGwCq1I8oYgdU0kHpqCJANACckcF7yCKGLoZH0SpqJ4gkiaOWGPOAQACWQVCEo7o2Cr1y7IhQYWBEd8ZCdBA1wjgpgkRUDgOgd5sPBkRgEWgjZ0SOMMTRj9V/2HrrrUsqhfoCjHH0ZHRUeJBBzZnLmghMfVAbwjsZ4IBbc4DW6K4IIDnFGOlv7zdujiopLWioMeB5NpCpBgSDhDlEH2k2xlA3/QfA8YHrNCkl5hIegDvo/yKR9MvfdfM8aT+cYcaH3xkKGVUZU1T4Rh/vV5VcFA8DLfozvqIvY6Z34xdnu+NT62iltwTBqzhgmCB4pTNZjj8pkBSYXgpMEgieXipmz5MC46PALIFgXjVezNrwgrLyzBWv4wlTWZ3DQfQcsAb0iWbQAA36HgcDoOM3AAb8AhEBggFqBdtEP7SjKeqZBAjVdXHkksYj5xkACNCncB9nB8AOuHsnTx4gBtQCszUIlp8PQPIwxhnDrgMQAVdgGwgGEgE/gBNAA9yMC0hlKPAMwBioApAAuKjsHiAYiALCRX0oYoeGAJhUDQAPSBP9wkMLfMZxTyJkAFFzIM0BOJPqZ3wq5APhwCEaqI8g6uToo48uUS76430iaziA1A1AC9erEi9lQtqI8fGeMgh4LqCrmWOAFc15TfVDyovmOvMprUI0DTqhmwawG4/xBgiOiBVjFf3Co8ojjY4AMi83jzGAz4jhnGpj5oxiWEB/hQOj6KJ7RMb0AsHejYZ1YzAAoHl5zZX5ZjgxjmgMJyJC0Q7f8NgD2njW3JtD/IFPjYuRhQFAfQxrxZnXeJNHmIGDMcU9UYRxfFJpMt6cIDhB8GRwYvYiKZAUmEgKDBMEt0PEKHALnck5KgKFgl17I3kL2oq3vrbPzR1VHxd7j/5SroUNhjc4POQ1jXk7KPyTQPfFxpTfL40CswiCebjwM3AJAPCGCS3mEQZ8AD1eR0AMKOAJlEYhtUFOO6AKaPFUApx77rln+T5AsGcDjoAa0D1fA4LJSPn07uH15AUGJIEoINKPd/LIAenkymIgmOcQYLZ2eZoBdCAKsAsQDNAbq3BinkkgEuAEgvUdGAQuAZ5eIBjg5p10bjGPKO8qMI0eQC2wxYgABDvCk+eQnAD0eBzRFQhGQ2Af+OO9xm+AHNqrZyAtA3BFR0BOGK4xoIFaN+0GrNcgWPoEUEue8ZxK0xA1KXqTRzNCfevn6Fu/IJhnFAhlBOAp1/ASowOvNCAeXnDpHMagj/7Wj4gKWggEOw0GoDYGoJfXmqHGvAjJRj90jpDwGMuJJ55YvL+MB+0mXBtvme8Ij3eN/qE3Ous/wwZ68JwDw4Axz/JCfL00STN9dyUIThA8fVybPU4KJAVGRoFhguCohByDEb5XW8FHNsjqRcAjb4ujkupq/D7j4agbJbOdEzyOPrffyRtFoQfaKUfCKeWQ8QxQxurqzvLohFFSfLPNJgVmEQRT/KPxCAJUgAsPmHXrfyAMrwPIZA2gCrA5ykwNALJmPhBc5+AvFJoPBAvvFVIMhALnAA1QFdXl9UPIsFoEwld54xYDwQxTiv/xPgIyQCiDWw2CncfNq6cPasoopgowCWcGroTt8iJ6p2cJhwaMGAh4IYFInlgAmqcx6Aag8SR7pxNLADNgi0GNBxLAj5oCQLA+8oaSmcKogX8A2rgBRJ5VXnG5/97JEDEICBaSLHSb95jHWgg04D9MEKzmhLxkYBegZBxwTKk9wPt9BwQDkowe6LwQCAakGRmiAe7oGeHnUdfCPDFaRGP4AIAHAcFkOn7j1dZ/odH6y0uMTxkqEgTfSOEEwQmCZ3PXz1ElBZICnVBgmCCYIig8jfdG4RbWf+FwAJwQNZZ5lnMeFOCUUkcZUoBFWBgvkO8pv/G/nCeWdmAPAAwvqNA1Xs8oHkNZ5gFQtVmoG8+LH6F6wgt5OmoPA0WO0uMIIcB39913L9frD4+2vsU5uvrqLFxKiL/98DDolzHzBvle+J1Qy+hjjNlzKeHGp291MZnFJlUoKNDDw+IZrP7eK0+Moku5i9w2iinFiLfL+JZSWGix/uT346fALILgdlQGULQQCLaWec6sP2BKeCrD1nwg2BrspwGgPKlACu+pQnryUIENsoxsiLxfnmnfM55FPwBIHmRgnceuDocGWhWt8xu4BW4CBAtBJt/IpGgKaAH3ZIswXb+Fyuob+Qj4BAiWC+x+3kHF+gD0CDUHmDxHHilPMxDMI8lrzGMO9Kkm731AMJBF7gDUgKl3K4gHBAN+jJvyiiP8l5xjkOClRjPN+4Vb6w+5VHuCzZH8YbRAO+/mVSW7gb0wRALzPgdW9YH3mNfYHiEsW95znRMc4dBtTzCgC/xbN8ZoL2BI0W9eeeHQdROSrV/2FuDfO+tGxgvHBqbrZuxAvXs177P3MGJE4SteYgYIvGt/QUO8zJCD1j7TV2PXXI/PrAdziHfQwzwyFtnf5EwzWKQnOEHwHD9mTnA/4j6vSQokBVYaBYYNgik4lBtAUXEYyqPwRps6Jcymz7NC0eHBsKkLQePFATJ5JXxOSaSkCJfj+aR8UjABbGf8Ci2kWPDQAIMUDYpwNB4V3iV9oMxRqAHQugHRFFGKXxRc4XWljAhto2jygmiUVfuKsRgDZYqnRh+BWv3zN6s8a728LYoWxQ74F7bG86O/gxTqMWYKj/5rUfSLZ6kGwUAEZQlYRmtK7KAVqFfaWpjW8c4SCI7CWORAFMZiFGPYsXaAQmsNyMTT8oKtK0AOeAMEyA7GLN69AMGAKnkQ4dA8mNY6QMaLN18DqOWnkj+aCvVAEKAG0AHaQKIKwOSQoqfWG2DqfcAg2ceLDAgCJt5X5wQDgMbtGTyFZEt4ZYUDa4xbDG0AESMbejB+MfYpxAUIkil1YSwyVUg1GgFiAB7ZpxI8GauKsvcAsDzAZJXnMTSSa3KmyVUhz3JqyRyyi8ExQDBvNc8yOSws2lj1mVwiB9GAVxm4BlTRhfEgCmPxmgPS5DrDJrrwUrsGaOeVNQdorf88qsCtPjEA6CM+4F0FDBk32jnBAYLJYzKQbGYg8JzYk4TTmz/vRgsh2hrDAl5kCBEyrX8MFFHUEF8B5oAwepsH3+FHhg/zzfgBtBszvsRLngFUx4kH+u8oPe8y12iK5vgTP3i2eZGv7To/jBD2FqHu5lhINH5LEPx/qzk9watokSB4Wrf37HdSICkwTAoMGwRTNmz2wsIoOZQJiiqFhcJGoeNJ4HFRiZWXQpEVGz6FyWcs40LtKDwUJoqa51CwKGQUWyF4QiI9k6JH0aEo+psSTaGIsD3eGFb69tm8vUAw5QzwpWgB8JQ7oB4oBtCF8vEO8HSz5lM2KTTeq0+UP99R2ig2FDseHB5mwNVzKWL95h7LPeRx6JXjW4NgdOFFQTf9ivOQh8lL+ezxUGCWQLDCQVGEKqjJu8lLqSgTcGbdAHc+I1/ICWuZscrfgJD1wYgGiABOZBDQC0QCcJrneUYYlHrNnjXO+BWeODICQAOGgDtFscgScgGYFC4t4gIYAp6tO6AMGIqCXwxT5BFgpAF4DGgiZKxhss99wpejWBVgFUXAjMM4yR3j9LdIFcCKIZBMF+rMgKcPPI2eq28iQ9AMaNJvoEwxKmMB5jTeRgALIOc1ZUwjV70HWAQmAXpAmiwm18gbgBp4DHoy7vGyGr/xoqG548FksBBtA3h6PhmuAazuAV700/sjTUUfATwN2LYH4Be0QVs5zd6FN8h+EUaaPvKMApLhgTWnxhPHnOqbKs4MrIwqcbyQfUsfGSp851nRvBc/4inAtW72LLynf7zB8R4VrGPO0NQ84CljkaNszs1XHKWEj8hvRl08BmwzDNgvePvNMT5CI/fiQXzCS854vNJbguAEwSt9DeT4kwJJgQUoMGwQLEyMt4TSArRShngsKBq8ALwRFCsAV/gwBYCFn0Wep0OIW1T9ZDVXKZTywZrOc8ELS2kUhhigFvCk7FAggWrKA4WDsum+QUCwflL4wqtMwXNsCBAc+YneTRkGcIFgShHFhWLLUwAE8xwJXRYiSGkRwtbrzMjFmNX4ebqEyWmUJGCbYuSdEQ5NqaIMUsb0Ex2E4mWbPQrMEgievdkZ74h4BslRABh41oTa8jyTk8BStqTArFIgQXCC4Fnl7RxXUiAp0AEFhg2ChRXz7NaNYhb5TKz3NiogWANsAWFhd66rj77oBYJZz3kwWPV5CngxeIT87gWCeZmEX/N08BTVrZcnmJcagGVpZ3nnZeLRHhQE83A4o144Ho8Ni70xA848If2egQpYowtvEtCvT2gEAOsjEEyx5alSMCeqoQqV48ESophttiiQIHi25rPr0TAu8iQCvxq5SO6GV7Tr9+XzkgKTQoEEwQmCJ4UXsx9JgaTABFJg2CBYDqucrroJ4QJ2VdyUL+V/uU2aIk6O4hC2x1Mqj0xYnjBgIdNxliMwK3xQCFsAXuHQ7jEmzxSa5xxGnmDgUzi0ED1eU+/mhe4Fgnl65RJq7vFOHmfhfsYiTI/3GeAUau2MSyHTAK0CVcL5gFJeZ/2W+yyUTn6dED3Kp3H6zaMLIPOQ99MiLFIhG15guWfyxPRJeKOcSblrwgH1PSrf8mb7UeQl22xRIEHwbM1njiYpkBTohgIJghMEd8NJ+ZSkQFJgJikwTBAMkMld4gFtNzm7AB0PqHDd8Moq8iGXlfc1vpND5RnukVsFePrt/yiSw4sL7AKWrq+/9+4IXZav528AUrGsuukPL6/31p5Zz/V8INjn7nVd/W73yskS9u3d/vZbAZ44miQqvbaf4/tBKzd7v37U9+qnfvgc+G17l91THws1kwy9AgeVIHgFTnoOOSmQFFiUAgmCEwQvyiR5QVIgKbByKTBMEDwoVcNLKuw5CsIM+oy8Pimw0iiQIHilzXiONymQFOiHAgmCEwT3wyd5TVIgKbBCKTBJIFh+L49oFH1aoVOSw04KDESBBMEDkSsvTgokBVYIBRIEJwheIayew0wKJAWWQgHHYzg+4oMf/OBSbs97kgJJgTFTQEVyR7o4qzVbUiApkBRICtxIAbVHHBklhWpc7S/+nySlMbc4J9j5iv2exzjmLufrkwJJgaTA0CmgmJIqwvvtt1/JJ82WFEgKTA8F5H47l5qS56ixXMPTM3fZ06RAUmB4FFAb5JhjjikFMNv1P4b31jWfPBEg2OHerAG5QYxy6vNdSYGkQFIgKZAUSAokBZICSYGkQFJgtBSA+RxzqBjluNpEgOBxDT7fmxRICiQFkgJJgaRAUiApkBRICiQFkgIriwIJglfWfOdokwJJgaRAUiApkBRICiQFkgJJgaTAiqZAguAVPf05+KRAUiApkBRICiQFkgJJgaRAUiApsLIokCB4Zc13jjYpkBRICiQFkgJJgaRAUiApkBRICqxoCiQIXtHTn4NPCiQFkgJJgaRAUiApkBRICiQFkgIriwITAYJ//vOfNy9/+csbVaL/53/+Z+pnQLlvRyP89re/nfqx5ABmnwK3utWtmpvc5CbNv//7v491sH/5l3/Z/N3f/V3zs5/9bKz9mKSX3/KWt2zQ5Ve/+tUkdWusffmbv/mbIl//8z//c6z9yJevSYG111678GvOzf/R5ra3vW3z3//9381//Md/JMt0SAF6luqyv//97zt86nQ/ar311it69A033DDdA+mo9/Sa29/+9s1Pf/rTjp6Yj+mSAmuttVbz1re+tbFvjKtNBAiOc4I/8YlPlA102tt1113XXH755c2ee+457UPJ/q8AClx00UXNf/3XfzU777zzWEerD7vvvnvzrne9q/nf//3fsfZlUl7+oQ99qLnwwgubk046aVK6NPZ+OHf1Tne6U7P55puPvS/ZgdUp8KMf/aj53Oc+1+y4445JmlUUOPHEE5u//du/LUeBZOuOAl/60peKYeEhD3lIdw+d8ic9//nPb17xilcU+ZitKcaARz/60c1HP/rRJMeEUYAh+3nPe15z8cUX5znBAYIJtJvf/OYTNlWDd+eLX/xi8/73v7955StfOfjNeUdSYMQUADpFLeyxxx4jfvPqr9OHRzziEc2nPvWpsfZjkl7+r//6r83b3/72BhjOdiMF3vzmNzd3vetdm+222y5JMmEU+Pa3v9187GMfS8BXzcu//Mu/NCI6DjjggAmbrenuDqeJ6KXHPvax0z2QDnuPFowuG220UYdPnd5HiRK4293u1vzkJz+Z3kHMcM//+Z//ufm3f/u35q//+q/HNsqJ8gQnCB4bH+SLVzAFEgRP7uQnCF5zbhIETy6/Jghec24SBA+HXxMEr0nXBMGr0yRB8HDWXldPTRC8ipLpCe6KpfI5SYHBKZAgeHCajeqOBMEJgkfFa128J0FwguAu+KifZyQIThC8GJ8kCF6MQuP9PkFwguDxcmC+PSnQNCUHN8OhJ5MVEgQnCJ5MzuzdqwTBCYJHxa8JghMEL8ZrCYIXo9B4v08QvAQQrGDO97///eaTn/xk86c//anZaaedmqgWuth0fu9732vucpe7lMvcL0/A/SrIddlmOSf4ggsumKt6rTLjve997+af/umfBqahCsAqGbbbVVdd1XznO99pdtlll7lkefmQ//iP/9hJnotK5AoNPe5xj2tuc5vbdDntU/usfkDw+eefv1oVTlXcCTCVT7tqg+QE459LL710ju/IBQVSNthgg0W785a3vKV54AMfWPj2rLPOarbZZpvmH/7hH1a7T3G7z372s83Tnva0NZ5nY/3CF77Q/OAHPygFSLbaaqu5fnzkIx8pRXAUbVIRVpTLPe5xj0X7NN8FowbBf/7zn5sf//jHjXUoT2frrbdu1l133bnuRQXxca6dUYZD//GPf2zMwWMe85g5eWX/+fjHP9489alPXXBeP//5zzfXX399KTin4CNeuPOd79zc7GY3W+2+M844Y7XqmPe5z30Kb/Zqv/jFL0ohke2337659a1vvWS+GtaN/YDgT3/606XaOZp22aRTvfe9722e8YxnNDe96U3nHn3FFVf0zAncbLPNmr/6q79qfP/EJz5xaHlpkxAO/c53vrNUUt51111Xk1WbbrppkeHvfve7G2s/mr/xmGr92vve977mD3/4w9z3nnX/+9+/7Mvjal2CYDrbV7/61VJ1Ppo95QlPeEKjgm008uAd73jHGrVr8BvaDtq8QzG5fvatfp49zHBoc37uuecWPiLTVOfWvvGNbzRknfV0xzvesfCKfWPDDTfsp8tDvWbSQXCtTwch0JdOslBxM3xD1sp3nq/h1Q984ANlXv7+7/9+qHRe6sMTBK+i3CDh0CrfqQ5qkan8ds011zSHHnpo8/SnP301AdaelG9+85tFaQewNM/4+te/Xo5mShDcPws/8pGPLMdYevcWVAAAIABJREFUAQ2MEGeffXYBErvttlvfD7HhqJQJSLTbvvvu27zhDW8owjYAiHcqKqJo0nKbd9r4v/Wtb3UCqpfbn0m4vx8QrAjR7373u4aCTkg7hoEyy5jUy5ixlHENAoK9+0EPelDznOc8p4AKmx3QqijIox71qAVfr4ImhQV4VYjP+J/0pCetdo/NQ4VbY60bRZDhx+YD0OBlRjjglyJ0yimnFEWAkcWaoEQtp1LuKEGwTfNZz3pWkYuMBP6nPFvf1iJaGLfK98Y+rjZKEAxYOUIM6N1iiy3KkCnflM3FjhSj4Fx99dXNEUccUcAZGWb/aZ+AQPF++MMfXmQq8IEfX/e61zX4tN1++MMfNscee2xz8MEHN3e4wx3GNQXzvrcfEPymN72p8JA9uMvGeENxtC/VhgZHcCi2p/q8fSVkxjOf+cxmnXXWaU499dTmmGOOKcarYbRJAMGM/4w3xvnSl7606EoKIe6zzz5FnlnP+I/BzjpnLAYKyXdA2J5Jztfr3h7+4Ac/eBgk6+uZXYJghtHDDjusyO04mYCB5KijjlrNOEL+01HojJ/5zGear3zlK0WXQbPTTjutr37XFx1yyCEFBJ9zzjkD39vrhmGCYHRh/CQT9Td0Pg4L8u3MM88s4JhO/ZSnPGUiqvdPOgh+1ateVebfkXL2WgY8Rpf99ttvQQPT2972tiJDybb5mnliqCJv6dCT2BIEr5qVfkAwIcNiftxxx5UjGGxemnvvda97lUW47bbbNtdee20R5BQ5lnIWEGAZWLMB8GixXvIkUbo33njjIsB+85vflGdRaFUetYlSSDzvnve8Z8MzRPCx0Lct+W3mmmVPMKa1UMMLgq4veMELCghBRwvaBmqTtblS+PzPK0YJAaR4mWwYFj2lOuYSHV/84hcXY8XLXvayYl10vwV84IEHFkXRxmxzch9vAqXwfve7X1HYzdHd73735mtf+1p5pnn2bh5/c0i4OFbB9fhDnwn2+973vnOKqf7jDQqRCouAjX6sv/76xfNHURinF2wYgqwfEOyYAUaI/ffff64LO+ywQwHFr371q4viiabWmvXDe/jlL3+5KBBhhaSEAc/uqS3u8cBBQDAFBFCjlISlnkIHjOIDc85rRjYw2liT5IIqrcCy+eQBwUvGzxOk7/iLhZsHz/jaIBgv2FjwM94MxcCGhK+825l3vhdlQuGmJLCK6ytjnHuCHxebz1GCYEqNOaRcooumv/pK2TM/DA8iM8hahqTb3e52RTlGJ3SlbHcZHdCLPuMAwWgSRzIxvFL2nD1pjyBvyApzb88x1/YKPEhGodFBBx3UOIrMqQEPeMADVvNUWgtkYXiS7HEANA+l+cDfeJm3yP6EN/EyPjMn/sdT9jJyz/PINp/7mxwc1akL/YBgoNORJbyP7UaO4Cv9x0sAmDHgL7L+l7/8ZTFKoLF92NrmiXI9PvS5Oak9wfEOcp3hwLWx55BHDBObbLJJoaX5IrNcay/xtwgy1y22T8y3licFBDP0MTxYy8bleJK999677NN4RD9rY7Z9l7fensybRM7bmyeldQmCgQlV+C+77LK+hwc0M7rSHaOR++SA3/Y98gDv0k/QnVwgHxlK8RXjIh73LPvZctswQbBxGA/dzB7AwMcQKAKLXkQm0gvtodaudWpPtT6tSff63NpEH3sLutAXfNe1MwotJx0Ex3yTQfYQcj72T/RGP/xELsIe9gI6LUPDr3/96+a1r31tWbvoS8fRyED6F3nGeMUwP6knKSQIHgAEWzSsjgQz61w0myBhwxoHjGEImxdvEAHF2vmSl7ykKO8UZBYWQv3www8v/2Oc17/+9cVaQhGmXGMoniCLkoCicFCIgWgbAYVmoTbrIJgFnaVPQ2P0oOAT8r4jiCmqFiLQ+cEPfrDMDUu9ZjO+8sory9y86EUvKoeZRzM3zoo1Z94BRNQgWASAOaFMCoflLaF4UVoIEe8E0s0VEEL5Y2XjAY4QVmAFqLOxuw5vvOY1ryleAsda2ZiOP/74Zq+99irfE+aUBkotRXYxT+NyN7JR398vCDYP1o/GysgQQWFHL3NFGbBGTz755AIsbX5+OzJFs74IaJ6srkAwnjPHNg/zbU2bX/P2xje+sQABvMlwgV8YUrzbesd/AYKFH/kOaObtwF/ubYNgSrgN32buenwdG7vnPvnJTy5AEc+w8vM240eKpuvxHF6ibPlZ7CiLUYJgwJYiY03W88P4wWhg7sg/ijNPpLGTkY44AFB8b40M20M5SSCYbEEbygYeOv300+fWBFnif2CP941y6Ox4NAwjg3WB1nU0As8xkAgE80xR9ik8eJb845FmCKaAWnf2JoqSfUeqB4BHuTCfDI+MUXht2PNiLMsFwQxGniF6Ak3szcbCaGrehegyvOJJRnEy2poXCca4imaLgWCG2DiSwzp//OMfX+QHGuF9NGYEZTBnAHrYwx5WPPOL7ROTDoLtqfjGGkffNggWURfGbfRgVOEhJVfJLWClThvhEe0qCmgpe17XINh6ZQRgUCL3AQ/723wNvUStBQgGWNDK/fYg3jqykWzAw9Zr8C/a01UZ9xld6SP2rOW2UYBgBjt6AN3OeuPNJHPIIu+3H5533nkFHNsL7b30AmsZPe2R1i/eoavzKtO36Hpdt2kBwWSetQXgMppq1irdCh0Z/GASofj4i8GKHMNH6OY6dGYYZczBe3SPBMGLc9TUHJEEBFMYX/jCF64BQi06C8smBbBabBRPXj2LzGKlpFHeWO01SoncKouYhYWwJ6Ao96yfmMozWN4JMhvH0UcfXd7dVozbZJ51EEzxpRxQsCh5Fh0vBgs+4EDgU8bQk5GC1ZAyRxmzsX74wx8ulk+LvN2AYCGZ7qMwCnsFOsMTTCBY7JQXSgsQ7L1h5WdRs1lTJL2DpRH4xjs8VayQNqgAsxRTXgBKJIHBIkx42AB5/IRBEuT4iGJKeeoF4BZfapN7Rb8gmNIB3GnCDq01irk1BBTFWbbWiU2QYHcNwxKlEt2F1/HG9mpL8QRbq+YUT+KvyB/vBYLxC4W2DYKBFCCDTCAnWKXxK29ce6373xgA/cgbBjbICHxJiaQwUjh5Dm1WFAPAx1rBT/rqXTx7tUGvF01GCYLxPQMUg2Ld0BhoE22D1uQqTwbjFou0+TU2oETY6WKRMstdCZMEgvEs3iZHyDb7hjnm5aFU66t1QB6Rk/7uFQ6NxpRicocMoixG2D45icbWDc9wgGBKOH70XPsjeQcUMkziTXOimU8ytI7iWO4czHf/ckAwo5l9RUQWfjMuPMZgyvvOG4tOAAPDFnlMYXSd8UUKw3JAMEWeIkqZxOPm0Fq+5JJL5rxcjO7tfUIf58vjnhRPsL0Vncgj/ESXqT3BgC99R6NTUcp5kcwFmUbmR00V1/AIotG4Wtcg2PphhImGB3ja5mttEEwnAQgZT8h4hnVyAGgk6+0N9FdrnD7h+QzLwOA0hEOHJ9j4jFV6h/HS9xiJgLEAwfKC6VX0Lno0g7P7rW/7CGeJ9Ux20tfxmj236zbNIJgeTJaRNdYgOomisR/Qb0Qi2V/I/hNOOKEYpRli7OPWOn5LELw4R00NCDa5NhlWbxMezecWGguezYrSzTIs5EyzSVqwABsrLyVCCxAsPIjyUSu7FFNAFjC2KfBksQ7zFHrPSgfBwIzwCgu0zjXgFeFhtzABDQpiDYKDbsAF5WIhECz0jELy3Oc+txgfCFyetMVAMNDLM0g4h5JIqaK4CGXVL/2nrEWYrs9sqKyTNq86lA6oAuZtXja1WWz9guDwBANKLJKUResD+GGwqA88t+7MLwWQkAYIgWV5Q/O1pYDgmG/PNOeUNsq0zaLtCZ4PBJMBQAy5Agybf8p3r3BoCgy+p8BooguMDW/ilRoEs37zBtvcyRvgpKaRfGEyZqE2ShC85ZZbFu8hwB6hWNaSMD1KCrAB4EoL4C0ne60l8jEMV4xfw26TAIJ5DyOlhiInQkAUCjmBD9ogmFxEv/lygq0TBhp0x08Rrsu4aP1QKjV8GiDYuyiYUTshcmEpo9ZnXdAHOF5Ioe9qzpYDgoFa66g2kjEskM3Skqxn48J3eFVkB4OCeRBNJAoBKFsuCOZhMQ88/BRP9NQ3xgS8TpEnI+p9go5h7fRqkwSCpYzoP12J7KI4Rzg0gxaPun2XswDdQ14BweQrA8SktK5B8Hzh0IxJPG6a9QjUam0QfNJJJxW61uld1qq9RF0F3lO8SRdlLCRXpxUE0/WsPXsa2UQfpBfUINhaZmBmzCObGK4Yk0RvoUXog3REOthKDofu5Qm2D3AuhHHAnsLBQ87Rc4BgvImnGF6tTXNCfnFOWMcJgheXVlMDgg2FgsWCxKMX1fRM/kMf+tAisIXjAcGUOMIdYxH4vJN+bABtT7D7KHgsKxQK1qkQ+JgvQfDqTMTqxxDQrpprIbJusvixLvOyC3+dDwRTCs1ju4UnGAiWc8IDT7FhaSRU63BoFrIjjzxyNU9wvyA4vPs2I2AlcsspPYS5BkwxkPB+Jgh+dKE/MEcJ5ZnnnUE/4JYFHTiiNPkNPFFMfYcngGIKAuA3LBDMSMFDa95sEpQSUQI2DQaPhTzBNnXywUYjJ4diyLPcNngBzMaBdyOM39jRhLLTBsEUS4oBQ47QOX0jU8ghQDI8L/PRZJQgWEga/mcAtMHaVCnwDBw2VqAKCA5PsD4zHPAO8TKKuFlsPItvSYtfMUoQTJ4IkQcizbtG7jDmCL8NT3A/INhcAsFtT3k7J7imwEIg2D4nzx4YjHQhhSN5+Sib9jZzBkDa42rlfHEqL+2KfkEwuRBgIt5EBjNoR9V1ETzWHw+kvcXYGCQBNUBCHj6gChyTK2GkHiYIZkjF7732ifkoNkkg2P6KZyjI5I++BQhmsKMD4XnABf3xlkYnIl8nKRWoaxBsfcZ467m0f8hf1exjDDO9QLDoMrqRPYchJ34DgLzm5L9QVgY0qQn2EiDY30L8u2ijCIfmCbYmGYnpTozgnBNtEExu0tfJa+AMbezDxiwljsyU2oY29k/ruOs2zZ5gOic9AV/Rp6xVDiTy3VrkhJAmwjAHA4li4zHmABTlkSC4P26aKhAcShfrk0VHAaGo8vrw4llUQLCN1G+LFTNgHpsXRqGkAk6YKHKCLVKbmgUdhbB8ZgNm5Rfq5H3i7G0SK9kTjM5o4KduwC7lhHLDKkixYx1XaET4s1yZoBtwKyfJZgAk1CFW8owIThYsm4c5Y+gAqj3X9ebG/RQuoIViGeHQUSgpwqG9M4oOAC76JcyZ8gTQU5yAJR5nIIa133s8R66PMTCuMKrgm1ls/XiCeanQi0deAxoJW/NqLTF8sPr6HzA2PzwH6G0ztDYJ9Pq4nTYtB/EER3XoOA6FFZmXCFDxXoBMGLuN2kYI2Fm/kRMMLAPnNhfKuI0Z39mMhUPzCFOI2mvdsxjHhA4av43ItTYiG5C0DLyLTt5NWbcZCeNkFAJWKFHC3/AbpX6hNkoQrB94nCykTFH8AF45a2hq3BQ2hihzzkBErqIzBWehSpVdrptRgmD9Jv/xs3EziFG+RQuZT+uAwhsFTcgJ8q72BFOG0cZeRJ5ZJxFJ4PnWCN7FO+2GL4FXckjjRQlPMBkF/PEO6AdwQ/7iQ4YZBimyi8HPXqf/w279gGDyNoyasb7s2WFwsS7IGn0mVxjcrB9jB8KsUfS15iLtwefGjx+tyV4h+Qw75D45E8e7tHOCrVXf6xfja3iCyQLzzUge+4S9EGC0TwjxnO/IqkkDwXhA5AbgRS4qVAjcoaXPNfs2fYixW5gwmeaa+tgWnvAIuR82X/V6fpcgmEwxTvI4qkPjAbw33zFQjDKAW+QEk+2iBsIxw+jqfjS1V9BnRDCIkKLDkgWuZ0xjUPV7ualWwwTBUQQSr9OH8Q1vOEOdPc2eF55gMo6c8r89UGi0tcbbLlzXOmPsYoAhXxmt6Q5dt2kDwRHVgg70KHuG/YU8I//oA9YiGcqoYs+AadAUbzE2cE7Qg+g3ruUVniTjVT3HWRhrFTX6qQ5dE86isuEBXhZXtADBNk8bkg2q/t57WIltuJjNAmEhJ3goFL4HekPQu1b4NJDGw0HRscFS6hdqs5wTTDFGi15FVghJCh+lzffy0vxGR3MTFlS0A0zR3/zUgt+8UjQjJM7GwosvbybOLKTMAB5RtdtzzbXr4sxiVmz53b4zt5Qz8+hd3q2ok75SdGrlRfEKvGEswTt4AF+MM/+p682hfl4/INi8U6prGgQAZN3lcUJP82We6mJn5sL8LFYEahAQ7FqWz7rhG0puNMqyPlnP1i5epPwynFHoeHyFlxqTfN4wmOAR4IHXdr48vxi7e+pr8BkQwsuC/4zd8/EznsJ7+sVI10/u7KhBMNpZr9YuA4G5lZ8qdFJfgGJeYZ45hgdjRF8b7SDHpC2Hn0cNgvU1eAlvAJ0BYmOPQA/0wpPkWlSmB5rIGrTCa+RI+0xQ/Ig3exmIgD085p0a2lMeow8Uazzn3XFNzCFe8z0ZuFzlut/56gcEx5Eg9TOtmSi6hIbWN5qEbI5qstZ3hOSHfMaDnolX0cZc9Bpv7BH2jVh77vU+95g3z/G9RubZd8gG+w0ZEt/12ifmo9EkgGCyjLyLPTRohmfs1/Y446zldsg4chsf0rfqBgQv5wz0fnlqvuu6BMH2/F5HntkH6hSWui9kOwDc3iOsO7xGLtbHbgExaGZvCCNM6DfovpCBuF9aDRMEk0MRwWRc1hp+Qh+6l/77O/Sq0OF8Rw7hlTqFgL6NTtZer2ru/Y55oeumBQTbX9DJXlFX8g+dOqpDx1jtO2QtXTxOLiEz8SL+s9/gP3OBtybxTHljSRC8akYHBcHzMX0NgiMnuIuFNOgzZhkED0qLvH7yKdAPCB7FKAYBwaPozyS8YxwguNe4KcBtRYUnTngWrx6QMKqjw8YBgieBF6ahD/2A4GkYR5d9nAQQ3OV4JuVZXYLgSRnTcvsxTBC83L6N4/5pAcHjoM0kvDNBcMcgmHVTiIoCWCwq42oJgsdF+XzvUiiQIHgpVBvNPZMCgnuNVggb70aE+42GIk1Jh+DBmtSzD0dFh0l8T4LgNWclQfBwODVB8Jp0TRC8Ok0SBA9n7XX11ATBHYPgriZmuc9JELxcCub9o6RAguBRUnuwd00yCB5sJN1dnSC4O1p2/aQEwQmCu+ap+Z6XIDhB8GK8liB4MQqN9/sEwQmCx8uB+fakQNM0CYInlw0SBK85NwmCJ5dfEwQnCB4VdyYIThC8GK8lCF6MQuP9PkFwguDxcmC+PSmQIHiieSBBcILgiWbQVucSBCcIHhW/JghOELwYryUIXoxC4/0+QXALBKvOp8T3tDd5cg4Ql5+cLSkwyRRQRfW8884rVWfldi52/Ncwx6KKtzxPR0yMsx/DHOOgz3bUBCDsuLekyY3Uc9yQnGBHjGSbLAqoGKtgmkrhya83Hn/1yle+slRxjXOmJ2vGprc3zkulM07q8S+jpixec+yk897rYydH3Y9Jeh+dQqV+cinl0STNzI2yUQ67I/zmq8A+ih5P1DnBSqiP6iiHYRLXwnNuY33cwDDfl89OCiyHAo55UP03js9YzrOWc28cB0AO5IZ1IyUdsePH8S/ZbqSAStSO1AEssk0WBRz5wqA2qkrhkzX63r1xpJ/K6o5ly9YdBXj57Fv1MUTdPX06n+R4HEfjkI/ZmqJHONZpvqMOk0bjowCs5wgnx5MlCP7ud8v5e4DjLCzea6+9tnGgOAtwtqTApFPgPe95T1Fcn/3sZ4+1q87/ftjDHtZ88pOfHGs/Junl73znO5tzzz23+eAHPzhJ3RprX97ylrcUT/DDH/7wsfYjX74mBZzzfuWVVzbPeMYzkjyrKHDooYcWoPbSl740adIhBT796U8Xg9ijH/3oDp863Y963OMe17z+9a9Po+mqaaRTOH/8Jz/5yXRP7Iz2/jGPeUxD/0wQvAoEO+KoPih6Wuc9q0NP68ytzH5nYazJnffMCV5zbrIw1uTya+YErzk3eUTScPg1c4LXpGsekbQ6TTIneDhrr6unZk7wKkp+N0FwVzyVz0kKDEyBBMEDk2xkNyQIThA8Mmbr4EUJghMEd8BGfT0iQXCC4MUYJUHwYhQa7/cJgscAguXrrr322kOd+fQE9ybvH//4x2attdZa7UtC6iY3ucmic/LnP/+55FXVOePmUh5pHUohRyjm2PV184yb3exmQ537aXx4guAbZw3f4B882uYTfHbDDTcsyqddz/8kgGDrxtqNtYc244zYWa4n+Oc//3mRGbe4xS1Wm64//elPZd571aUw/0Lrat7wGZ5RzDHSeMizunnWOuuss8Z7gpdqGSUlwfvbMtLNvtPn6Jv7yc0oJOl/8+TeeKb8XGPS5MbZ99oysc2v/fR/IR4fNwhu7xPoggZBN3w76j1gWJ5g+XR3vOMdV5NJMd42b8ecxfc1LwVvo027MCm+wfd4uOY9fBR0JBvIzZq2bd5zP37tsi0FBBu/kP273/3uc10xRnzfS+67KHSK9vcxRuuqPTZ86Lk1PYOO8Ux0Q8d6vVvnQef2d/3Qbime4F/84hel/2qCxLv7oUnoc20Z5hm9wluNH4/E9WgUMsvY/G1+anna3nvq7/qhxzBAMH6Q8rjJJpvMzW/QS//m2xv71VdjzS20z+ITdKyxDDmHJ+s9IGiEjlot+2osFLRv81ysbff22sv6mYOFrkkQvIo6o/IEX3311c0JJ5xQqpENsyUI7k3dPffcszn11FPLlxadKoavfvWri9DYddddm2OPPbYnyCB0jjrqqObAAw8si5iQUO1PLtCPfvSj5vDDD2/23Xff5le/+lWpSiqndOutt24uuOCCsnDdf8wxxzTbbrtts/nmmw9z6qfy2QmCm0Z+mWrD+OvBD35wycGtFRjFw573vOc1qjWPsk0CCLbhb7nllnOK3h577NEcd9xxoyTDau9aDgh+29ve1rzgBS8ocuEjH/nInDygEGyzzTYln7VtJP3tb39b5It9Q36ZfQTofe1rX1tk1kYbbVT4wm8FoYCKUHRVaXVaQA1CVHBVAd3pAfriWYcddlhz0kknNbe61a2K/LrDHe6w2pj9f/31188B99NOO61cs8MOOzSf+9znSj4/mSgnEH2MQS7585///DnFh8Lx9re/fUEQqDZHnT93y1vesjy33zZOENzeJ/T57LPPbl70ohfNKfeXXXZZs9lmm/U7nE6u6xoEG+eJJ57YHHzwwSU3/pJLLmnufOc7N7/85S+bTTfdtNRW2X333Zujjz56NRmmmrI9kIyLPdMAX/Oa18zxMZ7ZeOON58ZNqb7f/e7XfPazn51bF2qd4Lv73//+5XPrxjNV9iev8LNrXve6180BHnx5yimnrGF4Wg6BBwXBKknTCxgP6BLWnLVNL7nwwgubLbbYovnQhz60GqC1lq3Rd7zjHYVv8BPDgzVHDlobL3/5y5v99ttvNePZ5z//+eab3/xm8+QnP3luiNtvv315vme6V90Yf3/gAx8o86LZc8Jott5665X1is79FowdBATTo5xioi9AK7lBRkhLfOELX1j2wAc96EFFj6qBHSOikyTQ/4lPfGK5D4gmW91nTJdffnnzgAc8YLXpBbLJPdWaNXKOPnjWWWcVPe7pT39684UvfKHwmzzRddddt/xvPw6ZvMEGGxQZ3W/hva5BMJBOphqrmhRog9/JbnyApt/4xjea9ddff27sPrN3kNFogNeiBtITnvCE5lOf+lTziEc8ojnzzDPLPNCJ6cZ49ZxzzlltrJ6FJ/CkBmsommn/2nnnncuc2F/MSV1fyTvM6yMf+ci5fj3lKU8pfG2+/H3RRReV/pv3hzzkIeU6stNYfe7Hfvfc5z63M4NWguBV0zEKEGxRKlABBAFEw2wJgntTF/2POOKI8uUhhxxShJuNM6rEWYS9iocQOl/+8pebq666qmyqwO5tb3vbsqhtvhRyAMUC3XvvvcsmRXH/8Y9/XJRCm90VV1xRDCCUhGyrUyBBcNMccMABzcte9rICQqzfffbZp7nmmmvmCIXX8BhajbJNAgi2/vbaa6+5CpvW66i9aTXNlwqCgQdzTBmhRAFECjhR9CkBX/rSl4qcaYNgYJcCTNn/4Q9/WBQNiimlR+EyBhLKoOfVVc3f8IY3FAU7vCLeT0k96KCDisJt36OEPPOZzyxAhmIJyFCGAKe6tUEwZZySrJDcVlttVcAHBfG6664rChnlUt94BSjfmv8VFaNEztco8+RoPY4wBn3ve98rsnrDDTec9/5xguD2PqGT+ktpv/Wtb136bP/o2iO5mDzoGgSrdgskAHX2UX/b98w5Xrjb3e5W9kSGZYaZaHj0TW96UynShVb4E0igDwHM+FFRJWA1WoBgoC88lgDuTjvt1Nz3vvct+7Ufyr1rjjzyyOb9739/2ecp9kAUXsJ7PI5dFgcbFAQzclo3aKNf1jMQc+9737sANnKFMYHOEA3IRzPfffSjHy1je+Mb31iMgsArI1EYl2rgYw8BhmoQbO0DGHRRYJAc4L0jk9CdTGXY1yc0I2vMH6NU2yg2H88NAoLJLeuCUU/kgDEyXHg/HeqBD3xgc8YZZxSahAzxXgZBMpQn1BgYRNCS7HjVq15VxsTI4Hl1A/R9Fl54tAUOydf999+/yEb8q9gZmtp/ybOTTz65zIGGx/A6o3U/67hrEEy2oged0ljwtPVEL8BXAKUj/PQxmsgDhibfk6UArPl2jzWimjeQaj3TbY0f+OQ5VzjK/MR+a4+yVslx42cMNR/2Dg4gwNn6tYfRV2o+dsoEfTva0572tAKozTfZbq8yd9Zo0Nuz9Rs/MgAw3ALu+L+LliB4FRVHAYLDwknBIMSG2RIE96ZugGAhFoQe4VY3gtb8tI+SsEAtVMKDEmMjIhRYtm3SFiqFkOAhpDSWRcIDcoTYAAAgAElEQVTK96yyNh3WrVF7AYbJZ109O0HwjSCYcr/LLruUo83wTW39XskgmDLtLE4KCSs+0NaPAtIVf7afs1QQTEGhvJEBFC5eNI18cdwSxbgXCGYQIbt4JiiOPBVkPBlG6SDPKDAUv6AL7wb+Aa6jiX65z33uU7wbrPQUDkoypYkyQ4kG2Bjq2mcgzweCeSPIRUqoOQLuvcfzAQ9epVDqKTHACuU6QGGbtjHW8GZT8Mhan1PgrAveM/tprzZOENzeJyjAlHugnmKJPujUr1etK/7tGgQbpz3PfDKimEtzDpQw/pp714h0AHajuYcHWQPoKOe8ogBteO14eU4//fS5exYDwbzRQDfwZg/G0+EJRu+IvPKce93rXgXEzBeqPSi9BwXBz3nOc0ofyLGISOMRB2g0PAJ0WsuxjgE36zOOqCMHrHP3W/+afgDEotWiLQSCrX9AhvHBXlOHlgM9H/7wh+eeQ8cBpgGcftogIFhILWMc7yAZTy5aGwCbM60BKTQRzWLNRzPuiATiaHjqU59adOqISHEdr64xAtPRFgLB7sfPxkmGRSg50AfUkY8aQyK+cj1v6mKtaxBM9zTX1s/Xv/71QiOGAjSK0wrsMfTYaPhNFI+5MS7r0B7KkKoZ26WXXloMR54vioMOTAa7xrtCXns3Q6lrNHoLYMoYCkjjW2uQd5/BJxqDw3wgGP+iZ/CjZwTormWGZwHpdOyuTr5JELxqhkYBgr0KI2CMBMGLiY7hfB8gWLiWzbbtVbMZU1gIFMLYT+SPsFoLtQkQTPDaxDUeEBsXwcNCBcwQnKzk4dHwXIplguA15zZB8I35wOeff36xhtpcKZf4MNpKBsGiKFjvKblh7bb5jhpMxFwsFQS7n4JAWbXhkxeMHjEOoc69QDDvDYXRhk1JoUxTRHhKKHo8c5QzyjQFAij2HUDSbpQHZ1ZSmIRDin4xHtfzDlCYKDwUqZq+84FgCqFGEaOcAvPmizLfBsGuA0CEcM4XTsgQoA/RLr744tI3dKNQOtPRmGslrx7jOEGwftT7BMVd6CFgwSDBiMELzoM5ytY1CI6+C38UQeCHssyjiecYK+yNDMe1RwqwEWapoQNwFQArIqSAEOGP0RYDwfiCVwrvM5Ax/jAuAZc1CLY+0J3C3dX53oOCYGMCFBjDGXcYg8iCUOiBBH1vg2AhqXQMjQ5D9lmz6KnxSvKcGXu0hUCwa4AihgdAh/c1vHZtEGy9WYP9Hjk2CAiOvpq/F7/4xWXt8CgKxzVGnn80MfYaBPMU6rOmfwA02QWwul/TX2CaIyLaQiDYNcA/2epdgB+50wbBruNxBgIZfRZrXYNg7wtDKF0UP2k84nRMxifzGrUYfEffZexkOLSPoAMPOGOqZh8gp4zdMxlYrNOvfvWrZX+yRkWoafQUBgby3vnjdGa4BghmMNGsNfNQr+OFQLB7vIvujB/Npb5obRDMOw0/MQR10RIEr6JiguAu2Gnyn1F7gnkvWFjrxhNsI4kQaQs7LI5tEEwoRB6NDZcgBlpYvymlBJHnJAhenC9WOghmgWbRDmu/TQf/CEMLhW0lg+Cag9CKN01kxWJFlhbnvKVdsRwQ7I1ydCnBkXsVnqn5QDCFBmigSFDMGPDIL0Y14IHiwEAnFBDQAqQpuUBKu1FQzjvvvKKA88Cw/gtTBVoZ6LyLMgLI1gW1gGBeuwitpph7l3A6fEr2Ra0ESqoQ2TYIBmjcQ3ma71zGGihF343PmCmd6MaTFRE37fFNEghu943Cji5CDUfZhgWCARf8I4eXFw4/Ag1AMEMH5do10Wrw8rGPfaxcay1IdQjDAPCCt6IFCBZNFZExQKPoAlENwHbITYq0z/EHJb7tCeYtBnS6Kqq3FBBsXKIajJOxB7/SSzTgxjpqg2DgRciq5lrhy7x3EdqN9oBBDYLRQE4wvSQa/YZBzf6CZugApEmrEFJM3+nlCeZ96/cs5KWAYOCJ9x6/xBxxIADBaALI1iDY+AE+TTgw+QUUm/8aBJOHdeoEWUnXEDmgoZtwXLxCtpG/GgMjoMtQ6fm1J5gsIoMZI2NOFlrLwwDB3me94GU6ZuR/m1uGKAC31m3JZbzGWCV83roDiuucaUCZIYTx3V5jTkQt0H/Vm6gjd+wt3sEwbQ3gSbxjf9K8jzGrjtbxPDqM/SIaRxL6m7d73OMeRW4A6TzLT3rSk0oURxsEiwwgQzkLumgJgldRMUFwF+w0+c+oc4IJNqEyFgHvCcspwTpfzmUNgi1EFu7wRljMvpczTLEU8udZNhReFy09wfPzx0oHwTZ4ShHFRhhShIABFzYNBTyAEptRnS83ihU3CTnBEaFBebFO5XDZrMcVEr1UEEwRoODbwNUUABB4QQJstkEwZYI3VoQAhUOEAGBp3CzyPL7AIcWBPCKDGOe8g6IWBWBCMfE8tJNThZYUZ6DXdcAG0MzzQnEW9lZXjSW/KF6ULu8NmafvcruAUkCa0heyUV+BXQq2hn/Nm2I487VeINhYKW0Uz+985zsF7NcKf/2sSQLBwIy9AE2Bdx4W805pH2XrGgTz8JJZPJAMwPgHmGVcEd4akSzyK3k2g4/xFT4RBQDIuBe/yOMVJs1IwDBUpykBHUKqd9xxxxLOiResH55PwEm4v3vt5ejNS4XvahDsGZR1cnRcOcFAhvUDeIWXWn+tJQAA3cgCwIreEDQDZoExclj4K9rUOcH4C3CMHP3gK0BOqDivmjUIoKAT7xwvmrUaoeqeSb5Y2zUIxreAElBUhxUvxLuDgGA5t/Z+a1sf7X9ALH1c1A9jnHFJ02DQCJqIODHP6MkDyvDhWjzFKEOmkREBlKO/QCPA5TrNNZ5LVpJnDInmwf3kECDeBsHmDw8JH+7HCNs1CGZA44VGJ0YDsoRXljHIGuEJZiQK+YhmDAnAJmOTv8ljuqp77Qf4j1zFf57BIIAe5sezRAIE7X1nHaG/1Bk0tKYZZe0rHEPmFF+LJoqGjvg+is/KMwZm8aT1LK3HMzXygKHbnNYg2DPJB8acrgrMJggeMQimBBE4823gXW2MmRPcm5L1gorNNUAvxdJCrSva1U8xb3WlUwIiQgFZ2ITx2WgtKgLDZlIDamFPQhDbFQu7mvNpfs5KB8HmDg/ZlHjqAB+bGusrvrPR408W37rQzCjmfBJAMMWXUmTNsnQzCLSPUhkFLeIdSwXB7qeYAqvmE9+TE9GMTXibPC85lpQTShejCC8bpZR1nhdNzhRFjeKCX9wXoJeXh/LM6q9RxISL8pbgIc8io4BVCod3ASwURJEHnlWHEXoGJZ6yKGLB+3gIAHCN3KNYAdLGpX+8dEAvhc313kfBFCmzUOOtoWhFoxzzYvAO8G7wEBiX9/cKhx83CG7vE+gVuYPy8Mz9qMP4uwbB1qF5pVgzlADDeI+HH49QtP0vWsP4Kbf+tm4p2e5Hi/Dmyx+0FvCOayJMM3ig5k+fASGRR+t6RjJy0/3AON7F13WOrEiGLvOBg+8BWcCvnwaYWhc8q+QZsIdWZLr+Cyk3Ho13lsKvMTIxShkfLx5vMXqSHVE9WopA3aw3hgDAw9/uBVrCsCXMFbjRGL8if9P6j/XqHtfQbfptg4Bgz+RIiJB5AF1f0JQs5DkUZQCE6zd9S3VreprP0Yy+BUxp5BEDiP77XcvW6D+gFjKI4TkMLvZbcxP7Lx1dX+jSAFrQBG+h/Xw1Ddp06hoEi4SSx80IhaeBV2CcAQO+8LexkJF4yY/1D1AyovjcemVYYDxVHNb1nml9kOEMpOhAVxUWrqET2Qx8RhqEd3mmfghTtubtUe6nH9cRF3iQDCf//M3YL2LSNaEvA8Ya3gyMZK3XBc5EUQDeXcnQBMGrOHZUnmAWJgI9zwnuV6R2e12vM5otXq19lmb7zYQPgFwvPgKufXaZz2xM7byjOM9znFVtu6Vmd09LEHwjLeM8yPqsVp/F+bDjAH6TAILRhuyMcyHHQYea25cDgj0HQOUR5F2p5Ul9Fi/FQDV5YIPiQn7YO2q5Euerts+G9Jz6XFTPQrvYd/ztWe2zUylWntXrnOB6DuIczrrvlCcyklIThkT/+zwUyH5yMfW93QDhGKsxWBNtWRz3jBsE99ongt5dFWQaVPJ2DYLj/XIuhY2ak+CFmHNjjeMBjT/C3/1tLcf3nmVu7Zs177THiI/84OU2H4XcrNdBnEcczxkG7ZcSDm38ADzahS4Q47fuQrbVukrsAehc6w8xxoXOQI711D6DGR3ju5qeZEDM5UJnzs7Hg4OCYM8ByoydgS/e3YsmeCTOiya/0Mj/tUc2+j/ffActvRdP1tFEwUf1+bfxnpBhNd/2sw67BsGhJzAG2psDaMb+WNPDZ/gscs7RhtyswWkvOvbit5DjeCLuafNjrNGFzoMPnmufeT0fP5pj/dHa5xL3Q//FrkkQPGIQvNiEdPV9eoK7omQ+ZxQUSBA8Ciov7R2TAoKX1vvh3LVcENxPrygFQhgzcqQfav3fNeMGwYP1djRXDwsEj6b3k/uWpYDgyR1NNz1bCgju5s2T+ZRhgOB+RyrigNEkilr1e99Kui5BcILglcTvOdYJpUCC4AmdmKYp1mZhj8LQst1IgVGA4KT10iiQIHhNuiUIXhovLXZXguA1KZQgeHWajBMEL8a/+X1TwukV+ZqvUOMoaPQX/y/K547ibfO8Y1Th0KMaYnqCR0XpfE8XFEgQ3AUVh/OMBMFr0jVB8HB4rYunJghOENwFH/XzjATBCYIX45MEwYtRaLzfJwheRf8AwYp/zFcYabxTNdjbFU9QgbOrA6UHe3tenRQYjAIKW8hXibPhBru7u6ttWIqXqX6Y7UYKqObLE+z4hWw3UuD0008vVW/r4x6SNpNBAXu5wlwKL2W7kQIK0qhOHVVxky7dUMA+oYhTrwJM3bxh+p6iQJ6Kv3Fs1fSNoNseq+eh6r+THrJNHgVUVlfVPj3B3/1uqeDoOJsJcEwvm1MsPAq94ivZkgKTTAGFKVS/VVRBlUEFMcbVFL9gQFKlsz5sflz9mYT32rwVc7GRj3NuJoEW0QdVVuVaOZ4k22RRQNEWBjXH8MzCXr5c6pJpqn6rxkofSJosl6I33o+u9CxFexSWSro2pciUon+qBHd1FnM3szW+p+CTa6+9thznFAWextebfHNNAXu4iticnwmCV4Fg5cbHXXm0CzZVelwOX1p+u6BmPmPYFHD8A6ONMx/H2VQifPzjH1+OUEil5saZEFHCUsobnO1GCpx77rnNBhts0DzkIQ9JkkwYBX74wx+WI5ucSZvtRgo4KghQcw5qtu4o4LgxR8KIHsp2IwUch6Ui8YYbbpgkaZpiQFbc8Mtf/nLSY8IowEBhn6B/JgheBYKdSzYLFqzMCZ6w1ZbdWZACmRM8uQySOcFrzk3mBE8uv2ZO8Jpzk4WxhsOvmRO8Jl2zMNbqNMmc4OGsva6emjnBqyiZhbG6Yql8TlJgcAokCB6cZqO6I0FwguBR8VoX70kQnCC4Cz7q5xkJghMEL8YnCYIXo9B4v08QnCB4vByYb08KNE2TIHhy2SBBcPcgOELthWNl65YCCYJHB4LVTZiF9LGlcuBSQfAs020pnmC1JsjCWZSHwwLBN9xww0xErS517XV1X4LgEYFgSs9ll11Wqs76W0WyzTbbrKt5XOM5GQ7dm7RnnXVW86xnPat8qYCK/7///e83a6+9dimk8uxnP3teweIssR133LEUxNEUDDr77LNLcQz5LyobK8hy8sknl2ff/va3b57//OeXawl5nz/qUY9q7n73uw9t3qf1wQmCm1KQS9Xh9dZbr/DiXnvttZpS8Lvf/a58v99++410micBBAM2p5xySnPrW9+6rCWFy8ZZkXU54dAf/ehHS07xne50p+Zxj3vc3D4gH/1Nb3pTs/fee68hg3x35plnNr/61a+addZZp+R2OsXgne98ZyOK6aY3vWmphrz++us3xx13XMlD0xSbu+Utb9m85CUvmeMZ8up1r3tdKWKj2BmZBsioAu5ZZOEznvGMIr/q9rznPa9UffW9Jm8en8p3+9a3vlXup8Te6la3KrJQP6+44orm/e9//1xBJn15wQteUPo7XxO6Kz/LPulHVeN99tmnb54fJwi2H/zgBz8otN1tt91K3rg5O+mkkwrf+h9tfD/K1nU4tAI/ZLY1qRowfiG3jBX/4SfVgeWHxn5pvPIi8az5f+ADH9gATJqaA4p3oZE9+C53ucsceQDGAw88sHnta187ty6cJnCf+9yn7KXycvVFzjPes+d6v1oGn/70p5tb3OIWpSAR2fHc5z63WWuttToj/aAg+De/+U3z1re+tXnve9/b7LHHHoVHrG3yhHxHq4MOOmgN/jj11FMLbX3vvnXXXXduzRnMve51r2annXZabVzW5M9+9rNmq622mvv8yCOPbA455JBC5+OPP77ICc/cfPPNm2222aZch370GWsP3eRM3uMe9+ibZoOC4Msvv7zQxDyZn0033bTUB7HXSU8kR1784hevZmyRh+178s339kSy59JLL20+/OEPFz1s3333bTbZZJPV+o2PyNc73/nO5fNvfOMbzTXXXFN4Dn0905jJOJ+Rb+iIp8lrNEEz7+u3KGLXIBj4PeOMM5pXvepVZS6Dp53e8KlPfarsC3hEkdFo+k0OKwKF/83p3e52tzIWeqk+oj+dw9pBh1/84hdlzVjD6FA3c3bxxReXe572tKeV9YqP8RT6+Ryd65N20Frfrdtor3/968vcuseeRG8mGx/60Ic2D37wg8tleAMfB+312zsX2kP6ZtYmzwmeo9Www6EtMJsfRjThG2+8cVEahgWEEwT3XgaHHnpoc8QRR5QvLTrKFoFh4TlWwybdS+GitLqOsLD4HItAyFiccsj97V7X7bzzzqU6orneaKONiiC2kAkFm+b97ne/Qdboirg2QfCNBUXwJGXykksuKUXtrONoFAJABK1G2SYBBDNcHXDAAUVuTkJbKgimfJIjlBcKO6WBYupzCghDKTkSQDPGes455xTFgmyh9F9//fWFFuhCsfnlL39ZivOozForB295y1vKNQFEKBLkEODCAg4kAOVPfvKTmwsvvLD0wV6Fx9pFlMg479UPDeDDq9679dZbNxR1Cs7HP/7xYlykSAE8wMn2229f7qGEUpj23HPPeb0+L33pS8s6aLdQgnxO5s4HJMcFgj/72c82ClIChPZ4oOKqq64qyjO5rzKzH5Vi7QujbF2DYPoS/YWibF0CHICpeae82v/wj720BlCU1ze+8Y1FqQaWyBbKM4WeoeDqq68uvOeaaICOPTMUeJ87+hHoU3GX8eewww4roNv6ASLx9eGHH174jpFGO+aYY8pcPPWpT+2M9IOC4P33378o/UCVdcAoroApmgGrL3/5ywvfbLfddnN9ZBy1Ht72trc1DPEAtL+33HLLomOgpXuA/tpwZe8APKztaGgeYInsib2EU0Y/rKm4xj3ut6bNMwNWP20QEAysMnKRacCZcV933XVlLHe84x0LGEIr81wXH2M8QEufP+lJTyp/M6q8+tWvLjIGT+2+++6FJ2vv8rbbblsMDuGIsGbRlIGF7EMHhkn8jVeBva9//evlHgZKDd9feeWVxQDUj+e6axBsTOQ5/n7DG95QjOdofvTRRxcZTE762zqIRl8ll9xrf8B3QKy1gF5wiDGhG+B6wQUXFJ6zFwDM6BBjtdcwZL773e8un7kO/f02B/YCe4v1z8AaDa0ZL2reRmMFNz0fXdFZ/x09aC1r1guwrOEX68a6G8QwsxDfpid4FXWGDYJZXAhzC15TrdGCDGtHP8JlkGsSBPemVoBg88EoYROu2y677FIESftoKQsYSLbZEyIsjqxWgIny6hRNn7/oRS8qljWNsHDs1k9/+tNinSTcH/awhw3N8DEIf0zatQmCm2J5trHxFuEtlerrqIGVDIJt4JSd733ve2WTra3J4+Dl5YBgm655ZtG2H1A6eBsoS+RPLxAMTDjrlVziMaIwUxwoesCDaBYAgjIS4PArX/lKMabUkQP4Cu3IswDaT3ziExtgmbJJfqExb6a+1G0+EEymmRMACPjRRMnwSgPBPDUUS40XmqL+ox/9aF6lej4QDPhQ/njTeCsorr3auEAwOQ+QRGFN4AOYM157v77bA3ieIhppVLzbNQhmDDE+ABMYMD77H+X1oosuKoDGWPEkHo0GMAOj2vnnn1942bPwc5y5TQ6Keoi2GAjmCWNUohwzPqgO7m9rjLLPy6nZ84FF6wZPdtEGBcEMnfQO1WgjGkM/zQ85gIf0mf4W6xhQMD7HdxofGjLkWw/HHntsGYbnAf5AYLSFQDDjDCOWda8BOzybQI0IG/pKNLqOvactD+aj3yAgmO4EXAO9xsdDa/0YB/DDgMbRgCbAXjRyCognB6x39GMIAeQY2DTGEWCQoS7aQiDYffYYwBsd8BEgzmiFx0877bTyGDL0CU94QuHjfqL6ugbBDKIiSs0hmugPowjaPfKRjyx9BFIDtPvfWmSgc/KFZi8xn/RTfOfIPydzuMe6xKcMRpp1KVKD0VYDkH/84x/P0RndGewZKdDf2reuzVG9jhcCwaKK/JjT4EfRDhqdWwRSNH1Fg65OvkkQvIqywwbBtcCgZLD4YZBh5dMkCO4togMEE742z7ZXjXV5PuHG6sa6ZbNngbV5UU55cQhxFkWCkiCiABKcrHGR/2fDImCH5f2fb1Oahs8TBDcFyATQwT82qToscCWDYICH5xNw48l40IMeVKzY/Vjih8H/SwXB+kKpIhcAWgChPmZJeHIvEEzJocwZNyXEfYxslGEKCUWG3KHIoAng4H+0Cs+td5NVABijAjkEpFJy7UVoDPy6hhJVh1G6dz4QTEGlRLuHN47ywmPt7zYI9hz98Z52iF3ME8AsvJPCT8HjOec5pfj5nBJk3PMd2TUuEBz9J+9F/jBwoKG1HHsAhZ43hoI4ytY1CNZ3oZd4iZJs7hl1zA/+pteQZ3hV5EE0Yfmh6FKYeRr98OwJg9X8jd+jLQaC8b/xAXEMDow6d73rXQtIrEEwfuI5ZISo18Ry5mFQECy0W18ZCvC10GPrTl81njJ957kLEAy4UfoZRzU6DCBMBkWaAwAMwDBERVsIBLsGjwJGZCpPuzWrtUEwnuU1JDP6aYOAYM+zXu17xgt8mTORAcYIUKGJsfMCRqsNZfrHW8lbCBSGgUl/HdUUoc/uXQgEM9BFGDFZ61oy0jNrEOw5DItkcDvcuhd9ugbBZAl9yZrzoy+MjiIE/A1fmEuG1WiMK/RauAMdGYPosBGVyNACuKK79cgAYHz2InrIN7/5zTkQ7Pl0X8DUc+051jJj6Gc+85nySmvNPNTreCEQ7B7OIzhMdKZ1GoC9DYLNE+MiD3YXLUHwKiqOCgRjVpMrZKzOleliMutnJAjuTdEAwQAFAdJWpIRvsNDylhAUcmN4hrUaBLOWUeJ4QDSWS4IHaGEZEwrIykqoR35eguD5uXylg2DAA5+Eh8JmQrkELigHDC8rGQTbVCPMl1Js3VFAu8oLGlT+LhUEm2dNiB2FnQyKfDifzweCKc82fuCPPKKEUPwoKICHxjJOMQBCKZa8wOEVaY+PsgcgW3eUj0jhoHyEt5hiXZ+dCARTrOIzniRjALb1LzygrqGMAUBtEGz8wCGANF9OXS9PMMWPQks23/ve9y5Awft7tXGCYOMT1qd/W2yxRVESgeAo/ON/xtIaGA7Ke0u5vmsQHOMxz+YlcnPJLKGtQDBlGQ/UgL+eW/niPFTWAuArz1+jPNdgbj4QbK/Gr+RmRDVQtHmS/QYu2yCY55rCzsPYRRsEBEeOLb2Pl9PatQ5E/ACBjFcAH2OC8OMAwWgqBzTydOkw1jk5gJ6atUrn8BNtPhBsTgAze413hGGMbKG/tEEwnVXKBF2mnzYICA55iGfIFWMzJkYCINi8ogkjGMNAtAi/RTMgGIijXwGs5l/DU3gzjAc+s2+gZR0OzSjFY4yPIl/cvss4aX7xcQ2CzWOA4JC9C9GlaxAceyHeN5d4XBoMvubJxlsibcLLH31DG8CezGZoFMlBltpD0RE4Nsd0WzThJGKksT4ZYcIT7HkMYN7L246f6bw8wfjQswYBwVIIAXCGqbjXfDKWkZ1tEIyedPGDDz64H3Zc9JoEwatINAoQLKSABxKj1Qnji87SEi5IENybaHVOMMsYg4RNR2NhEuYiN4ZgtUGYJ8UBtBoE4xebO0VSI1AoaEC1DYpw9xy/Iy8iQfD8jLzSQTDBzoMRYWiAiE2Hx4wyYEOzGftbLs4o2yTkBFOMGJooKTygIjaEg426wFDQfakgmNIvHJOCxRMMnJAbkSYzHwimEFDqAEfKjNQMYYSUVooNxYxCQkbhG7JHKB9FqW6UExZ+z3Md5ZbSQ6G53e1uV3K6FC9hAKRUBbD1DF4EShbFiVzjASBDPYdCLxomwAWZ57lAMOUmCiDJO+Z1XoiHKbhCs+smV43nn7fDu42hBkr1teMEwTwpaIiemnUMEDJgmWPzw+PZ9rIPez13DYLxsHlniMC/4akHzCitDMR4yzXh4TVGcxgpSAAKXQjIkf9n3jW5mUBHNPMt4opiHKHNIrKklAFy5CZ+ooyHtxfAZjSS4yl6QrNnu64rD5JnDgKC6Rf4wlgjj1oUBnAH+AMn1hwgQd5FlAueB5R9BiwYOyAn31kIqaZWBH2kBmXk5AknnFBqDsT4rWGgA60ZBKxhzTyiHxp7LvkR/CvFAT0jPHYxXh0EBJOH+ERfyA56gLVhrswdEIRGgFhtTOHl5fnFZ/jJOmMUtP4iJNw1DIy1s8n/DHZRsBQP4Q8ReuQnnoxxohVjofQLfB3OEAAT3+pXP46srkGw9ab/AL09UP+BeEYEewFaALC1kZAeIaeeXDZ+9BYRYR8zFnuRdSi1xh5k35BzywAi9xz/hcGZA7LQzD8AACAASURBVM/8WMv2HeH9ZDoa4kv3M+IzBkbUB54RwYOGALPG40weMsLif+s49gn6jj7pbxsEu94eFA6oxfhxse8TBK+i0LBBMGYSf29CMaFG4PQTTrHYJPb6PkFwb6rxlkQeza9//euy+GwcFBVCweKrLYf1U4R/2IBC8LnXfRRTIVmEDgumRSrMxKKvLbMs06xllKRsq1NgpYNg1KD4AbpReM2GxrhCAQR4bCyMODxMo2yTAIIphoARZZv3JHLkRkmH+l1LBcGewftLWafkUjBZ7qPVINg1ZIaQR2GLlDLheULTKBNkD8AQlTkp0eSb5wK0ci2jmA1gS7Hl8WWMBQZ4QyhH+A7QoAQKOacMMTLUBUz0j8KKHynJFHfPlP7BEMGLBHwKPSQfea0AVYoQzydDo+t4LHgVIt+r1/x5PiUsvETGKXwccACqKE/eEdWo288YFwgG8NHDnm7u9J9yal+hsJsT9Eb72rgwCh7uGgQDBviY159CbU/DP3gEwKJAW6fmGggQFomPGS7sk/ZHyjolOHQhvANcA3sU4rqpHI23AWq6FFoCMJq1QN8BiHhQGXAo9qIlKO+MQeZDjrz3WWP/n737ALKvKvIHfv0LK1KygCQlrCgSCiSD5KCuUGIJSE7CguSclFCulASRKBksJWoVlhFwyckA5SoKCkguQEAJ6ops1cIa1n99zu/X45k37828N3Pve29mTldN/eY37757z+3Tp7u/3X361EW9gGDPtAZVaCjtJ8MCRTJwfAn9Yaxz8iHYZ5+vjB058q81IcNtreG3d3Eve2mVrQZwjXfDX2sGGAbsvD+e4KGKBPNkywIgA9gFaKJjrXN/dx0dAsx0G3DsBQTzhQX3BIgAfERmzDEQiyd4bG0BeUAanUceBDNUD3h3mUsJC/bRu5BP7yBol5NnAFbui6/kRpBBxpmeEiCgk90L//Baeb8gn/vRrWQMyOzWj6sbBNN/7B++8CetK2MW0AAO6VhA0/iitFlggYxZC95NgME64W+EDrdGZNHJpaCK7+OXjKtghMCrf+l2ySPyyA7Q137wnU5gQ8gaecqrffBTIIPdYKvMmyCq6+lFOsq9kfkXsEAwE/nwfTJpzD6ra19/AcFzV0jTILgupdvtfQoI7pZT5bph4EABwcMwC+3HMAwgeNi4MxUQ7F04JxyE1gZ8re9pn5+Ie16KNmy8GLbxDAoEDxsf8vHUDYLj3oAIoD9bqVcQPBv41gsIDn4oh5YJjqq8mSRPdYPg4I1gOPkbj2IbiQBqofYcKCC4gOCyNgoHBs6BAoIHPgUdB1BA8FjWTBUEx3mI42VXZCpk/2Xaus3CDK8U9W9kBQSP5XVTIFiZeutxXv2b6cE/abIgeCbzbTIgWEZYlrWb8uLBz3pvI2gKBKsgmGhvu73NbE3eIbu30c/8qwsILiB45kt5ecOh50ABwcM7RQUE1w+Ch3e2p//ICgjuHwie/tIytTeYLAie2lOH+9uTAcHD/UZTG11TIHhqoyrfDg4UEFxAcFkNhQMD50ABwQOfgo4DKCC4gODhlc6xIysguIDgfslrAcFjOV1A8GieFBDcr9U4uecUEDxDQbAOorp1xvlzkxOP8q3Cgf5wQDMQ5T2a6QySNILQbMIRAIXmcEADIl3PoxN64UuVGt45BsfxJYWGiwOaIWniEueFDtfoBjMaR/BoLqO5VKH6OKDpWTQHqu+u0/tOQLCmXZpuFZpz6ohmbJo9FRo+DmgSpllkfhxgv0f5pr/HSfL9fnL2vGiMpXveTNiXoFuxtvLFSRugUJVHd80BHQ2dBxnHWXT9xZov1LlQt1HnAEZ32pofMe1uZ240Lhl0gGKYGKdbtWZVcd7kMI1tto/FPjhAuNvurbOBX7rr6kj9wQ9+cDa8bt/eUadaIEeH20JV2tfrhA3dg3XrLlSl02AcUxVHAxWeDA8H9NrQHdvxUQUEP/NMOsIIeGz6DN+mRYAi0tad4dMiv1DhwDBzgCJyxIGyIdmbQYJPmeCPfexj6fw9DSUKVSlKqlzdv0MQrxyKKXHkiyNdnI1YeDIUU5IGwfYph1am6uiVMjfVyBFWnDzHqRSe1COvZM1RR44Uk00qfJ0ja463cgxlp6Mm6+H+9LmLwLpj0+ilQfo204dj/RuphKfjx6677roCgssRSf0TvPKkwoFWDgBZAOigs41KslVPlHLof8xQ2RM8dr1OtTt00QDNcYCzKYhVyqH/wWNHpCiHLkHxeuVOOfQf/vCHSglwoTkcKHuCR0tC2RM83Cuj7AmeOz8FBA+3oJbRzWwOlMZYwzu/BQQXEDy80jl2ZKUx1lieNHVE0nSSiybGWhpjjeVqAcEFBDex1pq6ZwHBBQQ3JVvlvoUDXXOggOCuWdX3CwsI7j8IjrK5cj5w7+JeQHD/QPDf/va36s1vfnPvkzRDvjFZEDyT+TYZEDyT9V1TmWB7jeedd94ZspIG9xoFBPcRBL/00kuVxltvvPFGdcYZZ1SLL754YzP/i1/8ItW5l+7Qo1l8ySWXVAcffPDIHx955JHqxBNPTIeJ20O20UYbdZyTu+++u9pkk01GGqfZA3TMMcekJixf+MIXqpVWWik1QbC/VbfjffbZJ+03CLL5/q1vfWtpotGGwwUEV6msLsrB99hjj2qHHXYYxSnl4pdeemnfO7wOGgTbc6c5VzT1+d3vfpfWG7Bz7rnnDqQLaZPl0OzEZz/72bRH3vstscQSFaf5tttuS008tt1221Tq+/Wvfz39BGnU9cUvfrFaeOGFq7vuuit1aN10003TPtBW8plr6Lztt98+2aTDDz+8euWVV9Kl9BzdltPee+9d0Z90GLrpppuqRRZZJDWze+2116pzzjmncipBLrt05vnnnz9ym1ad2E7Z7rfffpU5DrKXVXfybmnQILjVTtxzzz3V2WefPTL8M888s+8N1ZrIBLOdhx56aNrvaA+oxlv2P3o/tu7YY49N9tTe2aBXX301ySg5Ofnkk6vVVlstfXTfffdVp512WrX55ptX++67b/W2t71t5Dt6M2hUSL6iXwu5X2eddVLXXfqBX6VJFZ1J/lDr+th///2rLbfcslbQ3isI9i7WlZ4t1vaaa66Z1vb3vve96qqrrho1/lzeYz1vtdVW1V577ZV4bc1Zx3ip+3fwMr5nHehIbC0HnXLKKeladMMNN1RXXHFFteSSSyb+LbbYYunv9EsQ/vqsl6ZBvYJg+o4PJuCngRS/GJ/0tLn88surnXfeOf3kAUGfX3311YlvBxxwQNqTjfhioe+8W2tzrt133z353ksvvXS6/rHHHkt+8vHHH59k98orr6xuueWWarPNNksyh5566qkky0EbbLBBeka3ALQJEOy9vQd5P/LII9PQHn744cq2B3uxzzvvvFH8euGFF9Jazcn3V1xxxeqhhx5KMsF+8C/od9vBTj/99Gr11VdPn7U2C7be77333nQ7fi97jC6++OLq9ttvTzKqOVpOjz/+ePX6669Xa6yxxsifremwM/psfPvb3072nL5iWxBby9YgPPes5ZZbbtS9p/KfAoLncq/pcmgLneNC8XF2TfIdd9zRWBOuAoLbLwvOJeOLHPlCyfq/RU4BMwCcwla6/vrrk8PI4Ip86wi54YYbJmXD6WR4OT8WMqPEcLg/EKyBjiM7GDB71Ri+QqM5UEBwlfbrbbzxxslIMMwCKjkQ+dOf/lRx5PCqnzRIEMywWzfWaOzx9K91qjMz5+U73/lO3zv6NwWCdUhn4NmJBRZYIIELziCHldPH6QUYOIocFDKBOMSCbxwWzj/nnGPpKCeOLKckyH1efvnl5FhyKBwJRpd5jv3wgnuc7He+852jxMz/n3zyyRGA4j6Ch75jjji/msp5pms5XbHX3zPozSOOOKLiiLbTsfGwQw45JM0rcIB8jw5F1kQ4Q53WwCBBcKudMEZdqvFkwQUXTEMW1IhAQr/Wcd0gWANRwQrzzPbxZYBYa9FnHEvOuU7BuRwJgmgmt/7666egi2Mczek222yTbDG5n2+++ZLcB1kTbCZg7TMkuE8H0JUACR4DJ4LPgLJ7s8HWyFprrZVkSfD7wAMPHAXypsr/XkEwubZerAs+IdAhwGfcAVAdY5UD2ueffz6tX+sNaFhqqaWSXdhiiy3SmvvoRz+aAoSCEnRGEB8QyNtll11G/uZ6fglA4jlACx1i7gSaAE3z41n0AKBjvQrAdguEewHBgm/WAn6YWzoD6BQ4smYAMXrsuOOOS3MZdOGFF1bPPfdcmme8ERxcfvnlk07zXt4JUOSf5STIQndHV/+f/exnCXh5jmDdr3/963RPQFjTM/LLBpkbsimgI1ghc63bcx7g6SRLdYNgwVBNKsmeAICj+qwPa8gcApquyff/W0NxRJMAwkUXXZTeCTi2lgTp3O/FF19Ma9c84L9359eSu3jXCEoJDJARvrOgAr4KRNELPrPe6P0gvOY/f/jDHx75G9kyZj6z4Bl75Mgx8xEBXnrE/TxX53+JAv6R966DCgiey8WmQXBMFoVvkkXPCVge8axjQnMFWDLBYzkaINji9TtFkBNjIpLVWuIVxt3C9hnjwIiJdJtThokBOeywwyoKGsmqcHgoegt5lVVWScZfBLvQaA4UEFwlQ88gASAUPmdex/qg2QiCOXucbEYyOoczlpxJxHgLHFhX/aSmQDAwy5kDekXmReoR8AjgLrrooskh5fxzFlGrLuPQAgayqZxiQbqcOHYcCLpLUE6WSfbNsU94KdpOb7U6eJ1AMKdZ5oTjFfaM4y4jwZGZf/75RypiOEHvete7kkPWyfYZO6cruu3GOOhlmQ9/9w4c3nY0SBDcaic4y+yF4IF1ja+DOH2ibhBsPQJTbKDAjDnyroIhgC1g44jGX/3qV6MqWvIgNP/EdWSBrITDTM5zuzwRCOYgux5/gV1ARiAJCJb5BY6RdSNrDRgGmJ6qzugVBFvPt956awJnAdAE+E444YS07qwbcs2/CLkHylRhADp47FrvRg/iJ6IvvN9uu+028krjgeAbb7wxARZBAX4LX0VgzTPNYWTe3Azow68cTI/Ht15AsISQDLT3padkFRGZEjChIyLgko/poIMOSn4WAEbO8ILt9F5R6bfTTjul4w7zbPB4INj32GABN3yQVV522WVTplSwAtBG5JFdBg676YBdNwiWrOFLmntzbKyy3vRqrCH8MeZWojvpUTaGDRAw4JvyN+glQU38NOfk0voW2FS5EPIoYy4Yf+qppybdRqe5r4oD9zZn9DwQDkgHjQeCr7322iTbu+66a3qOIK2xhO3Lq4lgNQHfupr8FRA8d4b6BYJNnqipxR7lFlNVxO2+XzLB7bkaRrgToBBdbleuZoGKnslSWPgMuOs46LLCFj8lLTrISImaiiYq0/FdPyKJHMYCgsfOTQHBVYo8MwZPPPFEisRy4PIypNkIghlnDjdHBAj2f2VcnHqk8sJa22677ZpQox3v2RQI5kwAFxxlTqrSUQ4Lh1lps6wWfsjccq6QYCpdEyV7HCGOPwcOyAUogecg4JiDIzPpXpw79sLfBfT867sckpw6gWAZKY6TsYrUK4PjyAMlrSDY/ThJsjidzhGVKfDd2Cco0CFzw9HnsNC3nFWZw3Y0SBDcaicEvGU7VBHpPG/M3iMcvH4Jbd0gmJwAu+QSIPAvoCSDyWEG6IBR7yowHCTAwQ6iH/zgB0lugNI999wzyTbCK+s6aCIQLHjD2ZbVAurYXA49UJSDYABZ8AhwzTOmU5mDXkGwTJssK/0B6MniArSxbQ14AE7ITZT/Am7XXHPNCODiwwAA1m1UCuGBrQrAS9B4IBiQMWd33nln0ivWKz2DWkEwICTAZY66oV5AMH0HuMra0h10e5RgW+NkCk+ATesniK6LLQbGZ/z0D9mLiiHjFRCMKhLfHQ8Eu48AjH/xhCyRE3zMQbD7kGOBiVVXXXVCltQNggU7yAO5Adz5nMqXv//97ye9KOkiYGJttRKcA/jyt/ixeE2nWnt4h2fWM3kERs0JXyQvYean8HXNCV1Mpl0vqAroImvNPOTreDwQLHtt/ugElRLseZQ8CwDnINgzBUC8ax1UQPBcLvYLBIeAAFsmUeS9CSoguD1XAwRTqJSYspKclJQwDiL6lAAlEft6Ga0cBItQ+n8oRb8zvqJwa6+9dopmMVSR0VDiVUBw+3mZ7SCY88wxYfTJpkyXUjUOYuw9mo0gmLQog8xBsOCTEjnEyMo0jlde24R+bQoEx1iBU84FJ46DL9ouYg+cyhYBvTJo4djL5saePrxQ4ofcR8Re8BWRMw5G7KUGVADiHFACOEoPOS14GwQEyz5HWSRn3riAYLILuHJYlbcp2TY3rSCYLuRYAiwy3e2I0yOzF+XQnkevemdlktaEz4CwdjRIEGw8uZ1o54QqO8/7UjQhn633rBsEx/3JJHnjy5gfFW45CFYeLpMZBLQJyiAOr0wxZ50t7hUEs9Wcc04/2YueCQCCEmMZsxwEC6CRa4Cx29LeieamVxAc9wMQZD75gcALIIPsmbbGewXB1ht7kYNgPBBQzSsmAFSAE+hgawAK1yhhFXyzxltBsGCcYJrgRDfUCwiO+91///1JJwDB9MrXvva1VO3TDQjmZ8n60mlhJ9wXoKP78mwtf9u+3wD8dBzd6Ll4oTKBnTUnQJkgDmyQg2A6jI9H9iNzPR5f6gbB8Syybxzewfi8g4CR8UbgonVcggfGHXuiAU3vKlCgCgmYFUC1PsgBX0TA1ZrptIXDPAkeqAYKEMzOKFPvBgSb6+A9Xinr9170ieqEVhDsGva3riRiAcFzpaRpEMxwK4mK8+RE7QAsSroJKiC4PVfzcizONAPNgCLOn5IOUTXOHBAsExdle7lzw3kURWW8kfsqRRK9pWD9C2BzIikTVEBwZ0mf7SBYxJVx4sCRHUbEuZ4AD2eO7JBJ0enZtCeYxOQg2P8BYM6N9alEj/OXZzqb0Ket92wKBIedsL2CI0LH0CdK3TgqHBHAllMqQk9u6B72JAig5WSL9AMZHET/IkBAgE40373oPHrLPiulmrJQrll33XXTM/KSZZlhAcIofzMHAoQyukCWkjz6kpPIcaEvgWDvoaQOyVoDzbE/rd1c5dnC+JyTZJyALwDM8cqbTeX3GSYQLKuON8oyrWuOPmAYwdN+yKpn1A2CZe9WXnnllKGJgAqZAmCU1pMJ2UPrkrwFAcF0GV6YQ3wA/GJPrLkFXvJGaOTRnl8gTRMn8kUH+K7ADwAH2JB3epPsk1Pyl4NgwAAAz/cbT5X/vYBg+ls5v6oxMu4dAFKlyN7ZuwnyWN95EyPvLeBu/ydeeV8VQ3gCdNCDwHSUycY7Kec1T/jkGiDH3OC1wAXAE3uPjcMaA5hzEIyf/matx9aMiXjWCwgG3o2LraNrnLvML6avZPQFBPwNMIqmkZ5PF5E98x8BPnqOLpQhRfgkmJwTnWHrTCSfIiDgu+SGXhdwI2PsinfB8xwEK+EWsBEQ7KY5Vt0g2DzL5tLR+CewAzAKGERTMTxo3ernncx58AdfgHyViWTPPPAv/B8/AGXzT1/jcWyr0d8GTyI5JIAjCEYG8cz8GZfv5GsNv8xlNK4T6PE9PJf9pSNjrzZg7HkqJXIQ7B0EEekP4LUOKiB4LhebBsEiNMrECBZgROFQ0gHA6pjM/B4FBLfnaF5GIyhhISsfZHw52xzITiUulC6DwtHjPCrzYnijkYwFr0xDKSNFIsIdmSqjsdnfsxivQqM5MNtBMG6QJ4ZChFd0m5Gz94YxZ6Rk+wRtut2bVZeMDbIxlnfg6AFPUeYmAgxMcICsQ9UW/T5KqCkQHHaC0+r9OGSCdbbQcOD1LMAPz5fhkHXjMOaly/QPYAJ8+Bww4WByLDiSHHdOLeeJsxKdZYHMcO44NK3l0O7FETcGDgzecw7x3v1kcwAjzreMIEefsw7Q2ItJVwLWxjHeXjrVMrIPkQkGXjhXyorthQMI6O7oTtoq54MGwbmdYBvMn/HKgAM0xt3kyRDt1n3dIFiVwo477pgqAMy1+bQuyRMgYp40XxIEAWJVNMisceBllQRbzCv7yNGm0zjA1rlKBftBcyLzrgHIojmboEsAfP4OQEcvyGTFnsWQSWOQGSWv4WjXoR97AcGeZ0uVdzReZH1YS/Q6YGZ9CJJY+/SuNSkbx28ARvAXkAWm8RJgls2TAVW9lu83tz5l5/Ca3ynjxwexfvm7nH9zSEatGbwBPATcrDV/lwVWus+3ae0Q3Il/vYBgWXwBMoEyQTnjxyPjwxOAVXCFDhEY1P0YiBNgoQ/JHn0nsGDseAN0+qFHWrOFsrx0Gxnxfnw09/Z8oI3exDP2l16jd1wjSOG96GXr13oyH91Q3SCYDCiHNy4yQ0a8j3Jkv1srgk22lcjyS9j4HeZQ9ROdnI1dMNJa4XNYH+SDbsI7QQiyyQ9RuUJ3WdeCsTK15MI8CXjxe8kg+xB7gwUsyVIQeWRf/Kg4YNNgILqersDPAMjkkY0THAGC6U5rGPj2PevaZ3VQAcF9AsExWQQlys2aPF+vgOD2y4MBjVIYV1CEjJJ/OWrjOdP2sTEm+TUUh2ig7wb5G+VOQefXejbj1qkMsI4FPV3vUUDwHFlkdABhBj2cNWV+ZJSjCQz3mwYNggNwyUAGcQAYRMGmbqLxdfOsKRAc44xtGoJ04dhyFPBCEC1sh+i90sacN+HccH7opXAggNOQKQCEgwu0hjMBgAsEOpqiE1DwPff1fI5T7hjHZ8Yig4MAVsCE8xgZvYmcaQ6Oa4OsC46T95QRkmmwJjhj7WzooEFwOzth7oCZQfWDqBsEx9wASxxyznHMa5Rjkg/ABghQ4RAZYfpNhty+xWhQxUEH6ACdTgGSkC/BEU5/NOrJ9Sb76ogVRO6i4oCckKFuuvn2oit6BcHuDZjIngmWRDDEOhbMItuxrSH3VciOz4GKvNs2WVcNIqDVqdmXNW09uXccO2Mc/FCACk9yPSpbF8F99ibfU9sNb3oBwXE/wQDPlKGONQ2wWu9AfvCJb+Vd+VWAKlnLdRhZMH46s9NaC1661r3yLR8+iy7b7ovYGes3mr8JtpDrbmWpbhBsTPQfebY317wia4o8yNhH1lbWGkCVATbfdHdcH7wnP2SNzg/5YAusR/eJ660n7+2akB22I/d9BcfoP/uKO4FUMifwpZQ8OuYbi4AaWUVsXOgTY1NFgdgy3+uW993IawHBc7nUdCa4m8mo85oCguvkZrlX0xwoILhpDk/+/oMGwZMfeXPfbBoENzfymX/nQYPgYeRwUyB4GN+1n2OaDAju5/gG8azJgOBBjLNfz2wCBHc7dtupANYIDHX7vdl0XQHBBQTPJnkv7zqkHCggeEgnpqpSWZ6SMfvLCs3hQAHBwysJBQSPnZsCgpuR1wKCx/K1gODRPBkkCG5G6mfWXQsILiB4Zkl0eZtpyYECgod32goIHjs3BQQPr7wWEFxAcL+ks4DgAoInkrUCgifi0GA/LyC4gODBSmB5euFAVaWOx/a55B0gB8EYe4J0KtQhvNAcDhQQXEDwdFoLQLAGQ9FIbTqNvamxaihkj579u4Xq44D9p/Zdxqkf9d15+t6pZIJHz10BwcMtywUEt4BgZX9NNqzqhzjYNG6Psy6MWp0XKhwYZg6QV0dDaHyji2Gcq9zvMRuHhmYcRl0iozttv8cxbM9zJIIfXYQHNTfDxhMdSXXH1Pyn8GR4Zsca1jBHEyFdcMvcVKmJjC7MOoQ7oaLwpB55xde84Vnha5UaVrETTtHodwf0ema1/rvYk6trsmO8iozUz9+p3JG86mav43ddZ4dPZjxv+vsQSEY0xtJ2f7qDYJOgC5xW6brtFSocGHYOiKgDoIN2XHVF1EnRMQI6GBaqUoBC2V/JIv1DGhzRoUtrp+PUitwMjgO6pOrw6qiTQnM4oPsuEBznNRe+1MMBna5VMAmGFZoTcHGEkfNmCwieIxF8Csc9OcpvCKBOEdOMA+TV8X78zwKCn3kmtfXWlr2ps3v7KX2lO3Q/uV2eNVUOlD3BU+Vgc98v5dBjeVv2BDcnb1O9c9kTPJaDpTHWVKWq/ffLnuCxfCnl0KN5Usqhm1l7dd21lEPP5WQ5IqkukSr3KRzonQMFBPfOs359o4DgAoL7JWt1PKeA4AKC65Cjbu5RQHABwRPJSQHBE3FosJ8XEFxA8GAlsDy9cGBuYyxNqfbdd9+B8qM0xhrL/gKCCwge6KLs8eEFBBcQ3KPITPryAoILCJ5IeAoInohDg/28gOABgGD7Ah5++OFG95OVcuj2C+vRRx9NZe85/ed//mcqgV9zzTXHXY3/9V//VS200EKp+UOQebQnaP311x/522uvvVbh/2qrrZauD/rrX/+ayu0XWWSRwa76IXx6yQTPmRRyA4ivssoq1dvf/vZRM/W///u/qRELueonDQMIfumll1IjqiB7Pu393GSTTUatx37xpely6G9/+9vpVTQyCn3zP//zP6nPA/212GKLVc8++2z129/+duSV7W+iw+abb760v/7nP/95tfTSS1fvete7xrDlxRdfrIBFexntFaWb3Ns+ePbJ31ZfffVR39McbYMNNqjmnXfe9HfVU55lbzR68sknU1Oq973vfSN677nnnqv8eAeN5ny28MILjztN9HHsxzeWf/qnf6rWXXfdrqd2kCDYGtVZ/j3veU/ifdBjjz1Wvfrqq6PsRNcvVMOFTZVD77bbbtXxxx8/SieRi+eff77aeOON265N+2jJ7YYbbljNM8886e068c1n5EaTTzIQ1z/99NOp2/Wiiy6avk8fsM/WRthXfVFeeOGFtE+VPK299trVW9/61hq4+Y9bTAYEkwV9J77+9a+P3Mi+UXKz0korpbXdSnyMBx54IL1fvLNr8MFaXmeddcZs48MPfI316Xo6AR8QX+Shhx5K65G9CbLOkb5hwgAAIABJREFUg8/8l5VXXrknnk2mHBovzM3WW2+d5gvRYeY99F3rILyfBnj0FFkI+sEPfpB4kftk8dl9991XrbjiiiPX//73v092JHzCV155JekxOjPWbzxHryBy9C//8i/pp1tqAgSTB7reXMX8WicaPLGTK6ywwqjhGQPfInjrPcxr+Bjus8ACC4z4wOSRrJDF9773vWNe9Ze//GXlngivQ6Z+85vfJLtEzy+44IKjvofXnp/7v+4TdkaXdf65Z5qjIGub7kTk8v3vf3+3rO/qugKC57Kpn+XQxx57bPXHP/6xuvzyy7uapMlcVEBwe64dd9xx1RlnnJE+vP3226szzzwzHctDwd1www3VXnvtlY7IaSULkYJmwCxECtr/d9xxx6S8jzrqqOqJJ56o7r777uRMWqgMjIYIlIHvbb755tWNN944ojAmM68z9TsFBFfVCSecUC2xxBLVsssum4wZQ0IegxgCXSbxqp80SBAMVG277bbpvePIG78Db4w958n4+t3MsCkQDIxqDuedORff/e53q5tvvjnpFCcX0E2cjE033bSaf/75k14Jct15552X5MPvu+66a3XVVVcl/ZY3RNIpmLNBR33/+99PzROXW2656itf+coImFlqqaXGAE/OFgcRQEa6nZqDLbfcstpvv/2Scw4ke7ZAjQ6xGjLRneEksXknnXRScto70Sc+8YlRDR2B7o9+9KNdi/ygQDBnWkM9gRkBC6Dm/PPPT/bGO2gUxE4IZLUGuLp+uUleWDcIBgzMOWfZ3JDbQw89tLrlllsScKG7Tj755OrOO+8c5fTSceQIiCBv3/nOd9J399577ySv7CMgeMwxx4y8qWdw+K2BALFA5DbbbJP+rhuxv3Pq/+M//iOBa/fToImshhN/zjnnVH7qdKJ7BcHf+ta3KkDLGhEYokesYetcI7evfe1r1dlnn129+93vHnl/crXnnnsmHXj11Ven92YXVE1pzLfkkktWX/ziFxOv6YQgoJms7bLLLiN/A1DxCFjZY489qiOOOCLx31yYOyTYQF4QH8bf+TWCUd1QLyBY52QgaJ999kn3p7voJGD1m9/8ZuIJ/X7aaadVyy+//Mjj6RUAmB6xxvCNziI3a621VgJodNVZZ501asjkxTMCJHoOG0Iu6MXvfe97lcAO/cj2+PuDDz6Y+LH//vune5k7eq7bI9jqBsHGc8EFF6T5dvqL9eed6Xlzjafml64JElh3fRB5IzPWsYaX5As/BRO22GKLCkZxP/chH+QkyP3JngAtosvYI8EH/MObE088Ma3tPLiC13CP+wftvvvuya7BXwcddFBqqOb+7BZdgI488sjkOyM+kHVNx7QLFnUjn63XFBA8lyP9AsHXXXddOsNQ1IbD0hQVENyes9qhM874b8F9+ctfHnUhQ0PBtDZHoxQ4MjrJcbgpIg6Po3REW30masoR0GEcMXYUCYXzqU99Khmo7bbbroDgNlNTQHCVDA+ZEmRhtARsLrnkkhFuidwzxLMJBJ9yyikJoHGEOR0i2BzpCGRZVxyo1uqOpvRq3LcpEKyKhLPHmYgqEg7xYYcdlo5y4PDKAnAYOG1Bp59+egIRAiiu5eDIgtFjABkeBtF5Mh2OI+MYicbTS0Dbeuutl7pktuvs2gqCOeRA8Ac+8IFqo402Sk5QOOGXXXZZ0q8cTH8TMESywhx3DqYscjviyHI+W8n4vLNsAgdMsKAdDQoEX3PNNRWHKnjHOeXIy7CYV3wFggAz1/WT6gbBZOb6669PTjSgwX8CNg8++OC0NgV+ZfTpMXIWxNnGJ3TxxRcnECMr7D5xRrx1zgkOChAsMxUyAwQLFAmGkXfyAkQBHHQoG89ZFqDhlCMOtHt/4xvf6BrQTTRHvYJgIMzaBnQDvFur1jMwAbjSLfR+ZO34GNY9gOMYQYDkwgsvrASLvAsSWAImreMgPiCA3Q4EA8KCU9HxH+Agk3ybrbbaqrrppptG7iPT72+ATjfUCwiW/RM8w0fvT7+TI+9v3ILCwBNdc9FFF408XgAGD8mZTv1kAzDDuwDwrsHbCNr5MjDlmgDBAiuqbuhP15MZvEaOSqRz8enSSy9N3Z0R/SuQQt91A8TqBsFkH+iNo32sHTzAix122CGNkd0kX+3IaQ+ALV6Yfz4vWePD+jsZw2s/1qZ1KRAS8sjfDV6xL/jFnyYf5FEwQkIIn81REF4Dwbk+CBAsqOG+EViwRiJwS94FOoLYAYCd3a+DCgiey8V+gGAL3MISoRHZKiC4DhHu7R4BggEKiz8vSXInhpURz8sx4gnAsewGQyGYQfFa9Er2KKYoDWOEESPE6EVbfM4Ch3G8LEhvbzNzri4guEqRT5UFHBxR+tZAzGwEwSTcOpORYCAZW+srHB0ONZARUel+rYimQLDxAwAyWeQAkBQU8b6cAQBLdJ5eEWRDnCBOXGQ9OAcyI5xi33X8QytxMK05zxG08yx8vv/++xOvlcfJaObUCQQDGp5hfjhf/h+lcK0g2P04pcBwp2wox4gjba7ZTM4aZ1PGOpzzHEy1vtugQHDrOMyZoCgnMWyAsn7AGHDrJ9UNgs1LBJFlxsy5+RLgECDmUCtH5sziQdDRRx+dAscIiADS/AB0HHvk9zzAMxEIFsjxHQCGDY6jTtjkHAQbH9BMVnNgNJV56BUEKwkFwJTq4g1fwjj9ICBB0Muajm0Q5J+eixJcPgzwQgfhJ5IZAxzz4MF4INh3OP+ycv6VfY/ntYJgegYIsua6oV5AsPupKKGzgMyoyhPE8I6CHnji3QVUggSMA2BZUzvvvHPypwVnAkgZLz97mWWWGfneeCCYvKpgcB88AeYQPuYg2N8E6uhO109EdYNg60HQVyk8MKgCgi6Xxf3IRz6ShuNf67KVBILYBd8le9ar+SVzqgasRYEH92MjZHJt+cuJ/vr85z+fALOqJPwWhFKBAegia83f83U8Hgj2HdsnZLbJn+0kIY+tIFhQF0Cv68jGAoLnzm7TIFhExeKS3RFp4ciJUsX+qokWUq+fl0xwe451C4IpFyBElFJ2BLWCYMaUkkXhAEaWhoNnIYtgFRA8sfQWEFwlOQF0RVFVDzA+HKWgAoL/LRleQaoAwYysTGO/z0NvEgSbb9FuWSFg1jsCs7ZWcC44LCLnnBdgRPaHnom9vxwJ5Y2cojvuuKOSlZWBRK6XMQZMOEOcZ8CSHuMUyabZ6sGJ8vd8D+V4INi9ZXXI7F133ZVK2jhKnUAwh7NTbwSOsEyD9RDACqiWkWE/rQNjVaLZjgYNgvkS5gfQZQ9mIggOvgsKC+pyjOlwGbIcBNtilAP+VhCs7NSP8t7JguCQPfMuOy1IpOw+AjKRCQ4QDLgKnNVBvYJgz+T/CXbyD4A3a1QmF/UCgoHGKBuXLZVZ7wUEA1P2Z1uzQLY5tN77DYK9t+0/9J2AnDn0r7XeCwjmT5O9HASr3Mv3744Hgo1DxQZ+4KdAoFJdwLAdCCaz3fTnqBsEB8gUCBX8UfYtiKlCynwCsXQlnraSQKn5jTJlukkQCagWTLBmBD+BZXaCPLIF5iaqMGRsraWo+lH67AdvAwSzM/jTCwh2X74P/vueRBN71A4Es3fetw4qILhPIJhhjMgFBwHIkhXO9/zVMaFxjwKCxwfBHCzlIhZvLGZ/+9CHPpRKSxgYhpJCEU1uBcFKSpQbRqmR+4gMukdEcjWssJ/FvmNUMsGdJXy2g2DGlxMTip0ckT8ZM8ZYhQKQodxwNpVDk5g8E8y4KoGOclnOoxIwEe1+UlMg2P4/AVNOhmwVB5mzrJxZZkI2hP2QKTEGgFBGjrMWkfM8s8TOkBlZNySIAPxy8ug9ckaHcX40yJFxbb0m+EoP0mfAq+/hPQdJJoKTaF5ib3Zk84BgmbkobWMHgRJApdM+7hwoxbM5SPZDc4wEJ2X9Wvf7xbWDBMHKTK1ZPEdAsHUssGDcsjOc4ihb7JfM1p0Jjn3NgifAB5snKGy7BhnxzhxnjnVkp7wrf0dpKwLYlP67hrwL3qBWp5c8clTdN0rN6UmBElk+GcHcIXat9QAY5JlgWVjrhgMdpZ1T5X8vIJgMeGc8IuP8P4DPmhcosE6sV5WCt95668gY7YlUQWYvMOBqnfEp3IPNQDJjwF5sO/A34IjtiDJzsig7qvwXH1RcxH5p/MITmfQcBNO3AmaCHfn+zvH41ksm2Fph+wQGyAx+kiV8MBbJBKDIu/LLgpSPqygA2m0vpGf4c94jAgPelQzkDZq8s+/KOiLAn74lcxJTeB1gj06kxwDCHATTwSoFAc58D3YnntQNggUZAU5BI3ocEKdX2AvrCM9k1nMAGmOjN/EpbIX/W0fAcGzBiuBMZNDtEWeHgo8CmOYtKoX4vvSLqgL6OZo2stH4HyTYZS4FgBDbhd8R8CBnEbBQHcDOkOdWfQDc863r0qEFBM+doaYzwfkCoYzDeExVCXf6fgHB7TkTmWCfRoduJTQy8hSeeQnQ23qHPBPMERWlsu9JlkY0nIHimDEsFIQFTKlHtr+A4M7SPttBMM6IvJI9zj6HknMp2CIDJ8JNnjg00aCjKd3Ret9BNsYylhwE+z/QpvxZKRqHFhjsNzUFgjmD9IeqIU4NRw7gUCrP8eDckBPOBeAv8i7qn5cqAqd0EadCNkWpNACtxFJlC4eRXhKUdS2nM5rkcPbcT4aYc5OTzDCn255iAUBOubI6+s1+MGDY/TiHMtEcUuta+RqZBnrJruyMstROZNyezaFDALdgJPCMD5xVZduc33Y0KBAsayLrLhjKPgAQsvPWMcfavmkBCPMwUYfsuuW5bhCsDFImikNrLSrF5QDLKnHMAVqyQF4ABT4PGRQc8D0NjwAxlQ74xBENmbEGfJYTmbX1iNxzwoHeCOyQfY66QKFney4AHnKmKRsgTd5VU7SW+U+F172AYM8BdgXalRdz9MkxubHurFMAjk4DSvDMegUSIwDk/ZVTy3YCxnQh3vlcFi0/uQLo5pcAyIANGVCyCgTik+CZoI31xffRyAjQcV9r1/pjh2Sr6ZNuqxZ7AcERJDK/1gjgK0BGh/C3zCHQBpACSD7DG5UtfC/8UgWk4gD4AnLpDzwlH9E7IuaYDrUGgWzvZ6wAnu+STbbGva1RcuUZ9K+5EWzBX+CbrovgwkTyUzcINj7gFfEXrCvVQOYToLSO6FxjBmy9p/4S1pVgAlkLoiutF76p9cv26CsBZJNtOAIItd6BVr6u9UyuyA4+0dWCOcBpND4kM+Q779VBHv2fP6HzNn6zO641V3xzFTTI380pGwgo25dOpwqYGZvxdLMfe6K58XkBwXO51E8QTBgttohGdTNRvV5TQHB7jlFqeet8ShGvGEmRTgamU5SYc5jvnbGoLX7K22Z/yoHyoUwYdsYk9pUYDcPs/+2azvQ6vzPt+gKCq2SwODLKr0RBRVYZXTLK4QdWOHSte4WbloVBg2CZEo5gNHdijHV2t/7waBDrqSkQbC45FjJGdAhnlyPMCeU44wMwxVGhpzjKnKz8GCROD3DMkSQvdBYHgv6JzrgcFo4EpySOhgNoOb0yUpo6tXaDjaNqAvhqTBXHtRiD+wMommVxtmVpOFl0boBZNs/YxyP6M47fcB3HC9DijAoGAdBRJt1OVw8KBBub/dRBwAVnDu852hxzwYL86KSm127cv24Q7L4CIfpqaEgk28sOelfBErqMrMn0+p3+IlNAj+wkGQeEI9vE/yKT7CP73O4oo5BZfOW4huy5P9nwI1jivgBbPh/kxH2tkzo7yfcKgsmtjCYwC9gFQBeQB8ysDesb5ccZ8T2sLzYAAIkmYJ5PB/hOu2N76E66Es/MhWBBrJnguWflcyEwEdcAGtZsNxnPkLVeQHDoO+DNGAFLmUz+mHe2ngAz42YLZcj5WviIP9Y6vy2CahrueV/jFzRuV/bOxgoCeF6uj+hY8yBjSQfy3wQF8NdzQ4fhvzHFMVITreG6QbBx44v3AzoFVRDdTTfLUtPp5BxoFJhTHeT9rIm8J4178X/xOv9e2ALzT897V3wxN9ZY8NnfrX18ci9rlA0wJ4INrfrZeKJLtUCCeYtrzGX0rwB0Q08KyKpqQMC8d4vmZRPxvpvPCwiey6V+guBuJmaq1xQQPFUOlu/3kwMFBPeT2709a9AguLfR9ufqJkFwOIacmNazFvvzdtP7KYMCwcPMtSZAsPcFKFrPJB1mPtQ9tl5BcDxfoFNwaiZSryAYDwBNgCo64s8kvtQNgoM30c1/PF4JOql0jMDKTOJrXe9SQHABwXXJUrlP4cCkOVBA8KRZ1/gXCwgey+KmQXDjkzqDH1BA8NjJbQoEz2Ax6urVJguCu7r5NL1oMiB4mr5qV8NuCgR39fBy0YQcKCC4gOAJhaRcUDjQNAcKCG6aw5O/fwHBBQRPXnr6/80CggsI7pfUFRA8ltMFBI/mSQHB/VqNk3tOAcEFBE9Ocsq3Cgdq5AAQrHSn22YTNT561K3sL9NkRKlRoTkcKCC4gODptBYKCB47WzoROzKrrrM1p5M8NDlWexh17Qf8Cs3hQAHBBQRPp7VQQHALCNawobUhyHSa0BirfQDOGGX8ChUODDMHNEbQHVJTMSBYQ6BBERCs4yIQHN1pBzWWYXmuAIVuobpBDnJuhoUfxqHzpUY00ZRkmMY228cCBOuqrqlYnNE+m3lCv+qwCwQfe+yxs5kVtb87EMxnBPyKrFWpyZEu3TqiT9QAr/bJGNIbOt5NIy2N5IqMDNckabamsZfO6JqhDYre9PchkIxojKWteJ3dAwfBVIrIgtNtUPfUQoUDw8wB8uqoCMZCV9lBAi1jcKSEjEkBwXOkxtzopulojUHOzTDJsI7HjrnR3GYIzNcwsWagY6FLdMQFhHUDLnMzB5gIiOu4rMql8KQeEcVXfqNyV8e1Fb5WqYOzI3gcnaWTcKE5Z7M70sjxm8V+DpdEwHr8PacpFBD8zDPpuAjHb/T7CJImxEIm+Lvf/W5qjV6ocGDYOeAMSOXQzkEdJBmD7F4ph/7HLDi7LzLBg5ybYXq2s3JlOhzXUWi4OACYOHdSJrjQHA6UcuhmJEEwTDm0458KzeHAxz72sXTOeRxpN9v5osJNJvi3v/3tbGfFUL6/TLCzlwsInmEguByRNJTrrQyqAwdKY6zhFY2yJ3js3JTu0MMrr2VP8Ni5Kd2hm5HX0hhrLF/LnuDRPCmNsZpZe3XdtewJnsvJck5wXSJV7lM40DsHCgjunWf9+kYBwQUE90vW6nhOAcEFBNchR93co4DgAoInkpMCgifi0GA/LyC4jyD49ttvH5ltDXhEzJpqwlUywe0XVush9cpff/rTn1bzzjtv2tdjn18neumll6rFF1887XsJ0oDlz3/+c7Xeeuulcgr7gp577rm0H3v11VevllpqqZFr//jHP6bfx3vGYNXB4J5eQHBV/eUvf6l+/vOfV+Rk1VVXrZZeeulRE0LONGLZbLPN+jpRgwbB9lT95je/qd71rnel937ggQeq3//+9+l3DoZSROu3n9RkJtg8sxVsxHbbbZdsBL1C/3h323bwgh6yfcd+poUWWqhaa6210v5P+86eeuqp9LPuuutWiy222BjWkDEOvOZe7jfPPPOka1555ZWkx9qVhlmj22+//ci1v/71r6v55puvWmKJJdL+eTZHaah90u6L9KZ49NFH0++uWW211aoll1xy3Km69957U5M85L3nn3/+auONN+56egcJgu1HZk/e8573VCussMJIfxF/Y2vCTnT9MjVd2EQm2Pt885vfTGWv5oc8kj02lmy8//3vT/tCyWSQtcw2Ws8bbbRRteCCC6aPyCPd9u53v3sU33zmnjfccEMqs41+LWTNGmBL6c0HH3ww7QVfZZVVqmWWWSbdkxw8++yz6ftkjz1+xzveMWo8U2VvryCYPOuvYLvazjvvnJqV+ZtSWe9g/LF28rF5N+scr5dffvn0Dt7poYceSnpBLw33yglPX3311cTToDvvvHOkmZ/v4aM5WmONNUZ80ZtuumlEn77tbW9LMpv7PBPxrNdMMH134403ptv6Ll2OJy+++GLi08orr5x4ksuRz80vHbfmmmsmHYToje9///tJZ5CvVrtgm5P7LbDAAiNyhw90IDl58sknk+y+853vTDYY4aH1G7rVNhhz0C1P6gLBb7zxRtriaM3YhhPvRg6sObITpFmbUn1rhD7O+xzh3csvv5x6fay44opJPryL++AdW8Bu4CFia9mdRRZZJNmYdkTPL7rooskeoFyHt7PR5J1d8x1EBsg3OUbW7RNPPJHWq/cyfrrjjjvuGHkXfKBjpkoFBM/lYNOZYBPIMJ555plpsWnAs8suu6RmFU1QAcHtuXriiSdWn//859OHDAtQqxkaZX/YYYclxWqeWsn8UQwWaigUc+kejIj7mlNG8QMf+EDaQ/nVr361uvnmm9OtOLSMlO+vvfbaTUz5tL5nAcFVdeqppybDtccee1RXXXVV6pgN3AQBPPvvv3+FV/2kQYJghnmdddapjjjiiJE9noDYTjvtlIw2B5gzGca3X3xpEgRzsnRYBURff/316txzz01Akn7ad999q+uuu646/vjjR4AW/cVxBTB1AT7rrLOS8wg0+Ay4yO0MXaZh4gEHHFAdd9xx6Vn28CH7o770pS+1dcQ5hpxEuhLpkM1J8R29J8junnvumeSYzHCsyeqPfvSj5NzQm2weB4ze7USuMSZ2ksNm7IIB3dKgQDBZpPsPPfTQBHTYkUMOOaS65ZZbEk816jJvnNl+9x2pGwSTS0AAUNhggw2STROMAhaAJu+rERDAG/Ji/o488sjq+uuvr0444YRKHwhOLfJ9nx1zzDHVwQcfPKqXCQcZ0BEgjHVO3rbZZpv0dzLP1pL1r3zlK0l3AsKuIUNAgLkxF9ZFnXtVewXB5EKXfe/ywx/+MAE9QXPgQp+BT3ziE23lAwCzluztvvjiixMI8n533XVXOlHhU5/6VApg5cQHBI6spyAg0/P5KvwWa/j5559Pa1dAAwkWmB+8u/XWWxNYMZ/dgr5eQbB3O/zww5N+EES7+uqrEwAyjuAJQJ/bQiBrr732Sr4c/e99jHPrrbdOesc7AbatR4JZg9dcc00KtCDzQQ7pTLIYssd/23vvvasddtghBQp23333yhrCA2Ol3zSZ64bqAsH0NSAaQN+4kKZ3fAVjRvTL5ptvXh111FGpSz6/01oMInMf//jHq6OPPjrxDsDFM7rJ/YFefUCefvrpFMSUHGKDyDo5y8G2e+I1+X344YdTMIJ92XTTTROfyJD16zm5DRLUMi7jRHwbnevNtwCZ75tbQQty/bWvfS0FEfVr4QuQGfP2wQ9+MNnFqVABwXO51zQIfu2119LCE3XqBxUQ3J7Ln/3sZ6uTTz45fch4WkDhkFEujNC3v/3tMV9mcEQIGVnKmjP4hS98oeIMU4wMuwXKSJ1zzjkpmuZ6TqHoK4XNqaXICggeOzcFBFcJkFD85AtQ0LXwlFNOGWHWbATBGqWJVjOu0eiIo3LJJZf0Q412fEZTIJidAC44nyLx7BJDL5gGcIp80+2cVo4LR0Jmg7OhezfdxvERKEAcnN12220kGwtUAtIAAceFwwQYcDjpLb+fffbZXYFgzqoxAX6yLpx6jg49SofSpZwzeg8gRwA5nevfTtl7QMhYWokzJAiEfN4JzAwKBN99990JfGmCgzjJMlyAmyAoPgg2AG7h/PVLiOsGweSEg/rII49UZ5xxRgJjgiGCwfSYLA3nnHzmlSscXfKF6DrBDcAHWDa3wDVb655BnUCwQIk1ADwDMeRJUBrI4eDryMvBBXzQ448/nu7L0a7rBJBeQbDxqvIASoxbgOD8889PgEHFBhmSjTP2IACfjwGIWQOACD+EbrQGAYKTTjopZVHzzNh4IBgQ5p/QA8gRMYIK+LLVVluloBoyH9Yxv8bYu6FeQLC5lw2M7rzWrgDdFVdckXSGqhFyhifkKoh+wwOVAACp9SV4DKzx6xDZAubygJN1R3cHCPZcukoAZb/99ksBPLZG0IT9xR8yruO1QAAStPCOATAn4kkdIFhmlx2gT60H/kEkWwBVuOLCCy9MQ8ErPAVeESCv8VOQAIwAHd4JkpBHgF9gQXCFrJEtMnrZZZelzwRmPdf3zFHwVHDCmgasBVTwjv4XCFOl0InoBtn4HASTa3PjX8dURpBBUIvtj8apwC9iK9kf1QATVReNN0cFBM/lTtMgWFTF4qT0LHyACSDqNro20UJr/byA4PYcCxAMUOA/pZITw8pQcrxzEmm0QDngDIVsjEUu+iVyxtGkODgBFCpi2CkikTHfF8GluGS2Co3mQAHBVTJiIuCCJBQzBZ/TbATB3pmRs9YYQmCPsyMrKTvKGbLu8lK5fqytpkAwXcEh9i+n0zsDwww+kMAZ4fBw+vMyZyV7+MLZybPinEmlhOFQuC/AKzing7JsOucOeMNb53vKHLUryWzNBAcI5jhxHjljAI+sb5Rg0q/GL0MTxAZywGUd2pH3yLMsnHJZK7pXdoPjxTkDdtrRoEBwPhbBBZVCHGsOWhyfw3nlxE01e9GrjNcNgq1L80FfAUiywN5RNYKyXoDUHAsOk+egPMBB/thIIMMajlJLoAvwC5oIBAMo7kNvAlCxBQmY5kzLVCOybk0BrlEO2ysfW6/vFQQLZvkBPsgvHQ/ABugl29YO0BO+IaCAH1HmzYeR4bRu8RMBc0AbwBA0HggGWswLOyObz0+J8tccBLsXmRWUozO6oV5AMLDpvoJnghXm3u/mTmaSLsMT+gjQDcqDKcanMggADjvhuqhKyXXZeCBYqTF9RWaAuMh44mMOgt0b3+nmKJkejy91gGB84q+yc8YWfBKkAA75nN6/lQBSn+XB9LgGyGVHrL8AkSo5LrjggnQJmTMPMq/0L/7ziyWAYruM51vrAjS+BwSgc/bSAAAgAElEQVSbD3oaEJclhnXoihzrjAeCzSGsxBfnKwsKA93eEyCPigVjBPjRVIKKBQTPlYimQXCrcB544IEpEqhUpwkqILg9VwMEcyo5KK2lpRYexSCaT+Ew7OFgW+QigwGCXSd6hiwkBohh54hSkCKZvh8OkOsLCG4/LwUEz+ELkGLtKr1nfKJM1WezEQR7b5Hr3LnJJYgzCDRxvvtJTYHgeAfBNU4ynQFQKakFUpWxyUDIxEUWx3fYE9nx3NHg6NJZEZQL+QKClZfJSHIsyNnll1+eHg249QqCOY3IOIECehUwBlQ7gWDZlE7niMpUuwfQEuWsHCqOoOAjh06GER/a0aBBsIAn553za83mIFgAgxM33UFw8J0Pwx6aG044UJCDYM6u8vAgGdpw1tlKYNAPp36yIDhkz5qJAApAOIwgOPgAGFgrstMyaIAw6gSC6YIAcwGC6SD8RMCL9d8tCI5xRJZTeaqgBWoFwWT2tttuawQExzjoM7pK0I4ekYig27sBwcan3JatdJ+oGAKCAb0IHnjWeCDY53SOEmkgjG60lYNctYJgIE8ZemRbx7M9dYDguL+AsIy4NaPKRwm46od2IDgCnvb+dtp+IXhEnlqrH2XR8UCwSFBT1t26FfTKQXCMC/8DBLfywjyaExVLQeOB4LhGtRDdwf8W5GkHglWgsHkFBNfg/TQNghlDwCsWJKHS+AZ4aoIKCG7P1QDBjLboOKcvJ5kMpUAcOMZd+UdkMXIQTFGKUCsDRDIhFAfwTClTPOaXgZMBRgUEd5b02Q6C6QeR13AYKXyZN9k1hgco7hS4aUJ/5Pcc5J5g48hBcDQviUoNYI6B33HHHZtmw6j7NwWCw05wbGRMZY0ESjmpskXAINkAYDkjqlA40MCIiHnuZGguEpUr8Xf8Y3OAycj80FvKIdF4IFjWyjMjiwY4y0xzBI0PcEX0IlDOoW0FwcarjNn7dWoKmQOlGDdgyamVCbB9hUxGWW3rxA8SBOMPh5TOl9GyZpUGxz5gJeOyfIKt/aS6M8FkSyWC+3KO2UlOq+wdwEC2OK4yQQI3QRzryEq5jmzbA+j62PfdOv+RCXa/2FcI4KoCoQfIoa0ACOBQlaVKASjKM8EyWfSr66MR3FTnoJdMsKwZUCVbbb3ad6tcHi8BG9k1sounyngj+G7dA82aj+EF8KWk23eUUiN+Bj3o3YMEIwC4/G8C89Yqf0UQLQJR+KUyQxa3FQQLKMiyR0Z9Ip71kglW3s0XIwMCWwIj5hSo957GxDen4/LKD8EOPCAPfC2BJcE8+gZvEXnCl2i+Fn9Thh/JJ6XWAD65lFmXbUX0pGwzWaSzchBsLW+yySapjDjfp9yJL3WAYPzBJ7rf2PDJGFQ2tAPBAhqAundqbYyIXwCpAAO9KnDFnwWsZZmRa9giz1BlRM4Fmv2fjLbq7hwEyz4LwMZ2FX4NOcvP0mbXzF2AVzqR7uB3K4e21TC2ywiIKNXnT7dmgpWIW89587eJ5LP185IJnsuRpkGwCJ8INwNAiO0RFd1v17mz10lsd30Bwe25qHSLAUBKtWRylXIwIJShhRcGtfUOQDCnkgGNPd4Ws+jhrrvumiJzFCeFoCsfxen6WKAcTIu2lEOPnZvZDoLpBMEWJa/KsBg9ARsBGU4FRU9eGZd8v1wdumKiewwTCDZWTg7AxYgynJy08RotTfR+k/m8KRAcdoLjCgRz5O1/tZ2GTMiwyopzzDgGwL/359BwmgVZNUgRHRfB9zcOi2wkh1NghRPMkfF9TrnytWggMx4IJn/2IuM9QMFBFNEXLCS7/g6cG5sgLyeVU8qJMm5jYf/Ic+xZbsd7+pcjFBU0/lXiGtkeDhtdHFU4rfcYFAjmNAKEbAE7Yk0LTAAvAI+54Wzb9tCu3Hwyctjtd+oGweZA4ETAl43zfv5PX3GCvbMAFSAjeEJ2AWUZX/wRLKbHzCNQQf5sJZKZIpMCxjnJcAIs5ILsATJRxUWeBEgANYDSHESzIw4+oECGBH40S8qd8W751+m6XkAwP0GZvyAJ/YEf9vACMUAA8GnNWJcAJ95G4ElQyZoSaMAj68heT6AN2PA5fuRbDIBuQQD6Awix7oEoMmjd4n8ASzqEH4SHqtXYGzwTxPAMgci8wdl4fOsFBHtH80GPC4QAQZFxtI59hld4Qp+ZX76VIAj+AWV4QReZ62geSAb51/neamPm55NV8uP9yFxkMMkg/UiX4Z3PzAeby2fELzrMfmoyaE11Q3WAYGOg641dhpdvKfOPB+TH+9jKguhbMgYw0kPGzAfFOzoIgJYxF4jDD9lleISs4EXMA19WcAH4FshS4ehd8DRkM96fLJIh8oo3bLQ5yRuJ5VgnTj4QxGGf/OseGmLhO1sV/CUP3lswI8C2d1LFwF7JBk8lqFVAcJ9AsMdYmCaUAHBw2x1D0c2i6uaaAoLbc4lDn0dGOYCUbAQmZDY6ESNCKedNNYBqDqiFa8Ez6BQSJUE5R+t+92SkOInRlKGbeZwt18x2EGyeGRgRcKVJnMSIaHMGZL1kEDgDTfUR6CRrgwbB9v5aT5yz0KMi3IwgYx/HLPRzrTQFguP9OIVAFedAtoHDJhPGOeWQAJX2sHGKOSmIwxOZOUE6FADS/j9ZEYAF2UvFweH4xrEU/u6eHPDW/eg+oyMFCjnQdB5nOjIhMlQAkCaAqhboWI4JhyuyzBxL38nLE9vNGQc3jpPzuXtz5GUqAAEgCmjgbLdrcDQoEEwmyGSAd3OA58g8AoIc7UHIa90g2DtxVNlDTiQnlfMM6Al8ALIyUbJ6ASJkx2WeAC+ybEwRDOCI03EyQwIk7ZqmCTiTMfIgUxRHDZIrpfHss2xVVCS4VraO3JJXa0AwqM7+Ab2A4FhDgAZQzxcUFEcAvmysva2RHbPWBRGQjC7+4TWQ5h2se/cBaGSF260r6wiv8EgWmN4Iki0E7tgT6zKO5AOoJQXMJZAJnPTSSKwXEGwsxsbW+Re4i6MmBVpUkwA+eOKdATNg1Hhk0f0IHEfTLv12yBW9xMeOapdczwQvrVPrMU4DISfAPvkEtGXKBVrJpjnzfLKnmqD12KHxbE8dINj9gVt8EsiQXY2qCH8X9ImmgXSkQIn3QXhlbfE9NV6zbmR66SuBl9Cj3g3PvKdgk8AJGbCOgs+xZYFeA7KD6Gf/j8oCcynYx267Z7uMOX1I/tgJazbf0mT8eG7sStqNGX4y/3SDQIB1EFtxpmL7Cwiey72mM8FTmaTJfLeA4MlwrXxnUBwoIHhQnJ/4uYMGwROPsP9XNAmCA2CIkHdTbtf/tx/uJw4KBA8zV5oAwQHeooRymN+/qbH1CoJjHCoqomt1U2Mb1H17BcHGKRlB30VgY1Bjb+K5dYFgYxP8A257DaQB/ICzIEu/jxNsgqd13rOA4AKC65Sncq/CgUlxoIDgSbGtL18qIHgsm5sGwX2Z2Bn6kAKCx05sUyB4hopQ1681WRDc9QOm4YWTAcHT8DW7HnKdILjrh7ZcCAQbR7cl7ZN9znT8XgHBBQRPR7ktY55hHCggeHgntIDgAoKHVzrHjqyA4AKC+yWvBQSP5XQBwaN5MgwguF/rYTo+p4DgAoKno9yWMc8wDhQQPLwTWkBwAcHDK50FBHczNyUT3A2Xer+mgOACgieSmgKCJ+LQYD8vILgFBLdr/z3YKZrc020st6HdBvdChQPDzgGdZ+N4i0GOVfMFRyvceuutIw1uBjmeYXi2xkaadek6XGgOB3S+1dRHN8tCw8UBZxADJ847LjSHA5ojKYXMz+wtvJk6BzRS0nxK1+dCczig2Z7moJpLFZrT+EsXcF39Cw0XBzQB03hNU70mGxVP9NZv+nu0U5zoygY/j8ZYuhcWKhwoHCgcKBwoHCgcKBwoHCgcKBwoHCgcmLkc0HG7gOBnnklnyDmWQnv46U7a5jvuwnEThQoHhp0DWvxTRPvss89Ah2oMovq6dxaaw4Frr702ZYGdj1hoDgecH+nsxZIBGj6JEND+4Q9/mM6+LDSHA47A+ed//udSGVazQLATjuWp8+zhmofY99s5ismRYHH0UN8HMGQPVF3myMPf/va3QzayMhwc+MhHPpLOQC4geIaB4HJEUlng04kDZU/w8M5W2RM8dm5Kd+jhldfSGGvs3JQ9wc3Ia9kTPJavpTHWaJ6UPcHNrL267lr2BM/lZDknuC6RKvcpHOidAwUE986zfn2jgOACgvsla3U8p4DgAoLrkKNu7lFAcAHBE8lJAcETcWiwnxcQ3GcQrNzyz3/+c7XQQgtV/+///b/GZr9kgtuz9rXXXktlYTk5gNxcmJPxyLzNO++8lc30Qe7317/+tXr7298+8jf/f/XVV6sFF1wwXR9k6/tf/vKXdCh8odEcKCB4Dj/IDfkho61y8re//S2VjJOrftIwgOA33nijmm+++dJr//d//3daR8iaWnjhhRvVpe143XQmWFAWLbvssiP6xvxrwrPAAguMbNn5v//7v5EtPPPPP//IUPW2wCc6bZ555hnzCr5H7/lO/j06jn7L9VZ8WdlnzmvOHb351re+NV1CNj2X7Mb3lQJqDOOe5srYJ9J/xpXrTM/w3G5pkCA4+Kq0LviSy2xuJ7p9nzquayoTfO+991arrrrqKJtKLqzXRRZZpO3QfU4mfB62tBPfYo2T+9xncg9yHVvXyDrZzeWrVfaa0BOTAcHWyf333z+qqZ73946al7Xbjscm2KrXun6C1+3eDT/cN/Rm2Jfwc+hQ/ou1mvtEv//970f0qc88sxeaTCb4qaeeSvOpmVYuE+PxJMaf6xvjjPG3W2txv9BP9FXIje/63fxYu7F+/Y18hQ7z91xnTsSbukAw/fn000+P8Cl/bqtfG7aiVQ/Fd2K9kbdcPvAH5frWvfgl5LLTOcN4RE+HrSGrvtfJRlv/ro15cC0+hRyal5iH4HWskZCPychmu7kqIHguV5rOBBNgHcg4lARk8cUXry677LKeFtNEiy3/vIDg9tw6/PDDqwsuuCB9aGEfc8wx1fPPP58U3FJLLZX2UOv62koWpM6aX/nKV9LitSDN5XXXXZfus9xyy1UXXnhhRZl/9rOfTUaeEr7qqquqN7/5zWmB+/6BBx5Yrbfeer1M5ay4toDgqtIh+/TTT0/OIeNlX9U73/nOkfknZwcccECFV/2kQYJgxtC6WnTRRat/+7d/S69t3/grr7ySQJUf+3l6cUrq4F1TINj7nHHGGUkWOBzbbLNNdcghh1S/+c1vqtNOO63S+Rh96UtfSvrl2GOPrZ599tnkPGy77bbVjjvumPbDsi101tJLL506teaAhEN36qmnVk4Q4Dw5QcA+Po4MHrse+G4lsvjkk0+OOEL2Rfub/ZBk5Morr0yOEgfqc5/7XNKJ9pKfd955yd6F8/LVr351XFC78cYbJ8AT/TKtBT0DuqVBgWB2nf3Ao5deeqm65JJLUlfYn/3sZ9XJJ5+cbIJ9kuR5okBAt+/a7XV1g2Dr8jOf+UzqGr/GGmtUJ5xwQrXuuusm+7f33nsnGSGT7F8eDGAv6Tiyu/LKK1dnn312mmd2+PHHH08yi4cf/OAHR16NXK655pqJj3Ev15DZtddeO/lV5O0d73hHChCeddZZI7b8tttuS7LmGRxtMrrkkkt2y7YJr+sVBJON448/vnrggQeqLbbYovriF7+YQBv+ASDt9Jn3x1PyZb3yX1ZfffW05qwLAFl/An/PEyuA9hNPPDGqS7q1euONNyZZtGdeoMD96Y399tsvva+1Sm6NxXVOSzj44IO7DjT2AoI946STTqrME3kx78cdd1zaP3viiScm3gioOKEgD/4+8sgjaU1FQ6Orr746gTlri4x5J3pt6623HjWHQLZnrbjiiunvP/nJT6orrrgi6VN9dOhaz/HDznzoQx9Kc0W3CvYgz7z00kuT/HZDdYBgfCIrMXe77rpr8ifpVPvS2SPvgfCLPJl78nDQQQdVW2211chQ2RI6/te//nXyXckR39facH8yts466yR7QybNwwsvvJBsCT3Saht+97vfVfvuu2+yOeyBdebUhFh3xk5OcwBtjuj4zTffPI3LOMwXm2LOP/nJTya5Nv499tgjdXBmt1ZYYYVqrbXWSt+hg/bff/9qp5126mYaOl5TQPBc1jQNggmWCWQc0V133ZWU8UorrTSlCez05QKC23MGQKU80Sc+8YkENPKIoc9c00qbbbZZWrSUMVD74osvpvkLR40hZjh8l0JCFAelArh4lkXLAMYibmTip+lNCwiukmw4ygQJzDC6jEMQJ4jSn00g+JRTTkmAl7MbIPiwww5Lzs4gqSkQbI7ZiVtuuSUFQm6//fb03uwFJx/QoNs53/jC4eSwoCOPPHJEhgBP5FgOYAFQDsLTTTbZZMQBAWSAbWCG4wK4tgsEtoJgjqcxfeADH6g22mij6sc//nEKEHJeOC5f//rX04/3MAZ0zz33pDHnct06j0cffXR17rnntp3ehx9+OP39fe97X8fpHxQI1ohygw02SDxBRxxxRLIvHFVZdHaG7HLw8LqfVDcIBgwcD2Q+OMsCGwK85s3cA1KCU+Yp93GAErYSmWdAmm/EAQdkEf5cfvnlI+wJEOx5kbUCggETfPz0pz9dnXnmmel6dplTa3xsud/XX3/99Bng5GgzAKAu6hUEAxDAvCAUEIpPQAgn35rDM8CTvxD0gx/8IP2dzgMOBb7wm6z99Kc/TT7Ixz/+8QSSgOEgeuKxxx4bBYKtPQ0OzQHwgtdI4zS+i+wawOR4TcRnEWAU3MjvPR7/egHBAM9iiy1W3XfffQkk3XzzzcnGeV8+F34BTHgC+AXhj2CHtSZoSM4AfMGUc845J10GxAYwjO8BXXQ3HYvMBf0nMCMIwP5GwNA9gWSBC6AXUEbmYLXVVqtefvnl5AtORHWAYNUxAgRkhX41746iMsfee7fddqsuuuiikXUlqEE+0Pbbb5/eMYieci9An13AX7y944470j0RfpBPwJZsCUKRM/MBK0WwxVjc37r73ve+Vy2xxBIpsCLRM96RUK5VYRAgmN0Dgs0NO2Ztx2ehD6JxagRE6Q3gnZ89leq4AoLnSkbTIJiw/uhHP0oKSBkHhc8RaYoKCG7P2QDBFBOHpFVJctYuvvjiMU4gJcQ5FBGl+CLaKDMs8iXqL7roc78jCobhoChE3yxeCzuc1qbmfjret4DgOY4IZ4ODx0iTq7yUdTaCYPwQARalBwZVYDCKjC4HTZR7qpHgyayXpkAw2+B9zDVdxREEogBezi+HlDPAWROE85kfQIEzRC8BCuGcAROcEroO0UWySM7QBaxd6zucGjrRe/msFxD84Q9/OAEh3weEZAyMyRiAYGOOjIznCybKaHcqDaZDOURRTsexkjnloPnhEAMz4ai3zt+gQHCMQ5BB8BMglPkVPIhgKTvACe33eb11g2DgBdghi85U54ySXeDAWjVfMk34YD6DjjrqqATW0N133530nYwVEBh20TqXQQ6aCARHVsu92WA6guzRo1tuueUIGDA+sg/Y9Fri20lH9AqC+RYCQTLa4XvwBWVDET+DzMQWLX/jM+BHZODoBdlSAAXoQ7KB1kQAIX8bDwRbf4ATYL388sunNRrAJgfB7iNDj2d77rlnV6qyFxBMhwM8speCFqpA6A6/0wH4hBcyuOxAEF2oigABpUCcgJN3jmApoEw2lllmmZHvjQeCAUVrE3/pPwEBPCHPOQgmX/SQAM4qq6wyIU/qAMHWAFtnTfET2AXEDhon0Brgn9407qi8AWYFLFtJhpf8shGqdpBgBFn0/mQDLwRsrCdzxZ8VFIhOymxL2GH8p6uNyVqURabvyWieifac8UCw9eE7/G02TnWR59M1KiK++c1vjryK3wVRAjBPOBltLiggeC5T+gGCKXpAWNmHttwUW1MHihcQ3H45BAgWRRL5a82qUciiyjIisTcuokzKjZTLBAh2L/OJRJspFJkbSluEkpNJkYQDJHIpa1JA8Ni5KSB4zn4kMiSLxylgzAGSoNkIgr27DJCocoBg0XsZUcQocnbble9OxiB2+52mQHA8HzAFojbccMPk9NDnIvXsBp3jfUXggzggSvfyDCmbpnIlHGXXBgjGM9kCQFLpdWQ56L5eQTCggYAhAUDABtBR7tkKgl0n4zMeCHa/vIQW4JdN5EzSr7KqSho7VUQMGgSTVzzwL2cwrxhSCcZxi6BEt/I21evqBsExHkAKCBG4iQz3gw8+mBxzDjtnNwf8eZZfhlOm0g/AEhVSfpfpDJoIBHP6VU7wp9h1gRh2HLjMQbDrZI7p2EGBYO8EVBoX4HnnnXemtRdHWQIOgEYrCL7mmmtGAlP8Dtlv34u1LTNo7eXBg/FAsHGYNwEK4AKYo0NQKwgms9ZbEyA45liCgH8le2ne+EqAviAdngBlnUCw8fGt2c0Ilrqv8QrOdQuCfQcI9GyyS47cg+3JQbDryDHbEyXS463POkBw6O6wC4IFgm0Aoow+ENxaPSPoE3q4XeUJO0pH4augAhKkoz/dW3UGwCtYw9bIuAoq5CA43hv/zR8QzHdRicEnNgYBCmPLsc54INg9JZBkhK0Ddg0wbweC+dgAfwHBU7UQVZVS/E2eE0whWVjKzlDTTlQBwe2FIkCwxck4h/MXV3MyOW7RPMLiV5qDWkEwRzSUi8glR4CzZuGKzCqPFqUqIHjiBTrbQbDsloyITAUSXVWWlYOFAoLn7AnOiXMIVNm31k9qWn/bz+e9RMWBKBVEHGV7ozkDytM4I4iOEq1nv4KUGwM+Mk85BQjmpMS+1LxcbiIQDNxFFgBQkc3lpPh7DsCV0MmqtIJgDhJHSSlh3pAlH2O7cmgARgCRnsUD+oKj1o4GDYJjTDLz9rjJjMseIQ4rnswUEMxRBT7YQk2yVAUAIkAw3SUI45qgPINn77prlVTLcoUtbc1cBQi2JqJpVOwJpi/tbQ+9ya7LavF/2OscBJM9gR9y2a5Z3GT0R6+Z4HgGnngHY7H1JbZgWbd42QqCrbUAc66N0tEAwcCMgHsOgq1xOiKvlCGTdInMLp5FsElWWbAfYGkFwTL2yPrrhnrJBMf9gHjJIXOscgK4ob/oCDzx7jkI9v7AKlIlY15lhslCZILJEX2Rgy+gFc+d24vwDW/JsGfnW9WsUfz1/BwE00Wy9QCzcvaJqC4Q7DnWCl1i3GyANdMJBMtU24qXBwFax8rPwBO+R04AMn6bc+vGWuXPsjG5DYjv5CC49Rmy0HS+jGtQ655gwSu85o8L8tpTHJlsGW7l2yoWWjPB1jh5jfmcaC7afV4ywXO50jQIJkgUsiiwKKSJIxztys4mM5Gt3ykguD0X8z3BnBHKlzMlu3vttdemYEjsGW69Qw6CLVpZGoYfRSZY9Ezpn0UJZIvYxhyXTHBnyZ7tIJgx2mGHHVIVgpI+csjIAQuMFGeGk6PUSNS3nzTIxljhqOSZYJlKzp5MCodnJmWCZTVkH+ggYDMa+XFoORJsCOeLIydToiGJ6HyUs3Ec8EZ0nPMboMH/OU/+BUw4OJxE5ar2B3aTCXYNkKEaRkCGQy2LzJH2u2i9iDynzDVsXYBgjrGxkW9BQfvfOxEQzPGJ4KHromxSxu/73/9+ynDE3tLW+wwKBMvqCXTbiwjEcEJl59gD2S1bHDjrHOqmKsA68bTuTDC7J5vDrwFIlEHH/kKgn20UKBIMUSptLsmeLK/KBu8PEJMH9wAKZZw4+eQ3Sqa9j+/ipcC0Z8kMuk/05yDn3g8gMAZ7klUMsLeqEdhmss/GuJfP66JeQDAZtnfeuGXGrOfY9oI3eEW3c/jxL9Yr3c+P8D1gRFY29vUrZeVr+I61mHf1tUYFB/k1Akd0hmv4neYGr6NSTWks+6P3QoBgvCLP7JCuxN12aO8FBHs3c2m90yP0nS1m1jDwKEBnjPaYyhLjCT1C56kGEnQBjOgMMkiv4BWZ8o6RYY/51reAHuOnIfuPVWtocuU+qvRkx5X54p0Sc9lRQQJr2bPxkN50n25OeKkDBAOp3lGwkw7W+Mo7ALitINjYrReZ7ACHuf6nl/HaPKnCcB9rkg3xHHZHJYXKAPLmfnhC1sgD2SMb+SkpOQgWNGBbyJ1gk8CK9ZxjHX4NvRhbcuzr9nxrWfCBrIUfrtrEeoGbzFHsCSa/MuLefyqNBgsI7hMI9hiKRGSGAFmcJrApKiC4PWcp24iemgcKljH3u8yLrG+nKDHlwVDF5xRIdOizFwd48TcOIGUtQ0IZBVE2omnd7CNpSi6G9b6zHQSbF0BHkIbRlEmxR4lMipoySEAfByHvGN2P+Rw0CNbQRlYpIsmyGIw2Z2Cm7Qk2n8qevR+dJLvBTqgU0GiJ08jxoW8AkciG+B6QwPHjSJOlIFszODA+cw+ZNd8D2jg8dF6AZXMt+t9OxjhD7BenkAOU7/WKbq2yMu4lAy1bwmGPZm/eByCZKIgjCKD0Lkg2iO4FkgABgNszQvcOCwg2Dk44+TRm/DZX9s/aQygLDwRzvLtxnutc23WDYPaN7WRP2T3yxckF/m0z8i9gQW9xeAVI6C6l0kAKQAhkREbcfWQo8Y1sR1AneCD7BiA9+uijaV0INETzKPf0fvQmuVAdogILmPY7Iq/GJwDRqQJhMvzuBQS7P2AqcCeTZy0IEhk3YC6wLjsbTe2MlX5DQB9gb73iNQBtzQFG1jOgEd2d4z3wie3AT78DwkBdAAZgBghBKuDMC7L+A+DgJwDTSwPXXkCw53kvfpJnkgOBAkE6AT76xLPJkXGTF/wJoIV3xhuZdGCVL2F9AVbttp4JSAmkIf4cuULklE5TJs7H46MLRihfj3lwHb1mDJ2OC2qVozpAsHvabmIdWXv4FD2FBIVUnMT8AeixPzjGEltpAFPjxkeA1zrxXVUA3pPvGusL+MR/a43uNy9AOPJv7tviobFFUzHZXIbDNNsAACAASURBVPJl3bbbE+wZAi8qJs27zK85NG/sumCXKhGfWS9sgjHQ/SGbgHxUI01m7cZ3Cgiey4mmM8FTmaTJfLeA4MlwrXxnUBwoIHhQnJ/4uYMGwROPsP9XNF0OzdkX9Oh3xrD/nKz/iYPKBNf/JvXdsW4QHCPLgVp9o50+d+oVBMebAWgqOWYi9QqC8UBWD8DvtgP1dOJbXSDYO9NtgGV0t+6FDwIuAF9s9evluzP52gKCCwieyfJd3m2acKCA4OGdqAKCx85N0yB4eKVh+EdWQPDYOWoKBA+/NDQ7wsmC4GZHNdi7TwYED3bEzT69ThA82ZHKvMaxnpO9x0z9XgHBBQTPVNku7zWNOFBA8PBOVgHBBQQPr3SOHVkBwQUE90teCwgey+kCgkfzZBhAcL/Ww3R8TgHBBQRPR7ktY55hHCggeHgntIDgAoKHVzoLCO5mbkomuBsu9X5NAcEFBE8kNQUET8ShwX5eQHALCNacYCqdxgY7nf94um6qGuu0dscblvGVcRQO5BzQnMfRL3G8waC4o/mCTpsaNhSawwF7iRxcr4FcoTkc0OTH/jXN7woNFwd0MHUGbbfnmg7X6JsZjaYzjqCJ80Cbecrsu6vTJZxbrbFUoTkccAyoZloaSBWqUkMnXZo13Co0fBzQDV3jxTj6bxAjfNPf87MQBjGC7JxgRzzEmX4DGsqUH6t7mu56OjQ2dQTTlAdZblA4MJcDOgLar6JjKGCh8cMgKLoO6rqr46TxFKpSN2Adbh2VMd11Y13ziSeOVdNFeQjMV12vNe3vYw1bt2yf85WLvFap46rGQ44Y0Wit8KQeMSdrkia6fjsvu+iBKulE2XHHFcUZxPVwe/rehZzoRi1gSlYKDQ8HJDx1shagKCD4mWfSQdAlEzw8AlpGMns4IBKnbKhkgodvzmWCHa3hCJNCczhQMsHDKwklEzx2bkomuBl5LZngsXwtmeDRPCmZ4GbWXl13LZnguZwsRyTVJVLlPoUDvXOg7AnunWf9+kbZEzyW06U7dL+kr/fnlMZYY3lW9gT3LkfdfKPsCR7LpdIYazRPyp7gblbS4K4pe4ILCB6c9JUnFw7M5UABwcMrCgUEFxA8vNI5dmQFBBcQ3C95LSC4gOCJZK2A4Ik4NNjPCwguIHiwElieXjhQVVUBwcMrBgUE9x8E2xdvf12h3jlQQHD/QLD91295y1t6n6QZ8o3JguCZzLfJZILpO3vXoy/HDBGP9Bp1gmD7zv3gVaF6OFBAcJ9A8PPPP19deOGFybGx0H/84x9XZ599drX22mvXM5Mtd/nFL35RXXfddaU7dAtfzj333Oroo49Of2WI9ttvv2r++edPm+Jfeuml6ktf+lL1tre9re2cnHnmmem788wzT/pcs5Evf/nL6T72fVx55ZXVK6+8Uh100EHVSiutlJSfOUcaIuyxxx7VZz7zmep973tfI3M+nW9aQHCVui+fd9551fvf//7Um4Ds5MbO3z7/+c9XX/jCF/o61YMEwfihaYXGaTvttFP1sY99LK25W265JTU+Wmeddaq99tqrr/zwsCbLoemoe+65JzWW8c722P3lL39JuoPtsOf1U5/6VGo+o9uv5h6vvvpqddhhh1Wrrrpqde2111YPPPBAsjV//vOfqwMPPLBafvnlR3jk+8cff3y17LLLpr+tscYa1c4775x+P//886vtt9++WnrppcfwdIsttkg2hb5ETh9YbLHFqk033bT64Q9/mPTfO97xjqQD2baFF164uvHGG6urr766Wm655dLYzSPezTvvvB3n7JOf/GS6jwZOHD73Oe6447qe40GC4KOOOqqab775ki059NBDk31/+umnkx1mY9gEfOp3gKPucmj27Jhjjkld9DfZZJNkR1dcccXKtjL2T38V15xzzjmjTtsgD5dffnlq0LXUUkuNdKs++eST0+kATz75ZHXCCSckHRhE9nfbbbfqq1/9auItYqc33njjapVVVqm+853vJBlbeeWVU6fmCy64IF1n3/5PfvKTatFFF01jIZd0qi7ZdVGvIFhDPTrNerF+L7nkkupPf/pTdcghh6T1+Pjjj6d11Sofe++9d2rC9+yzz1annnpq6rzsHt6RHtT0zBzn9Mgjj1TPPfdcxckPOvzwwxN/gE5r3pyRSf4KPYG23HLLJLfWnoaIu+66azoxoVvqFQQbzx133JGCKZ613XbbpXmkz+gh72DN5I22+NN0GDkiM/wHttK9fv7zn1e/+93vqiOOOCK9S07emf3UgBM9+OCD1a233pr0KdnFQ/fUWO/EE09Mv+MjWacn6TC+tXkL/TkRX+oCwewwH4G/qRu5NYfIDPnnGwR5D/rzqaeeSu+hqWWQ9Ydn3sWPRqC66SPvesMNNyTeIs/Sp4U+prsvvvjiapFFFhm5F5/k05/+dNLRdB7eLrHEEkkuyae1Rj+EfYkv3nnnndVCCy00gn/ch+3593//95FTQsim8ZNLjUrx0X3YOON+4YUX0jit+6lQAcFzudfPPcEWuEXd5HEFBQS3XxYahDC46LTTTkuKjaKMDprXX399WoitZPFTsJQEA8Wgrr/++kmJcugobsrFdQcccEBS3joCUqYf//jHq8997nNJUTtqZq211prKmp2R3y0guKr23Xff6qyzzkoG5b777kuOkcYrQZyl/fffP8lRP2lQIJgOs14Enxh068j/OSyAIjC22WabpYZdnMB+UlMgmKF3nMbNN9+c3o/e4FDcfffdFcePbvEvR5h8+NHdkp7BCzzjPHLSOpF7agay7rrrjlzCKfacM844I+mtdqcKcMI5TxEk5HhxjjjIHB3gm3NJR9KFAJCmaq7nGCMghK31WaesD7sIRLcSQM/h8z2gulP32UGBYHMkGPrRj340gQx88TeO4BNPPJGcx4022qi65pprpuy49SrrdYNg78MhJ4uCM+bz9NNPry699NIEusjBKaecktZsHvSl44BAMgHwkAfgl221pskO2b3oootGXtG8c+KBmwDBggrbbrttst/WBJkmiz/72c8qNh7YDjkPQE0+gSNAsC7qFQQLhNNnfjbccMME9ulzASbviB9ArUBUkISJxpH4A1jgsUaFG2ywQXXbbbclXpI5OgloC6ILHnvssWqXXXYZ+Zt1SF+6j3tGkB4P3Zcf5F74hwANwQZjsP67oV5AMJsGDJlb65mc0vH0Brmho6666qpkEwUDg3bfffc0z4DSkUcemYKjgBK9CPSRGeANb3M94/QXfFphhRXSrciLoAPZBbYcq2ZeXn755fR/43j00UdT0AV/EMBORr/xjW+MJETG40sdIBhIpDs8k25xBJUx0IfGLBhMfyPv/MYbb6Tg8B//+MfE00724K677kpgXlBFsE7gDoiFTxD54usKQgkWCESZHzwVJDnppJOqHXfcMQFTwVWA2HxZmwKmrllvvfUS0M6DT3QHm20+EDlg180NXUAnmEcBMPd3L38TIA3/x7y4N3A+lc7OBQTPld5+gmAK/hOf+ES14IILdqNTJnVNAcHt2RYgmGIyB6LIOVm8DMMyyywz6u8iohSiKDcQbFFyxBgUQY1w2iLS6ssM7uKLL56iaaKZADZHlcIqNJoDBQRXyVkhn50im7MNBLeuEY6K6D4jGZFqBlkQSsa0n9QUCH799dcTCBYMEWSLszYBW9kIuinAMQcBkABcgVMAbIcddkjBPTIkW04fyZYFcUpUs8jUsRGcG04uHeV+l112WeJlLyDY0R9AsEh+nsHzTDrTeLfeeus0BM/n/HCY8oxCPnedQLB3pTs5qOw1J74dDQoEt46FE0pm2ZI49o1NwBPz2U+qGwTLSAJtwFo43+Rn9dVXr375y1+mNcnmsa9ASlA+t4I3ZPChhx6qDj744ARoEb4JsARNBILZcc430JQDHkBZgBtYRLLBsq+yw3UFzXoFwXhhrXh3wQAESADsSEUHUCKoFVVAgALQG9UZbATAAJhFIgWIpBsAkKDxQLAgq2RAu7PfBchuuummkfvQLd6z24qbXkAwYGMugCv6ju5DEhFkVtADT6whx34GeX86EgFpgBIf7Fe/+tXICRPG6x3zwMB4IJhv53P6L5cjfASA8TtIMIduJU8TUR0g2D3odDoWgA8fgR4FAOkZgaic6EgAWRVNBCHzz61PayeywPfff39aQwIiAYJVZQhmRfWjQIjsbDvQaX0JPAhEAM8C9ojsCnTkYxgPBFv7fOVW35ysqIjI9b5rHE8WYHqiuWj3eQHBc7nSLxBMAX/3u99NQtvk/ocCgtsvhwDBImvKSVqzakCwKG1ECvO7cL5lXgIEi5qJzMlSiRqaWwue4yoyJkIuIxLnB1LaopUFBI+dmwKCqxRM+da3vpWMOkeSg8MxCJrNIBg4E0mOcrYo/ZNV40TJOPWTmgLB3kHA7Yorrqg4JQAqnbPPPvukTBenxTYMYFlJHDAlsOb/wKFyNI6wCDknWpBABiWyvnQVnaU8GjiVCQBeAqjQfYIxvYBgQIODAgxxWDlJQI2MSisI9n4yVxwwzks7UlVjvICjH0CdTgW8lEzKftDFHKV2NGgQjMecQU6gQKnMXtgAJYOcuOkOgvHdfLCh3g/gUBbP7kV1FAeds8tOBgnAyGgizrdMpR9yHRVSfgeKgiYCwWROlpf+tGYAYnqzFQSTJUBbVrPTlqdedUivINgY+H9Ar4ABvQa8GSuSuZNFbwXB9FysST6Md6SDYmuXiiHZvm5BsGfZcoEXghCAd1TItYJgMgvUAFTdUC8gOPSdLS6AvHkT7AO8vCMQjCfePQfBeTDF+NgFQQV2M45ZNF4BwTyhMR4IJmf8NYEqGXB6VeCNPLeCYNseZCW72dpWBwjGJ36B8anUsVa8Gx1vvPBErKuYI7JFjvir7baTALiCCbkeZkfo7gDB7Cx5i33/1rqgSCsIxjv3s3YBXpVMggooKoby0vTxQLDvkDcy7VlK9d27HQhmv/CggOBuVuYE1/QLBDN+0vzdlpZM9tUKCG7PuTwTLKsUUey4WimQiB/HUbbEviWZFpSDYFkWmfyIMot+cd44PQy4Rc55Nd+cNlRAcGdpnu0gmBFR3sMxQpS/fVmADZACAM5GEOzdrSVZTqWEnEjrKDLBDD0HLt/3Nlmd2cv3mgLBoul+lIVyNDjIQKCyWrrEHlzOgCyckkAZkMj0cnQ4hxzHyHQpW1VqCbAgYAxo4KhEEJbeiqj7RCA4zwJwzI1H2a9927HPzu90K7DXCoJlnO3RtDey095MTnBrVsO8ezd2mo7Fgzwzk8/dIEEwJ5KdYD84bxxX5YXR+EfJoXLKyJL0InNTubbuTLD3tBfdXAm8CKrILpIlssppJit+j72Lxm/dRk8D5ZX44zrrN2wp5zlKT32nEwhWXUBfWivAd+hN4AeP6Yk8E+w+AB590qmUvlce9wKCyQAdDnQIOgFrAJa1aX5im5WyVz5DZIKtcYBHYF6ARXDd9TK/oQcFFPAz3xeqL4D1n+/H5N+oXhOwB6TMIZ1Ad9AzggStIFhgQdl7Xo48Hp96AcHmxDsB4nSW7WSAJ6CHRwJ1QJ7suWBJkCyskmA8E2xxLR/MfIS8eR96JPe16c0IAroX4G27j+vY3OidIEmiqkYQka7KQbB5BPYAdbpoIqoDBCtvNk/0h3+BYYEn89UKggUL2IDou2D+W5M97KkKhMimxzu0gmAZeUCZrmaXZNWt13z94BWdpyqEz0xWrDFg2ljxTuY6B6oCmPznvByafmdXleoLqLFPeB3bJtjD1kywe6s+mkpvpZIJnjv7/QLB9i60K0GZaCH1+nkBweODYJ9SohZbLCCLmXLrlGHIQTBHjwGmgBBjyynkFMgGIwpUBJMCRwUEd5bi2Q6CGTnKmPEPx4+zJGPG+VA+xzFilBjxftKg9gTHGv3whz88KuKuXCsAEAPPIagrs9MtX5sCweyQtUAWOIXK3/zOUZQJVkUCOHDaZEs5iZxWzgYAQgfJCoQzrAEJRzii8u7DcRJpdz9gEmDFQzQeCJadBuxkeN0n9mNz1o1LkyR795A5u/3228fsCTY+jqf36kTtQDDnLPb4hWPUaR0MEgQrk5TVyxuLceZkZPBGBpAP0O++EHWDYM1zOMa2BbFrwID5pys454IjAsWcZo5xUO7/yO6Ya8BQ4DiyoaoeyFpOAA576/tIFo7MkkPrwx5WTj9HXdUAAAgkqpZQFYGAKGPKy7O7Xe+drusFBAMeAJnAJvCqeozDz+9QfUFmZNDsccSDINkua8m6xivf42PImgo8IBVsdEIOyoAv/BUoRCpIBNVk+cgh3SHbimRi/V9gLd8TLAgJKMu2CuZ0Q72AYOBXFh+Aou/oVfMJSNlmwX+K/aCCoEF+l/m03cz7yVAKiuRl0u3kiF9MdiVDEFkQXMQ3PJTwsM8Y4Z3PBA3zPcH0i0ywcXXTpbkOECzDbd7MvTmRXcWDdiCY38keRtDCXAO8Ocl045t1lVMrCGaLAGr3Emyg8yOg6ntRAh0+r795X2uOvIWdsD7zoCeeCiJEsNO+bLz0HD65IEdscZLh9zdBoHxPsHuQD7IZzRq7kc/WawoInsuRfoHgTvudJjN5432ngOD23KH0Yi+OxcooiAAiBoph7lSmx3GT3Y39EUqPKHB722RDLFBRU06AxSkDkxtcjum//uu/jtk3V/fcT8f7zXYQbM5E8pWnidJzmJW6AReCL5w32TsGLe/024+5HhQI5mQAvIJUjClSLs5xVPpn/fo8b/zSD354RlMg2HsCAOZbBkI2gsPlXWWDOPecX9kOGVW6jLzQWZwGOsf/BfLYAJF2Osh9gQalqZxs2SSBPICB4xidTjmB+Jnvowue+h7nxFgAUU4j/gN5Sjw5OsYs6s+Z4TDRj0ASZ5WTYy5lncYLWnB4fB5zzgnj2AlaAh2cIc6XddHOCR0UCI5sEYc8Oltb03wLgQZZLwFR7x82pF/yWjcIBuj0NrEOZWH5NeabTJERDio5BTaU9yu15XQL8oXjTUaiLJxsC/QBXMYawDX4477kWNBGeSwwEHtUBXTw2X5Q6wCvfR+oDr1pPmSMjI0s1kW9gGDPlPn1rko98UvmE/BQHSjgad35G/mgY1QMCHDhr0ohdgF4sG69N56qrmAnYl9xvJs1ykdxH99T1QYM8U2AaUEC43d/gDP2FwtguJ+/y9bZaiLY2O32vV5AsDF6X8E6cywJQUdFQyeAy5zSifQAXchno4vwjGwJstBbeCbIhichn7aT5IRXAhACIt6PPiInAih8N5WBsq0CEgJ5svAAKL9N0BEPyLVxRr+GiWSpDhCMT95LAs07Wwsy3fSfoKh3iOZXQDK7IHiiSkhw1JitGbwDRvFRwKN1ax6+8XGjHFpwnq3AA0EKwQDy4f7WrsCk4DwfGD/xiHyqAhJYwS+2ih3Lif42FkEfWWXBVbJJTtkQMhtNQQVIBBdluPk+0ema3ol3m2gOxvu8gOA+g+CpTFYv3y0guBdulWsHzYECggc9A52fPygQPLwcaQ4Exztz0pR/tTboG2aeDMvYBgWCh+X9242jbhAczxCIqLPb8jDzsN3YegXBs4FvvYDg4Eds/2gXfJtuMtE63jpAcNxTQA2AnEwgXEBSZYRgeqF/cKCA4AKCy3ooHBg4BwoIHvgUdBxAAcFjWdNUJnh4pWD6jKyA4LFz1RQInj5S0cxIJwuCmxnNcNx1MiB4OEbezCjqBMGTHaEsrcBqvjVhsveaad8rILiA4Jkm0+V9piEHCgge3kkrILiA4OGVzrEjKyC4gOB+yWsBwWM5XUDwaJ4MAwju13qYjs8pILiA4Okot2XMM4wDBQQP74QWEFxA8PBKZwHB3cxNyQR3w6XerykguIDgiaSmgOCJODTYzwsIbgHBOvVpzjDdyUZ2zUqi4+J0f58y/pnNAZ1eNT3Ju2IO4o0ZLE1CdDotNIcD9hJpTORojUJzOKDphyOBNEwpNFwcsG9O87RonDRcoxvMaHSV1xBHE7RC9XGAndD5W4f2QnM4oIO3JqLdNo6a6XzTbOq9731vavxVaPg4YJ+0hputZx/3c6Rv+nucJN/Pp7Y8K7pDU2bdtD0f4FC7erTujDrolT0AXbGrXDRgDjgSIY63GKQ6MAYONCA8yHEMeDpGPd7c6Fzq/MpCcziga6mult0eG1L41j8OCKbpoBodr/v35OF9ks7JuufG8S/DO9LpNbI//OEPqet3fhbt9HqD+kd77733pqN7Bgkq6n+ryd9RZ2ddyh09VWi4OKB7ta70ttAMUl6HCgQ7w226Z4JNrFb8jqyIw9SHS/TKaAoH/sEB8qqlviysw9DjaJRB8IgDLRCmzA0gLlSluZENdmTRIOdmmObCOY2OGnE0WgmWDM/M0CWOOLnnnnuqPffcs8xNVaVjSlSEOeLE2adFXuuRV3zNM8GFr1VKIDlSyRm+M7HT82Qkx7FMklECp8V+ToaDzX3nzW9+c2UPu6rZAoKfeSYJqvPT3vKWtzTH9T7duRyR1CdGl8fUwoGyJ7gWNjZyk7IneCxbS3foRkStlpuWxlhj2Vj2BNciWmNuUvYEj+VraYw1midlT3Aza6+uu5Y9wXM5GeXQBQTXJVrlPoUD3XOggODuedXvKwsILiC43zI3lecVEFxA8FTkp5fvFhBcQPBE8lJA8EQcGuznBQQXEDxYCSxPLxyoqqqA4OEVgwKC+w+C33jjjVTGOhOqkvot2QUE9w8ESxosuOCC/Z7ioXneZEGwni0LLbTQ0LxHnQOZTCb49ddfT6XUM1Hf1QmClVajmcinOmWwl3sVENxHEGyv0g477JD2Pt56662NNu4o5dDtl8ERRxyROhcG2TtGaWuiooPm9ttv33H92Bdp/uadd950jf0dm2++edp/ffPNN1cbbLBBxXk9++yz08+pp55aHXrooSP3M+c6dLqu0GgOFBBcpe6RK6+8cmKM8sXWTq4cp6OOOqq68sor+yo+gwTB9txts8021VprrVVdddVVqRGVRl277bZb9dBDD1X/n707D5KuqNIGfp1RgyE0FJBFZFEZEGWXVdnEBQMmRER2EBd2kFVkC4Vh3xHZCRHZDIlxRIERlR3FwA0YUdkkZEBRwJnAkT90Rif84pdvn/6yq6u6q7rvrVvdnRnxxtvdVffevCdPnvM852SevPfee6t11llnqPLwsCaXQ/MTu+yyS9qac9ttt437iR//+MfV+973vrQXWfE2IPr2229P++g33HDD6rrrrqte9apXVRdeeGF1wgknjMvkzjvvrNZff/3x33M988cDDzywOuOMM9LnF1988bg97BSqokoPPPBAeoZ25ZVXpoJACr4oRLX33nun8fjMZz5THXXUUek7N9xwQ3XAAQeM3+qUU06pDjnkkCnHa+21106F2KIhWU8//XTfY9wmCY735SfOO++8RBDVFuBj6HL4ib5fpqYvNrEcmu9UP2GNNdao6Njiiy9eqYT7kY98JP1OP3bYYYcJhUbVXNlvv/2SntiHt9VWW6U3vPXWW9Oc3nnnnauzzjqrWmKJJcbfXOGpLbbYorrnnnuqxRZbLP39zDPPrN7//vdX6623XvXcc8+l5zzyyCPV4YcfPn4ihu/4F83P++yzTyoQVlcblAT/5S9/GccMX/va16qtt9668rdLL720OvHEE5N9939nU53/4IMPTnMMrlCUz5w76KCDkiz5T1gkb04I+eUvf5kwSzTydRJDzHVzVZX7m2++uVpxxRXT33NyrsCVWhCDEPZBSTB7B3cJ+nkW+2bMVeCnt2zJcccdV9m/Gc3n8NoVV1xRnXPOOdW+++6bPnrooYfGderRRx+dVLDMPmU2NQrE/ehHP0o279prr026e/zxxyc/Q2b0V4Olc9myd1dddVXfRLQuEux9tttuu+p1r3tdGsMYL3VMyOeiiy4alw85fuxjH0tyZYfy8VM1/6abbpqgK7CFxlaxz5dddtn453AvH4Essm+d7eijj07+MJ977PUee+xR/eY3v0k2r7NAL31bcsklq8022yzdzvP5LL5Lo5fGxTP975295worrDD++E022STZjdkWMi4keEykTS+HNoCrrrpq9eCDD6bJrow848VxNNEKCe4uVRPt5JNPTh+a6CYfo2AimZgq+Znwne30009PkxEAZ4xdt+aaa1Z33XVX2lAP6DHI/q2++urJQQMJDBVHjUgwEoiw30ubKIFCgqvqyCOPTI6LoUdyFKQCfqIhRQAkWQ2ztUWC2UoFqMxZAEVQ4Itf/GJy0oJZCDHw43iDYUfGmyLBcZwGIKaQkXdVvVKgjX2iI4AtwKPYkc+vv/766oUXXkgADrAGpMmMTVOsx33yYo+XXHJJtdpqq40TY5+xYQJ3AoSAPSDa2RBezw4SbGyWW265VEndP4B1gw02SASI/znttNMSaBIsBDT4PWR76aWXnvKonkMPPbQ66aSTUt/98x5BimSM3CfIULd50BYJNl+BSO8KjBs3hEZVdcSFzBUNAipXWWWVYU7hNDYIOcBaR6MHF1xwQRpb5IxO8af0lk4IWvGzCExepRvR5Qf9TYAYmTCmdJbuAcw//OEPJwB6hIfPFICJcaf722+/fapCTF8UQXMkz913313dcccdqT+e/853vjPppH4iA8gPG1tXG5QEw30CQeyHgDj7pZoy2042CJ1Al/kU7ec//3m65vLLL0+27sknn0zzaMstt0xzDN5AppG7ZZZZZvw6c/Cxxx6rdt111/G/IaiOuiNjYwXXkD/SoU8CBJ6PZJl7Agubb755OgYqD0xMJb9BSPBLL72U5GDc2SDkUwEpwT3kWEDlc5/7XDqKLieiCLCxREjhNQXfBAIFCdg+yQjj7Z3y5h7+Zi5qP/nJT5LNJE9zlV4KurK3Z599dgrUIJ9sYxA0lZ4jyMMWTdfqIMH4A7uin+aDgM4tt9xSOdJ1p512SvbEXNLg7bZv9gAAIABJREFUgxdffDEFUpF8BXKj7z6na+yUvtMPYwCv8iFIs+OcItCOo9AXdsN70zHBVs2cMpcVhxSkglnMPXI373yPX3bspWsFbqLpO78UY6pP/LuxERBSdZ19gLPZEGNEBnvuuef4ewoKsxts7Wz8fyHBY6PSNAk2KU3wiEyaqMDlVM58usk11eeFBHeXTpBg0VeVs03YvHEmJpwJmjeE1mQTeUWCkV/Gw88MEYcsoGHiIsuaCDXgaAmLqCbDAxBxyqVNlEAhwVV1zDHHpIAMMAeM0J888rnQSDAHaNVFVG3kiIEfBBDh0/y81lprTcqCND2/miLBABMQgmB4r1gZwG9w1kApeQB/v//975M98hkAgwwDEMAEMMOnsTVAcjTAFmnYaKONErkUoUcwAGGZI9k2EfxBSDAQJBOHdMgKGjNZKmQXCWYXZTA0QIZNfPbZZxP47dYAG9nAqLZrLgBsiA1AxnZ7f8C3W2uLBEdfyF0/BRf4fFkMtp+vAKjJuFugtUmdrZsEP/HEE8l3hm8z5gLIQC0CA9f4DhAOuEYzbxEvDTh3vaw/0gxIa/QXGYw2HQmmB8hP2E3zAhEXSAHuY+UVHTenrCDJAfls5D4TEqy/N9544zgxMW/IhZ471hLh08fIcPEJbJ+5ZU74LhyDHIYdFFx//PHH09yONhUJFqCho+5jrGAZQRLzTHZfhi2a78E4SHo/bRASzKfxcfBR2Dt9QDrNEbaOH4SvrKSIJvjHRppTggIyoQgicrr//vunryH//AM7FG0qEkwW9NC5sfSZTRVUQIgFeCQ4NHNZYECAup+zkOsgwcbHuCCEstmCPxqbry9IbieWFaiCU9ncbrbS++22226J2JIjHbKqiiyDBAs2wbRsGLsrSMC+0hm6aGwEo+kqjiPApB/0O1b8GKeNN954wgrIqUiwyuLmgnE0Dgj9Ukstld7DqifBxtye8D2zwdSFBI9Js2kSLGpCUZ3XZ2IDJga5n0hSP4an8zuFBHeXWpBgRl0UtjOrxtiKAEakMO5iwjOoot4MhuUmnLvJzAAAeaJXDDFHxKGI+HMcURafYbf8azYTdia6MBeuKSS4SsQA+JdhQ2xEUPMI50IjwbneAniCBAJUZAPUa5axyUxyhMNsTZFgdgY4ASTiWCpLmWW6gAxBAADWChMZG7+zL2wP8upvbBxwo5GVbFEEUxAV5ADhQEYBaRmVWL6MfACPg5BggUMEA+gBmPk1Y8XPdZJgfTJeiI/lcN0agm68owFpbKZrAEByQAoi2Nh5j7ZJMJkjR1YHCTAsv/zy44QeaATiplsSXrcu102C6amMHZ0DThF7QQ1EBmkAXi2J5B/zLUFWMgC5miyTTJR/Mn4IiObnyDb5fToSbL4gznyyjCm/juQC8DkJpvvIg7HpDHLPVN6DkuBY5htyEMQyH/VVA/gtT5Z5DRKMuLFzMSfNb/qPlAW5EWwQAJPdjTYVCWYzYsks0ud+sWWikwTTWXOQDeqnDUKC6ZGAmZUSiDd7oR9kwoYgW2Ti3RHBaOwVPKXpn6wnW0b3ItOvv2xfLBv23alIMJInIIHwIkZWJiBf5JiTYPcRqBN4sRpwulYHCQ6/QC6CTHwDmxjygztjXkV/kFnysHpMdruzkS89jLPu3YttpZNBgtkN+hY4hC1DrjuPE3ItHTb2gg4y+xHog2c8g0yjTUWCzVPkHo5mX6z64qO6kWBBD3i8cyvAdGOSf15I8Jg0mibBoqIin5YPUBgDi0SJkDTRCgnuLtUgwQwTZytilTfGArhi5AQojE8AREGMnASbrLGHWERWlErELPYcMxgAYWQ0AMxCgruPy0InwXSJkQckZUcYdyQYkIzVIguVBAPJou4ACjmZRxy8xlly0JaEDbM1RYJzAItYArbAgP1pliwCdAJ47AjbAjAjvsA1UMb25ORS0DX2DXaTD9sEQMY+QQHAqUiwrEsAIMAc4EGC6S5ioc+WWsrsAGqdJBj4FiC0V6xXQSU+EpGM5dAyqjID7K854Fn2luaAP3+3tkmwvui7DE3s3aO3mn7721wnwSFvY4XkCkLJOgmuWFEQJBjRgnWiIW2RsbJ8UsbTcl9APbYJIS90K1ovEsxXy1whR3TP95A1hM6qLQHFnAQjOb5vCWxd29AGJcHxTuau/ZD2atr2EfuArX6RbeskwYICQea6kWDvBLfkc4IM4E7zOxqSgoAglrFfXRABGUKwrDzpJMHuYekpQtJPG4QEx/30n+1g52AvuAym4vvIxLv3IsHmlL3O9Iou5SQYuc4DelYF0C1bEzXPhT34FM8hE0TQO8N9/IvsfE6CzW3PEIC0ame6VgcJjmdYCaSmAxuCxFoGbeVDNxLsGvbW+OfZU39nj1wfgYS4vzHISbAxoBdRB0fgNPcBYevI3twXwBQcMw/NaY3u8klW70SzJ5ms8+XQ5M2vCujC0foC/3g+v2bOdmaC2Rd9mg2PKiR4bFSaJsEi20ABA2YSWYrLcTRVJKmQ4O6mKd8TLHImCirri/AydgyACQpo+ZsoU5CQnAQzRCY+R6sxiqLQjCdjIBJt/yJjG8u8Cgnu7S4WOgkG7pFeDhrJsDdU9BRZoJNIIN2iv92KU0zniGfzeVt7gjlwYEhAwFLYyIwgEOZSkF/AaZDCLbORRVzbFAkWZQdY2CVOnw0BHoAW7yhbxk5ZIsl/AIdAq8CJAB25AGwABfnYoxV7CQP8WJ3CltEvABjojL3nU5FgZBzRRiT0B7nxT+BG1tM4yJwgG7JxADldpc/2Qmr6A5jKHPZqOVGK75gPsttAD7CK6CDa3VpbJBjYs7xchoZ8BBPYNXIWjCAbS4GtGhp2Mbe6M8GydohnrMyIeidshcDwG97whuRHLRdV6CwawkxH+Ud6B4gjN8aS7iEMvpMX/yNLc4Dts9cwdE/mie4JZrvez6Ensk+WYQK4CuholqLrr2BSXW0QEuw94T2EUhCPvUdUZUK9n2yXDJrf86yrfc73339/IoVwB7mRs/eSTSdL88v75qSM75AdRZCQGOTEc+FQtsKy61hBQ3eRErqpLxI2GkIoyMUv5Xu7p5LfICRYwMQyXEE9K0SMm9V4yCxiY2UBQhV7XOO5yJDAgZUhxl7CwXP9DTmFsdmRfC+sa9kkQbVY2s2Ou4dgCQyHcPmd7yEruoiUsaH+aeSIWNrL3U+RtTpIsEAJm6mf9N94kIEl8p0kmAzJQ3DU0m3vhcznTWDZfucIJsdnnSRYHQr3UMvAHm3PFLyKRqfplyB0BLHMwXgmny0YyF7ke8rNRfe2ggPOtt2QnzfHzVn9iqJ5iDqd5OvMmQjYCgazM1MFVPuZ54UEj0mpaRJsUgEQlq1wHiYsozbbyma9BrmQ4O6SyatDm8AyGaKfJjrwJPIkCtWtiUZxHgwfI+t3xsjPiIrKkwyQZ1jSw/FwajHGAJCCF7OJWvUzqefidxY6CTZmHHDsBQX0ESCAmp2QXTOnRfHtKx9ma4sEA0jIIGIhy8P5A0ycItkITgFtglFNbSvpJeemSHD4CaABeZLhAAjYKuMO6CvOBxgDa1FdUxCFXPgVGTkEDEAiM98lP0E6gAWQtizUlhxgiE8KgCuo51r37myuY9eAdeSZ7KOqNHBJfwEVvhT4BLABbvprOXbseTSuUxUyQRABpsieAp1AE+IPkAJq7gWEdmttkWD9NUZICXLDpgGt5ItwIIoynwKseaGyYczlukkwYI/cGguZNuDVXEVeFGySnTEnvbuspgCGZfxWNljR4XPBZ0ES/pMuIToCfUgNIpQ3gR+rHpBIOku3BMY0fphvpZeygpYJ6wN9tIWJf0fmfCbzlxePmq3sByHBnmVfKwyBuAhcyarRactq/TO3zR/6IViEsNMrcwJWsbyVbZBxQ1wRPnIxXxD8HE+6zpgIrCELdFIm0dxmT9hVOhnF85Ai88rcRLDZIsSHHGHXfm3sICTYMxAbBMi8YXsQWVuD+D798zObgaS7t0BYFOxCvNgH7whvhZ7RyygcmI8xmSBlvuvZ5Oa9JTsEGhAixJuu0DH2zbMRSvIiXzou+NDPUmjProME66uAETxJX8iJ39Mftti7mluad4zAqOQbX4VEBhklRwFNK1HpUd4QWPoZQSh9h4f5C+/tH/0RXLEKRKBBsAvp1vgRmBi59XdyJke+J9cfeJuO8VtsgcCQOS7Qaw7IcAt4eW9+kC3VN7aG3N2LPtt+47361c1u872Q4CGR4BA+IEFJGaWmCLBnFRLc3b1FsYP8U2PCEZjIU02mqJCYf0cUyjiGEXBfk1g2hHPKv+vZAiB1FeWYrQMfpesLCV40GpwOgCQLGGANWKKjlhS1cSZnWyQYKOYk88YJmm/2gXGKHHJ+dMawdLopEhz9R/YBYQ4+sg2APKAgoxhFpYAJusGm5AVgyI29YpeAWj4HeAqdEkX3OwCSF2d0jcxtL5Ia15E5H5bL3meuZ+P0URPMieM3ABogaTq/x34GAQ55INdsqvf3nkg9wNTtXm2RYH2NuWqe5svS2X7j122v9TB0tm4SHH0W+AXA6VmMBb2iCwIfQDCZIBXx7uxbHHcSyyyNJ7LTKbdcNqFf9KjTt4bdlE2MIHZuP/StCdkPSoK9D10Q2ELeo9J6zG26HX/LsUq3ue9essZkaS6GLDv1yV56MnPvfC+nORZHj+V2FAkP3GI8+q0KHc8dhATHNTLP7JDsX+hRvLPxjD3cbAO90j9E3vt32jDEnc3sNd5xX88mtzwgRVfZGH1RXE3jZ+ivZ8KJodf9zts6SLBnGUMBTn3MlxbzAeYUOUTrnE/6bYuJFTrkSbfoWee2ADoRheXiXu4P5+Z2nTz4Er6HXY7Gb0Q/yNFnnX4ivut96B+5uib3Oa7zTM1c1/SNLsc45HrR71h0+14hwWNSaToTPJtBmsm1hQTPRGrlmrYkUEhwW5Kf/rltkeDpe9beN5omwe292dx/cpskeFSl1xQJHtX3HVa/ZkKCh9W3tp4zExLcVl+H8dy6SPBs+ooEO6bIyoDSJkqgkOBCgsucKBJoXQKFBLc+BD07UEjwZNEUEjy6+lpI8OSxKSS4GX0tJHiyXAsJniiTUSDBzWj//LhrIcGFBM8PTS5vMaclUEjw6A5fIcGFBI+udk7uWSHBhQQPS18LCS4keDpdKyR4Ogm1+3khwfOUBNvMb8N/nD/XrpqVpxcJTC0BFf/sbVIko82mD4rYKGBS2iIJKG6kerAiFKUtkoDiPfa3KphS2mhJwJ5AFUzjqJTR6l07vVFgyf5OBWtKq08C/IQ90PkezfruPjfvFJWqFTcqbdGeYlW77Z8tbfQkYIn4v/7rv046+3iYPX3Z3+Ig1WE+teNZsSdYdcx+yp632NW+Hq2AgGMZ8gOq+7qwfKlIYMgSUOhAdUAFH1S7bdMcKJqhsq3CJZ3FeYYslpF5nAqvDzzwQKqA3ubYjIxAqipVulWYQ8XQ0kZLAorlqBbb1PGDo/W20/eGfRUQVxSpBG2ml9cg34AbZfr6rRQ8yL3n4nfpmsrBjq2K4nhz8T3q7LMiTypeqzRd/Gedkp39vRRhU6AOvsmLxs3+zoPdYaRIsFL784EEq6yGBDuiobQigVGXACOkoqGy+G06CiTY0RsyJqoXllYlB+Fokf3337+IY0wCMkCqpjqWpbTRkoDqppZEx/mwo9W7dnqj+q7qq1a5lFafBAoJnihLJNgRVc6KLiR4kWyQYMeCOSaotNGSABIM78E3hQQ/9VSK6jtaYqozDEdrCHv3piyHnisjVfpJAvYEW4rsPMI2mz44y9m5vKUtkkBZDj1ZE8py6NGdHWU59OSxsRzasVpHH3306A7cHOyZs2UdC1aWQ///wSuFsSYqclkOPdoTu+wJHhufckTSaCtq6d38lkApjDW641sKY00em1IdenT1tRTGmjw2pTp0M/paCmNNlmshwRNlUgpjNTP36rprIcGFBNelS+U+RQIzlkAhwTMWXeMXFhJcSHDjSlbjAwoJLiS4RnWa8laFBBcSPJ2uFRI8nYTa/byQ4CGS4Mcee6z61re+Vf31r39NhQOWW265xkb/3//936tvfOMbpTp0h4RvueWWSvVCzd5T4/Hwww9Xr3jFKyrVDH3293//913HhcPbeOONxz9n3K688srKPlL7z7bYYov0syIkluStv/76Ew4nV0xn5ZVXrlZaaaXGxn2u3riQ4Kp6+umnq6997WvVn/70p2qNNdaott9++wnDaVmVCs0777zzUIe5TRLMjt16662psu0HP/jBaoUVVkh27ZFHHkkysG/7qKOOqhZbbLGhyqTJTDA/8cUvfjG9z8EHH5yqULNVd999d6VIGfuk8vHSSy9dff/7309Fushn1113TfuU7eH+zne+M27j9txzz2R3or344ovVpZdeWtm/p7FTUTvCNgB2UNGvznbuuedWhxxyyPh2Id999atfXb3tbW+rnnvuuerGG2+s/vCHP6Rn6Yt+Pvjgg8nGepZ3WGuttarttttuyrGyR8u2pGj/8A//UB1xxBF9j2+bJPiOO+5IleX5dvsijYctFl/60pdSldjwEyH7vl9qll+sOxNs3t1+++3VaaedVn3oQx+qPv7xj1evfe1rU5Eo2yfoA1/57ne/e4I/ffbZZ6ubbropVVSmcxtttFF6s/vuu6+65557ktzYvVz/4CX7TPfdd9/qla98Zfq+7775zW9OvtQ92c2XXnop6aL+aCqEu2/4ejbVsmW+vq42KAmmA+Y2f3fsscdW2267baqFwa4//vjjqcYAvenUj9tuuy3Nfe/r/cw7MmYLLce2hYe886YujLluzkW7/vrrK/bAXLRP3La5V73qVWlOvulNb0pfO/XUUyt7JTWfmcvLLLNM3yIbNBPM3hlf2xDVndAPRTL1j51fffXV0zvnuIyewVl85tvf/vZUADYKbH77299OY7zLLruMv1N0XtGu3XffvVp22WXTn1wP/8F99IcNo0/el5z4FUVmr7322nEbxge5d78+py4S/MQTT1SXX355mgPmQlTfdn9zMfCC+WdlazRyUeizs5EvuYVcFRRkp+iGAqUKC7JnipbmtliBTGOlcOg111yT9DCasdttt92SvOifxlYceeSR1eKLLz7+PTK3PYNv08wL78DHm+9OozAO9pV7L+MFW/NBoZvmgNNEZruXt5DgsWFpejn0H//4x1RB0EAb/M0337x69NFHazXIuZIXEtzdZn/2s58dL1BgAt98883VRRddlIqhMcQc6x577DHpYmCTowFofJfhef3rX19xghxFlMBnmIEBDp5j5lyAVYCRYfE/o13aRAkUElxVBx54YHK8wNrVV19dcUoASTQEA0ggq2G2tkjw7373u0T2PJ8DBK7swUN6c7kggMMmFU2RYIBYbQpgBGgAtgBB9lzRRjaLDL761a8mYCGYeueddybA4HPg4dBDD50gH/YpL/aoSIuA3brrrpvUCKBBNJ988snko4CtboE69k7VZffT9AU4UXF46623ToAEyaC7//Ef/1FdcMEF1Q033JBAi8+1Aw44oProRz86ITjYqcuHH374hOCtsTXG/ba2SPAzzzyTCKA5yt8Di8iN383rFVdcMfkJoJosh9nqJsGAr+MXjc1+++2XfJ05SS8REPqFWPh7HuwH3vfZZ59E9gTzBKXpPBkJzCCI7J5KutF8vt5666XiNfRU82yA2d/J2c9IoEqvAPWZZ55ZnXTSSdWWW26ZvqPRu09+8pO1VsgelARfdtllifgLniMbxx9/fPXQQw9Vzz//fLXjjjumgoz0Pyeu9MU7XnfddanAEnn6nnnnHZEh2ETwBTGIxmYgmEhsNDaUTprHAmyOJlS4CR71XQ0pMG81uIcNMib9kr5BSDC7LlAk0On+CI/3ZdMQVH0nIzoW9kq/jLM5RAY77bRTIofm1gknnJD0SxDt4osvTpgub96Tjq222mrpz3SKzjoV5vzzz68U1TvmmGNSwMHfBBN//vOfp+JJ55xzTrrGGCKA9tn30+ogwYIC9IbfMV6CkbAkQiyQgizSDw1GRSSjIbudmFZQxTgJuCPBsMU666yTgkvstdoBdJTf8GzNvOJf+N8IanpWnKLhcwFZ837TTTdNQdtonT4a7saD3vWud6WveL5nej8cydjxL4I4fJxgliCFOXzVVVela3yOFNOX2bRCgsek1zQJZpAYOxFTTWEVYAcxaqIVEtxdqowkR8JIAGQmet6AFQY1gF58BpQ65030ltEwKRlQ4M7kX3XVVZODBkBdr73wwgvJOcmG+JuJzmDJvJQ2UQKFBFcJoDHqwABwICotah2NYwcGFgoJFiQEkAJEm7uIH4AM6AAsG264YWOBxKnmaFMkGHkC0Iy94BmgICsG1LNNbAr7IxsBDIm6A4xICaLDTtEjwFEkHqnNgbF3QlbIDTDhg/wPDAG+CLBgTL8k2NhstdVWyY/JwCy55JJJbLJwiJB7IvOR/QWmZQvY0s5+hbw/9alPVeedd94k8SOYSJV5IDOEGHRrbZFgoFQmMt6LrQcajSMgLNiANCHLOTEZhi+omwT/7Gc/G1+tYKxkdgHxHXbYIQWtZGd8xwkV+bsiXgiFZjx9z6opwefQEYEvgZRoQYKtcAgihgQjTIiR4ItAtnsB7PTQvRBEweg4KgtgB/ytTAgyPVvZD0qCkQPZWCROFl3AwNym8/pPd+ES5CsyXocddliSK0JPFsgCG4iMhCzNe4SBfYw2FQkmAyTl7LPPTl83VoKvnklvkdJoiOQb3vCGJLt+2iAkmN6wb8iTecIW+Z8f5OvYf8E5cx1xi0aPfMc4wldwHHkgV4IIGr3wfvmqAqSL7c5JMJtCnp4nuADLaVYsCOohwYhvEGq+2X3YtshkTiWXOkiwsQ3doTOCj97rrrvuSrbbWCLxeUNO9R85JtNoyKRzcdlocuNP6JW/k7cxEViQ0PF7NEEBK3JiNUb+LO9I1uwMv4R002v3FITqPHFH8IudDBLMppO9sXGPtddeOwVfNJlo/sr8xZ8ELTQZZmPG3+UBkn50NP9OIcFj0miaBIu8iWA4L4ySMBRAHZLURCskuLtUgwSbdKLPEfGMb3OsJnMYyfwuzo9lfBkNy5A4MyBQRJdhYpRNfPcFBk10YC2O/BFJBBg32GCDJoZ8Tt+zkOBFRxFxAMgDJyBqnWfAFhoJzhUaOZNZBHYRPDYUaJQtBgSHXdG/KRLsnUXj6QE7wZYgVoCxoIDltACrzwXT2Crf9/4AsCNwgECrUYAgfgChCCAo+CcbJxOHcAMYMhoAtuZ+SMsgJBjRsJSTb5NNkPHk3/ShkwR7hgAjIhiEudNwWQ6KuOirf/rjnvomCKnfgA8S1a21RYLzvgh4yyYhY8svv/y4DxCsAOJkcobZ6ibBACgAjcip6E8/jacMZmwvksnjA41VNDoaYP3ee+9N2Uf/ZHtihZSfI6vluulIsPlghRegbK7wsXQPUc5JsPkALFtJ0RnknulYDEqCkQLkzEoJ8w5JEZTSVw3ZESSyxDlIMKJgeWnMSRgmsmZBeumaTHoePJiKBHuW+wgqsA2y6Oau1kmCZamR8r322qsvMQ1Cgt0QgWPTzXnBTWMoUeEd9Y9MvDvZRUN44S3NnEKY+AfLuwVRNP2ln2xHtKlIsKAqkkUWgox0R7bZPXMS7F7kbhz7OR+6DhLsmTKkbKyMsGfDCJp+I/GdJJhtJ5vY/tc5eLAsTJsvMxdocC+BANnYILzeny3uZbfYZr7HHPZMAQPjRYeNn3vlPnoqEpz7KLbTsZmy/J0kOHRHVjrIdF8K2vGlQoLHBNI0CUaEAH2gRhSHo7dfpqnD6wsJ7j4d+iHBIl6WDMlgiIBGhLqTBJuUsczEfWXtRM4Y0SAsiG8hwdObpkKCF+1RBy5FmgF8wMhSn1jqu5BJMFAEKHHYZBSOWwZEtpQ9HWZrkgR7D9kNWS02RXYDqAAKgUEkEDBAdoE1PgTAFxWXYQLwQz4ycaL6sYc6dAw4oVeCCUimbIg2UxLsWuDFqhiZaZkGWdBeJBhB6nWOqGxDLHfXX9meWH0DYAeZkT3q1tomwUgZgiejLnM/H0lwyF2W0nsCkog/vcxJMN3NgXOe5Scjeim4g7jMlASH7pkv9A4ZtIyXDnUjwYhrr1UIg9qQQUmw+7NfMpsIlP3z5AY/aIOQYDaBPDWERzBwEBKsH2RGR8lf5pMt7STBPpc5thS1nzYoCY7+y2iy4+Y1uyHgNQgJtt+X7uUkmA7kAb2pSLB+sC36YQ4bIyv+JLA6STASjmQHEZ1KLnWRYLaQPTcegj5WXNCfXiRYlhoPEBDq1rqRYDrhOXSBfRYcpSPe0zyNwEx+PyscZXtl7Nnp8DHxs+QfG7jNNtuMXzYVCY45YhzgH/f2czcSLACsFRLcz8yc5jtNk2BLDCxPE2GhaJa32JuQR6lqeI3xWxQS3F2aQYJ9imRw4rHkw7jIzANxjB8DzFlaMqjlJJixFZkLJyQyyKiYtDJ4wCDnxmgBCVrJBPfW8IVOghEbxStieRtHQvdkzIA6WQPOD6BcKMuhaYuljQCJTBN5mKMCBBF8ss3AUsrYc1qnDZ3qXk2RYBkiWVXL15BZyxJlbYFjmV8/C4bYA8nxx75IfUUeZfwAVtk0TRYj9moGuLDs7JRTTklBPvIky8iqTkWCkWxLTGVH6KeMchBx9g8oj6JDlm5bKQPMythHNoLdtDoGsOwGqPSx23JogSGrdJB1S+vs25P56dbaJMGyKPQxlvLpNxIvK2I8kRSAcNj6WncmGMn0HoIuyIfspQwrnyqIDHj7ThTZiXEScInVV8ZPAAc2ArAlCDTkg82LhpgIBlllFcWb6Agd4LttQUJSoiHkAjBWjfjZ6gnNvnnPpON11RAYhAQjQ7LiMuj6z94jA7K+sulIh329suAyZ9FHfZZFgyPgCnOOnyCTWBrqXsiirZNGAAAgAElEQVSnJbPR4E1LWiMIYSsCjEL++oEsyp5r5OV57pmTYPZBZl2fY5nwdDZ2EBJsqbHVPPSFfZcVVgjLyp8oiESP9Nl4RpMxtgzfSimr8qwmoDf0EUHUZHXpUb70XTBVxpvd1NxTUsr+dHJSVyECJLLIbCOSl5Ng+ipbzTf3swKpDhIMR7Jr9n+bD8hf1HXoRoJl7yVj8Jpeup6TYLrBtoeMBSLMXc8wb8g/sG7n+OuLvtFhDU6Bn3EczRgI+LhXNOOOo/ATGh/P13uGv/FZ7KjG19JT+icDbh+7hpwLusle9wqoTqerPi+Z4DEpNU2CARcEi/GhcIABYFeXMe4c7EKCu6u/6CJnqgGcDL4Mk3GQVeLAe+3ZRYIZWiBM1kOUDNhElgFAhsNmffdlaIFAoC2yMp5LB8Lx9DNBF8p3FjoJNs6AjKqUwCUHC8QAQMgOoOdnZCOqnw5LN9oqjGWvIEcqABDFN7w7smdZIwDMOfvXueeoadk0RYI5doSRbfFOCC2gjAQDcJacsS+WDgJiSAXwwb8A5OwPIGMZm2WOUcEXyOQT2B5AE+l1L8DD/7H3nP1zz7yadMgSyQESZUAAd2AESddPBJlNZE8RPvqrv8ZGMFCWD+m1wgZItbytV7PPWUYoxpz9tGwUuEYEACygi1y6tbZIMGAHhANVZIFAeBe2DflH4BBGe4frWo7br57XTYIteUQkBGuAW0Cc7liWy4/aIw4ce1/NmNENQYKooaGmBp8KbCMbVlzJaAK7sFHe7H1EDMnTs11L1zX6xAfTKYTKKgp9EOihO7Y20SWVbtnR2ewf7JT3ICTYtd7X6guyiRUDSJYAOf1GatkWoN72GFiEvNhB89w+Ttlt84GM+At7edWYMdfzwJJl5IIxgvJWtMnK+52cBdoQDkSY/BFJz4VLZd5gIvprxQYiDdv0a2MHIcEyfHQlfBp7Z+m1ZAJ9MpcUdrL0GVlFeNgrNkzW32pK784WsXGSGvRHUFmQL/YHx7ghaK6xrNj70SH+zbXGgD1ky9hhts3nVivwOWxPVKBmn/vdI10HCY4gIPwYCRY2HME39+g63YomkOIzxdY0Y+x9XB/76mFZviLwKb1i+/kOwWXfFxAwb9irCCa5n8BEBFwEvvCa2HJDv+mVQJ97CbCocZHvJfYO7AYddm9BBmSZLhtjv4dPEjiku64RNIstAAIf9Nj9Z9MKCR4SCaaEjJIIDWUwoZsiwF6pkODu00IAIi+UYEwAOgbRniaRvV7jAmhaLhSfu4bTZUQ4Iw7I30TOjLf9wvnEF0HkZPqtsjibiT3Xri0keNFSLM6OntARAJOu+RvnLerNKfXKoDU15m2RYEAGQMyb5b/mFnlwtrKSdR550q8MmyLBno9AAclAJ6Dh/bxzLF2kB2GH6EZUbmW/wgYhouwVWxcZX0Q6IuZ+9h3XsEn5knvgqVvxE30wJu7rOexbAGO667PIeAKVvuN3z4rG702XPWE/gwC7Tt8EhgBmtlqfyahXVfC2SLB5C/DmzVJMcgNU+Rp+opts+9W7mX6vbhKsH95H9kwGKfxfvCu99DdjbZ7SUWNoXI2hscz9Y9g49s24drNxobOe7V657gHIPqfrdJzO0NM4asvvIfs6cdegJJh8vL+Apz2cCIC/kQcZmdexfDV03fvSK/qV+wCyZB991mtekb2ggWfkdsM92RN4VMvHQgArGnmGXelX9wYhwWHvEC26grAbV/2lE+ZNZImNG7wVhRLZFu+vfxFU8r6+Ezaj23GXZO2+Wi432C30iM3lf10fuhnvH3rdrx7VQYJDToIgbB8yG+/md7qfF7+i9z4PuZCnILoAZvgA+hZzxf29P13xP7mEX9V/P+d2i/zieZ7dOWf1yXfoaO4nQob6E7pJjuGH4vN8jMLHuxffEM1cqeNkiEKCxyTadCa4XwNS1/cKCa5LkuU+w5BAIcHDkPLMntEWCZ5Zb4dzVZMkOEAvIlBXFdvhSGU0ntIWCR6Nt+/eiyZIsCcJRg1yhuwoy2gmfRuUBMczkM84q3Ymzx3lawYlwd7Ffk+kbT7au7pIMDkh6Vp+5m4/uoB0CjRY2t5vRr+f+86H7xQSXEjwfNDj8g5zXAKFBI/uABYSPHlsmibBo6sNo9+zQoInj1FTJHj0taHZHs6UBDfbq3bvPhMS3G6Pm316nSS42Z4uzLsXElxI8MLU/PLWIyWBQoJHajgmdKaQ4EKCR1c7J/eskOBCgoelr4UET5Z0IcETZVJI8LBm48yeU0hwIcEz05xyVZFAjRJAgi2JigqDNd56oFvZZ6TwhuI1pS2SQCHBhQTPpblQSPDk0VJczh46x2yVVp8EFIuzV7ffIkn1PXl071RIcCHBo6udk3tWSHAHCVYJr41CK3UrDSDAQEcJ8rrvX+5XJFCXBBRGUO1RMQRVLxVmaKvZc+PoDZUK8+I8bfVnFJ6rSJPKoyoDx5nXo9CvNvugiqi9kHG2aZt9Kc+eKIHf/va3qfIucFP0dVFhMdWS7bdU/bXIpJ4ZQ66OrlEQLq+cW8/d5+ZdyETARbXg+brnedCRUUDOKSIqWJe5N6j0mv2+fegCgzCOApFttZf9bQQ0IwpjKdU+7OqrTQheZUFV8pQcL61IYNQl4NgX1QIdZ9GmOVDVUIl+x9QUErxIawTUHFkxmwPpR13/Bu0f8KtqqaNHShstCVhRomBTnDM5Wr1rpzeOHgLyHKtVWn0SiKrfxQ4skikSfNNNN6VjiIZ9DFh9o1rvneAIMnHsW5vYpt63mh93w/UcyYX/FRL81FPVW9/61lRSf7ojHObC8P/0pz9N57s5w6u0IoFRl4AoKfDqMPQ2mz5YDv2DH/ygzW6M1LOdR+gsPme8lrZIAs6mdO4rXSlttCQA0DhK5KMf/ehodazF3jhL13LoT3/60y32Yv49mp+wHNoKptIWSUAA2XnZJQi1SB5WlznD2gqV0kZPAttss006c7qQ4HlGgssRSaM32UqPekugFMYaXe0oe4Inj02pDj26+lr2BE8em1Iduhl9LYWxJsu17AmeKJNSGKuZuVfXXcue4DFJlnOC61Kpcp8igcElUEjw4DIb1hWFBBcSPCxdq+M5hQQXElyHHvVzj0KCCwmeTk8KCZ5OQu1+XkjwkEjwfffdV2288cbjRbcsu7bMUDEgRQTqLsZVMsHdJ5YDw/MljP/5n/9ZXXvttaloiCVNK620Us8Z+cgjj1Rvectb0qHu0S655JLqf/7nf9LSu6WWWioVdXrggQfS0lF7QNZee+3x79pXqa244ortzvoRfHohwVWyBeTw9NNPVx/84Aerddddd8JI+fzqq6+uDjzwwKGOYJsk2J47RcrsFd9hhx3SVhUy+tWvfpVk8Nxzz1VnnXVWtdhiiw1VJk1mgi2fu+iii6rnn3++OvXUU6vFF188vZs6DwocsT8HHXRQ9cpXvjLVfbj++uvT3mRFj+xxshWG/fEzAHbAAQdUK6ywwrh8+J4LLrggXa+tvPLK1e67755+fuKJJ6rXve511ZJLLjlJnocffniSdWwX+slPflK9+tWvTjbRfv6vfe1raf/4+9///mqDDTZI1+vLt771rbQXznfU3FhrrbWmHKsrr7yyMu6a6/Rnv/3263t82yTBnm2O2j+/xRZbjPv1a665Ji2bDT/R98vU9MUmMsHG6KSTTkpzkz6+/OUvT3UU+Fjk0LvaMmCfaDS+8tZbb60eeuihZMde//rXp4+eeeaZyrhvuummaT9pjofUaTjxxBPT1q74+ze+8Y1qww03THr/5z//ufI73bUUd7311kv3/N73vpe2tbie7vHH9kTn/ZmteAclwfCB+QoPkp33p+MPP/xwegdZ1PXXX39St5588sm0JWXzzTdPumVue6ebb765gkv22WefcVnGxfCGJbhwZzTz3jzWXGfOvvGNb6x23HHHhIE0S+fD5ij+97GPfWwC5plOZoNmgvk1doVsjjvuuNQPMlF34atf/WoaUzLJx83ntjzce++91S677JJskPbiiy8m28ZmkEm8U/QZ1rP8demll05/IqNHH3202nrrrdPz77rrrupHP/pR0pPtt98+fefZZ59NGFGj3+985zurLbfcsm+Z1EWCFWAzD5ZffvnEGeLd6MGdd96ZCgFqbD+7G7WNjOVhhx02adgUg6JPgWfd5/zzz09jr6DuEksskfYy05No/OzBBx+cfAd5KZaZ42FL4I3HZZddVv3hD38Yl/F55503YSx+/vOfJ59tmbgW2IeuaU7nYEfWXHPNNF6eZ57Tk/Bb5FDHlpdCgsdGt8lMsP2Oxx9/fKpYSXE5gne84x3VzjvvnH43Ec8555xajXMhwd1NNTBw2mmnpQ85YpMuDO+ZZ55Zfe5zn+ta6ZGhRJJ/+ctfpkmv4h9jwDi/5jWvSSCSAWaM7Ifh4Iy7SWsvluuABQS5VJSdPDaFBFepqibHwiFz/sAEBxANeUEGyGqYrS0SjPSZV0cddVQCIvbt3HjjjdVee+1V7b///klWAC5QGI5xWHJpigR7H0ACyLFHCYhHfJF9Dp+t+v73v59AIhIBjF144YUJVCOn/Izq5nQICCKjddZZZxz0kQ8Swh4FGQXE1cPghwQaAONuwUDfc10UvEH2lltuufSsQw89NBEUgNV+6d12263abrvtqhtuuKF67LHHEiFkN9lbtSo6Azz5uPmOf1El3thuttlmfQ9tWySYjzjllFOSbgKrO+20U/IRfABAaBz23XffRPgAzGG2ukmwuWms6cS2226bfN+nPvWpBFy9u+eRBUAuOBxNQIYdUy334osvTiAbsWDr6DawTE5nnHHG+DV8LWLLd0awCyEWKPT3I444ovrNb36TiDjbqF/6xAd7tuKg5pX7X3HFFeMBmjrkPygJNh/UnVB8EbH95je/mf4nL3KjH8h7XmiLvJABJJh8kHnyO+SQQ9IcJ7uPf/zjKQCVBwNhQHNPcCya7xoT9sScNFcVkTPnJWUQTaQ5SCm74pQR49SvjR2EBCNe7gt7sR/0B7GHzY488sgU+GALySnfYwxb+UcGcDRsjbD72dgL0CCNdDBvgizsKSymKRjH15599tnpKEA/u6fq/4g0nXZv89i9yJtesU/9ErA6SDA5GXN2UJD0uuuuSzLiB3AHAQP6oSHAkjvG0r842SHk4Bq6QU7mDbvsnuYPvOGYSHqBJCtYKtAaRJWvMRYCXuyzgIFrNf/TFXqsn2QaPpqfymstGWO4OIpt0nF+3nMFV1VsPuGEE1KAAqbm+80bGDzqHNFj8xpmn00x40KCGybBJhBFYdSDBCPcFIzhCtDz4IMPpklXVyskuLskTayTTz45fSji6feILpuwW221VYoudrY4HubYY49NRkN0zEQGODWTWFZExE0Wh/HhaFZdddXxcwTf9773pftHlqSusZ4P9ykkuEq6yMHSHY6IkUcmoi00EsyxA0iixWTC+cliALMizW22pkiwMQbQVKwUIEUygQWgR+CUPWGn6IcVA4AZ4AaAbLTRRgkYkZEVKr0awMkO5RkiAAOY8D/A1w8Jlt3UP/cCLkXvg3izof4O9CPziImmzzJ4CHevApTAr4xEZ3MtgqQ5Ui0yfp3fa4sEGwPgkM4aH0Etft/7+wxBASD5jzy4NQw9rpsEwxfAqoyOsfK+9BQhtXpBoASZ895WBkRj34BkzQoPRwsB7Eg1ska3zfPw0b7XiwTL1AmmeDfPZCMQDqCZvnmWZ5s3mucgLzKuxqmONigJlrEUxNJfRJMu6L9/5EeebItAemQ+yYkNFGyKlYPsn3kCa2jmO6KcV/CfigTDLkhiHKEpwECW+oMcCZRpxgMhIet+A1GDkGBjIitLl2QgZffIwfsJIvns8ccfr9gaGCyaAAjSam7JCLM9AghIVBR/02ffiay2a8mHfIMEe64AgHnqejaQ7iKKZEDm/JD+CKBodF0A0bX9YPY6SLD5YYUEe2o+yN7Dm2QiqYLodrOZMr2Cjnk/BQj4E3zE6gtjLhDF9pM9vbMyAOE1HtG++MUvJuLfbe7oEyyMkPuZb3H/Xu2WW25J/c9JsHEzNvwX3BP+yXzhX/QPZ+LvNH02/oiyFSczbYUEj0muqUwwowXMMGJBghlOA0hBtb333jtF0sPBz3Qw8+sKCe4uxSDBwKaIPaOSN4ZTBCuMZHwmWMEQipYxGhzpVVddlZY2G0vOXmaEc/MMzTibvD53PcdWSHD3cSkkuKo4Bo7M8lQORXYubwuNBOfvHst6zTnA1rJay4XZV453NpHgmdjbpkgwW8GOWELsCCbvJmtoaZ+gGvAlkygY52f2RkDV+7MvdAYBsCQNOKAzwHZUvnR/NokMZRcAPGTNihbAT6YJGRmEBAOKQLW+6hOiEQCGfQVCZYWjAZkIbZ4hzMdAtD+WK/q7/gF9Mof6FssnL7/88q5D1xYJjs5YrREZDSDSvzgaxRhGtmkmejfTa+omwcYA8ULCrMwQUAaebf+xtFdg2RjLIMI20fIAh0CJYDI9pTOxQkrGC0iPNh0JlrUT2KEjMnexwgGZzkkw3Uf0+GUAvI42KAlGchF8/yNf5qt+RnZLRh2gR3rCpiEKluPGnIQvEFOkzPtqMprGg+2INhUJjsybVYlIgKBMrE7ISbB7sbOCcsa5nzYICTYmSL7MOL/HnrF75MHGCRyRiXdHPqPJGp577rnpV3OKveM7YexYUqu/7pfbsqlIsAwqImZ1AzsTgSpyzEmwZ9JjhGy6rR2+WwcJJifjDXda2SCQRE5suFUmSHwnCRY8ENyIrS4hO4EN9si8RHTz5cyWg5M7/EvnQgeNP7sK/3ZrMrXkxrdYtcU/ey7CLZPMHubPmYoEu974CpIKhBgz/quTBOuHYCi7M5vjGwsJHhvRpkhwKExOgi0ZQIoKCe7HpNb7nSDBoqAif51LS5FgYC7271piI8KqMRiyJEGCZepE0jRGk1G2fITx4JBNdMsZAwC5byHB3cdzoZPg0BEOirOhZ0AJEhGOaKGSYHuBLFEDuDv3/sqEWmEhozTM1hQJjndAJAASpNRKIsucAV62SPYEWNtjjz1SIM4eQ/tNAQbZizzzIYrODiEJ3RrZCgbKtGgCgIOQ4GWXXXY80weQITSyE7KhiEwvEozId9t3rA+WzMoGBFizn9mWE6AOCPQ+iDTy0621TYL1CUlEJmSi5iMJDrkbJ4BZ1lemSDAlJ8GCI+ZutE4STF/8k2EalATHcujYb873RgDa0lC2YdRIcMhB3xFdNk2gILLjwyLB5hbyAOdYnQDHCEqYV50k2L5iy5SbIMEhDytYzGs6xN4JcAkED0KCZXHp3lQk2LJchCzPBCNw7GNsv2BnyMOKAvjNkvJOEkzv4UeEdLpWBwmOZ+ibQAe7Tm9gBESzGwmWXPNeeUAx7yuM0UmC43Mk1NJyq4vYdQm6yNZ3vq/3W3311dNWmW61OQR9BDbzve69lkPzq+YzzCNAJrDrf2MhGJZngvWDXspMFxI8nRb28fkwSbAIqcGjpMiwCSmS1ysy3kf3J32lZIK7Sy1IsIlmcobziW9bOmUfDCOD7Iq2haHLSbAMCuMTk0/E0X46+1ZMYJlhRoERDRBQSHBvTV7oJBixoY90TBP5BfyBFEEzwEQkXEZwoewJJgdRYc5T0RtLtchFdJtz1oBdhAsBHGZrigSzKQgt+yH6jVzIZIiCi7IjnX62FBgJ9s8SaU3G1P45oMHSOY3cZGoRhNAr+gPgxLI2dstea20qEmzpM5sWWbRYVsjmydK6VgMmgUS63EmC7UFD5PNMV+e4dVsOTR76jFTqt6WuMtzdWlskGCm31Dv8uIyYrK+ghP5bEQbo+3/Y50vXnQmWcaOX/CfyIXvJ1/Fxsnh0hB8VDBCkipYvh/YzMsj2sXMArma7Q74nGAin78hRBHg8gz6sssoqKXOlD6Hf7qM4Ev3LSbCMGRsrsFRXcaxBMsHmrbkH95kfsIigDuyJdLD3cIXAloB69NE8I2sZK/KUYXMfwSLf1XzfNqucDMg2y26yERrMQ97Ik0AXGUVhMnpJR2VUO0kwMooA90P4PGeQTDAsjNwg/3TGtkBBL2NtRQCbg/ix8/kSect1kUGk3XJoPoFvlFWOLWpWxJh/OTFzT/ql8JXGt7KxMut5dpmsBCisYKE3OQlG+shCv3pt6cjtUh0kmB2XtacT7Cu+wC9a2dCNBPOb/AXd6qXrOQl2D7KIFTvkKVEkaWOMBApi1UGnzRV45bMsrfcs1ylcGXUfBEMFPPOztGX++e3QVzaAjTJ+7IV7xrgJSLCr5nonCZakouf+n2krmeAxyQ2TBIu+G3zAjVFn+GIf6UwHsvO6QoK7SzJ3sAwuwCUKzQHJhiCsvQAKpxpVMI2hPTJ+Z5Q4M8ubRN6QZ5kpUU1LlCLjAbQBpyZ0aRMlsNBJMKcrgo3oARGcHuJCnwATRZCsMFCZcqFUh7YMT5ZSxD2WUr3nPe9Jc87/yIaoPiAYxZqGNa+aIsEAExAAwAGFsjNsCJAINNMRZEPWDMgIQI34Aj4APl8C0LIzSChybNsG4oJMAI/IrKwIkIgkIxQaG2U/Vrfl0PqCuCAdQJNrFacR9DNOgAi/BhwaOwUIPZ8v8ndjKKMNUE5VFwFQBboFPAK8u15BIHtOEXbvgmSNEgm27I//IAtEHGHRXz4HoEMUyRdorzPg3Y/O102CFXPybgISVk/xpd6NjvB7ADF/aqy9uz2b9NpScZiHHxTQYNMkAhA1n8kQIUH6mzfLMRE9ZEVm0naB2MpEVwSM9ENGUYBFUNqKBPY0CmOxE3S3Tv87CAmO6seyZlaRIX/mCAJgjrNzZKifdMW8Mcd9Dk+QJd039xE+9Ue8H5/gXRGLfBWI+8MyZGupMTLCriDASA4iGZk3xaLIV0Eu8tEvPgnBoK/meT+Eb1ASjDAhpAiZ+5vT+kS/BFRCJjLD9lNbHcMWWP2CvLJbbApib8UFkuRzpAxG81neFAGDu+mX8RA88W7wH7tJT+kue0smUfGerN0LyTNWbFG/mfE6SDA5GTe2WlDI+/rHjrDF9F3WNJqxhh9sUwgbKvFm9WmQS34UpjWHzUF2yxw1l8g7yCs5I+A5LjbfY+WGYIrgSuzLJXc+RH8RXf5GECP30fwTH86G+Du9F0iNAnD8etgAdgQ5jv3q8XdzT4CiFMbqxwP08Z2mSbBBBWCiCJOJwaBRPpOuHJHUxyDV8BVGNLIkbsfYiTox+AyATEuvBnxyEPneBhPcRDfpGUiOR5VF9zXeMsnR7N2zLD4/rqSGV5oXt1joJNggch6WXgECwIh9NRrQxxlzOgBPXVmMfhWnrerQot3AWixTM0eBP80SPhHqT3ziEwnADLs1RYK9B8DBsftfdiL28/JRSIIIP11APgEghU8AQMETjbxE9S1fQwwAYPcCkqNAFbBHviL9eYYHsADSuy1VJn/jwQ7yV/xW9I0fk71BQoBV92UnZaKsqtHYRoC81/K8HMDl+/+QYWBYFhn5cW+fWw2Q2+K4vq1MsOfTyah+nR8/4m+AOdCOuAy71U2C9R8ARSjoAcCLxBgrRBh5Yr8EX7w3woro0AFgXBCGz4wMDhsnqGLZZS63XE70i87SNcGfANV0WyKB7lqVIJOp+T6wbj7w0fpDr+u0n4OQ4JibyAvyYY5HtozdV9xIxeaoDWNlQRx7g9DI1goeIcTegRxcI+tGr7rNq8g+8y18R15MDiFETtgR8zKKJwUxMt/Zhl7j0UuHB8kEh12I5cixD9izBYIFP0Im3hmOZvPNe+PLjhlvWUKNXYigKL3sRtzJkh3VyE22OcYG+SZTOFBWlN4ILkpyhMwRPnrdbx2KOkiw/rmPQIX/LfWPdzPG5lyeaaX3bHMcHUWebL+gU9h2PtS+53gP+hRHQZFLzC/bFSy7Djnpi3GJgncwtYRQXj3cnKTnAlLGoVuQml2gf0i4fuTFrdhRMtc3OFpAmA7H3mJz2jyoo8hsyQSPzeSmSfCwnV7JBA9b4uV5s5FAIcGzkV6z17ZFgpt9q9ndvUkSrGci5UBX5zmXs+v1wri6TRI8qhJuggR7V0RqNksRR1Ve/fZrUBIc97VSYqqAe7/PH8XvDUqCg+AhPPPR3tVFgsMv+D/P+PejA0gwgouQdgsc9nOP+fqdQoILCZ6vul3eaw5JoJDg0R2sQoInj03TJHh0tWH0e1ZI8OQxaooEj742NNvDmZLgZnvV7t1nQoLb7XGzT6+TBM+0p1E8rt+znmf6nLl4XSHBhQTPRb0tfZ5nEigkeHQHtJDgQoJHVzsn96yQ4EKCh6WvhQRPlnQhwRNlMgokeFjzYS4+p5DgQoLnot6WPs8zCRQSPLoDWkhwIcGjq52FBPczNiUT3I+UBv9OIcGFBE+nNYUETyehdj8vJLiDBCsmUneRqjaGWKEFZ2spRlFakcCoS0DBG/sgVayMM3Pb6LM+KMTgSIAoyNRGP0bpmQpoKCRyxRVXjFK3Wu2LIj6Klyk2U9poSUABLQWUorDcaPWund6o4Ko4TRSWa6cX8++paq84v12l9dKqVMdAlW9ViUsB0EUaEZWVVVkubbQkYB+6QmuK0EWRxzZ6+LK/tYl6O0jwW9/61r6rvrUhrH6fCcwzznEOXL/Xle8VCbQhAVUEkc6oUNlGHzxTdVOVS9mBETBLbYlhwnONjX8qm5e2SAKOLbG/qo1Kv2UMppYA0Kli6rCPIRrlcVHhVkGcvMLrKPd3rvSNnsWZ7nOlz033U4Vl1ZP7PVKp6f60fX+4RrX0tddeu+2ulOd3kQC853i7QoKfeioBX0fbzIdMsHMUlRiPc8KK9hcJjLIEHAEEUDizuc0meOSorDjWpc2+jMqzLVW3JNqRB6UtkoCzUB3pkB+3VmQzGhJwBIqsi/OGS1skgRNPPDEFbD71qU8VkdQoAcf0CBDGUUY13nrO3sqxbI5/yiW1s00AACAASURBVI+8mbMvU0PHnRfuqKJnnnmmhruVW9QtAXvY4c9CgsdIsOzpfIhglSOS6p4q5X5NSqDsCW5SurO7d9kTPFl+pTr07HSqyatLYazJ0i17gpvRuLIneLJcS2GsiTIpe4KbmXt13bXsCR6TZDknuC6VKvcpEhhcAoUEDy6zYV1RSHAhwcPStTqeU0hwIcF16FE/9ygkuJDg6fSkkODpJNTu54UED4kEmwgOArcRO5q9AjLPSyyxRO1aUDLB3UVqL1/nvtPf/va31ctf/vJqmWWWmXIcLGtZbLHFUvGHaO73v//7v9Xyyy8//je/v/DCC+k5vh/NHtM///nP8/JA+NkqcCHBiyRIb+hPp+74zN4zS++WXnrp2Yp7oOvbJMFspP06iy+++AQ7+V//9V+pkJq9Z220pjPBDz/8cNqTbh9Zbm/YKj4k9nbSCTpDPq95zWuSKF566aXkV1znHksuuWT6PFrYp7hvLlv2yd+7rYZScEqNCXtLtT/84Q/Jbiq4FL/zc/biht3TD9scouWf9Ro375jvx/e+g9S2aJMEGw/6aixe/epXj78ifbVXOfcTw9TbpjLBlhFuscUWE2ySMaeDvQoj0Zv4PHSwl9zIiA147rnnks4HfvIM29ZCr8mXf6ZfcJaW6x59cj19rbPNhATbcved73yn2nXXXce74h3pfedc7ZyznX4h3tG7xbyMa8jDffNlns8//3y17LLLpq/Qx9///vdpruaY6Ne//vW4nH026N76mWSCH3zwwVRjYY011hi3d9PJhK2Cv/jD3F7pP1l0m2vmJhnH98mIH4l39Dsfa+tAzN/4W8jV3wepBVEXCabDcD29X3PNNcd1hz55hkKNMZ/++te/Jjv02te+doIdChxhPkWjH76nsdXmZ9zLfXw37tutrgD5kVmnbhqbv/zlL2ne5T7Mc/74xz+m8Q4/Yf57boyDe3qvXNZhI+JeM9HNbnO/kOAxqTSZCb799turAw88sLJPNwy0xx599NFpH/LHP/7xOu1yulchwd1FetRRR1Xnnntu+tAejT333LPaaqutktFX0OHwww+v1l9//UkXcxY77LBDdffddydHyjh88pOfTBPcz/fdd1916623pqqk1113XbXKKqsk4+FZjFZcf/7551cbbrhh7eM9129YSHCVqi+rTk932KODDjqoWmeddcaHlpPYf//9K7IaZmuLBJszxx57bLXqqqsmhy5Idfzxx1dnnHFGhZD5nfP9/Oc/P8nJNi2fpkgw4Lf33nsngIBcIqzeDyBQdXWDDTaonn766WrTTTetttlmm/Q39ooNevOb35zs2T//8z+n64Mw7LXXXgnURLvjjjuqr3/96+MkxT3tgwek3vve91Y33HBDtfLKK08SISKqiEiQXvui/U0/PPNXv/pV9ba3va16/PHHU4X1d73rXdVXvvKVVHlz9dVXT/1hPy+//PLqjW98Y88h+uAHP5iqbkd1doD1yCOP7HtI2yLBAKQaHEiG8VpttdXSWKrNcc899yS58ROqrQ97/1ndJNi78n9kzX9uvPHG1T/90z9VDzzwQNJXc/a2226rVP0PfTGAF198ccIm9EuxIPoB3KvQSkeQSuRwjz32GB9vc2C99dZLtjHwE33bbrvtqre//e3JbqrhELp3yCGHpL/7DtK30korJV1S0+Daa69Nz6mrDUqC77///oQT7r333kTS2BGkTfVu89fnV199dSJq0cxL8njHO96RqvSfdNJJ1Xve8570fkgwO6gf9Cwn+Q899FCaiznZNkb0jy9xTwEMhAPRO/vss9Mj7V81HmTmlBHj86UvfWkSye4lw0FIsGeo4m7OCGgI6F1//fXJzsBK7IS5A1PlSQp7/ukOPfrud7+balYIPJ122mmJyJEZosg+5g3JvvHGG9M7avZ0e96FF15Y3XXXXdVnPvOZ6gMf+EDyK7DdEUccUf30pz9Nflc/ETAYz6kr/daDqIMEkxNsyoYKXhhn88x84ifNMXp08sknJ4LO/npX+mT8d99993ExPPHEE9Ull1wyHkg1fzfZZJNkpwVnkFmnH/jZvc8888x0L42M4RKNXhgHOmzuwSzkZX4dc8wxiQDzQ/43ljkRNhfdi4/Q6OOnP/3p6gtf+EK6jzm8+eabp3FAhI2LwBm/QG89+xe/+EXSCfeeTSskeEx6TZHgAHKMXpBgCo0c+dsuu+xSASl1t0KCu0v0hBNOSIbCJHJcBEOSO2mFQziDzqiqQIVJbJL6jCFhXDhfESpjy7AC6UCeJrJrnP077LDDkvFiTLuR7LrHf67dr5DgqsoDNMAARwYwRQN4OPWFQoIfeeSRFLEXFPDuQK9j38wlTlzbd999EygcdoatKRLsPZGnOLIBCN16660TwCUHQVOkAOhVrRu5cZwXgIAYA77kozANewNYdtqy008/PREXIDE+d0/gAplmExGHztZJgq+55poEpNzLsxE848UennLKKQmkI9QIH2CpAZSAt8xdr6wcG3zeeedNej7yj8CzwwgBWXRrbZFgZEwwAZnRgCukhUyMK3B6zjnnVBtttNHQj9SpmwTL3AHAcBOQbFwQLECWD0TigGhAF8COtvPOO1f/8i//kn5FWPxOF374wx8mvdUQsKuuumr8miDBCHZkjuiWAkzrrrtuCpDQF3rhXuyoAA0///73vz/piqZgmmfyz51zYqb+clASzE6ZowJ5gggycPoKXwD07BtcyKYFaUCKkXnEwvtJnngHpOzf/u3fUteRBvM3lzUMyH7kJBhBdQ0SIkgPj2j6oCilObntttuO+x0EBhnxPLLupw1CgiOTi1jCYWy+5wtWuA95CZwhuoq7RaMjcBU9Y4eQeAFA2M24a2Sq33mWGOliu9lYTWDFagbjwZfQjyDb5GFOk+Fll102fkSgPiN9gn45duwlmzpIMDKo7+wpGw1bsrsI4HHHHZcezWcgwgiruUInNAk4/Y+GGBtXgSWyQVRl1fmXRx99NOkdf+J/81ITHKUb+cpGPMa8px/+Tm8l/NgA81oQjC/YaaedElnPffQtt9ySyG2QYPbRdcbm0EMPTb7eM7Wzzjor6b7ghnEP+yF4A0t75myO4yokeEwzmiLBDDjlMemCBCNg/m5iO7oA2K27FRLcXaJBgi3HOOCAA1IEMW8cK6Aikp03hufSSy9NEUAOFChlmETnNBNRNNw9gwTLLLsPY8HoAJcMl8xLaRMlUEjwIlDIWXHKgLKWR08XGgkODUGgZAOAIY4b6AbqNRkCJMsqjWG2pkgw3yDS/uUvfzkBHllWOsDOILX+jowKvgGAfkcCADekxNYagRJAgd0hu9zGsWNWoiC5Mh9sGR+EDAMsQBXQPAgJRtKBVnMYYJEJ4PP02zu4N1CjeT/gxyqcPNuVj53+s7P64/uqzMoAIlnmRmTGgK5urS0SHEu4Y856BxkM4C8+s6JB0CIA6rB0tm4SjHQIoliRAdfAN3RrrbXWqizlt/pJ0EIQIH9XuhqZG3MawfBPIkD2VlPV27yONh0JFhATnOZ3+eCwm4hyToLpEyKHuOZL1WczBoOSYJlHJA/wloHU9NM/zQoC+g5bxEoORAHRi9UZMAwijKBFtW/39f558GAqEmwOGSv3gEeQ8dDbnATrE8KF7PSbrBmEBLNRSBobZV6wJfohCID4IFdkwh4hZtHygDEyL5kk8Ef3Ak/TIz41t2VTkWCED3EmawG2WK0hcJeTYHNZwIadypcl99KjOkgwObElyKQsLb0OexrjZo6zOYKc+hZHMgmO8BPR3Mc7mX9ssEAA2ZI9u80fGBO2XOCBj4ggE13oXMUiiytjzybA1WwcQg4La+Qp059XUJ+KBHs+e8KfCfSaq94RCTY+3j+aoJH+BZmeyVwuJHhMak2R4BgUg9m5HBpxKiR4Jmo782uCBCMUoqBAWt6QYNFERodBAL5iKaElMzkJ5sSAP23HHXesrrzyyrT8yN9EwI0twx4ACLkuJLj72BUSXCUQCcBbQgjUIDaWyUVbqCQYmJYBAYyAJTIJEmyucZKyIsNsTZHgeAegE1BgQ4Bb0X5En8MWXAOaEQrLFAEyKwcuuuiiBDhcA5QA0QADwhx6xBaRpyVvshjAEFLiOo3tG5QEByCzvFX0H7hC3gGpThLsGZ6rD732GgK0kb3zfVkFRJIOyDADQ4BvZME6x70tEhz9QGCARyA+9iaGD9BvYzLXSXC8q+XeCBTbRP8Q2ZwE02EZz2g5CRbECBKMsMyUBMc5rO4nUAb8kz97MWokmBzowIc//OEUKBBYpw+R5exFgtm5IHO9SLB7yRpHm4oE+w7yYt6zHfwNPKp1kmBZaFn9Jkhw9BVpMp8Fx7wDXRqUBLNx7FmQYP1FgvO6EVORYH3BAywXJzsE0fWW3eYk2PfoMUImkDBdq4MEewY9p98wpTEjpwjmwJ4CoPSKbZHVDhK82267paXj0QSufBeZ9bMMrPe01JgN997sLCws4AoH+5ux8R0ZcNnjaBI87Dm77zuytbMhwe4r2w5fW73hnpawdyPB5IEgFxI8nRb28XkhwX0IaR58JUgwwiGKKnqYFyszmRhBWQdtyy23TM5Uy0mwLIoW+0J8B3iL4huWlTA0AJylY1ohwb0VaKGTYAYe8eF4NI6F/nAASA1nu9BIMMfKUUfRFsRPRlRUmpPWrK4gm373Z9VlwpoiwfTAMi/gBFkUDReEA1JF99kXUXsZccv/7PWKpX0CA5aSIYuW62mCcogAMKEhY5Yeyv6E3QOcZFi1qUiwpWdAh2W97iMDZ+mdzDJ7GNle94llr50kWN8sF7ZNKAdS+bjkRCn+zl4j1pZACjDK/AFu3VqbJFigG5iPJYrel/7KZiI9fAGg2S+hqEtf684EI3L0wNJn5EPQRVYUmfX+gsd8oCxTfl6zVQ7ImmZfegT+6Jal5BoSk5M5thD4pmMB+u29Bu6ttOKvw27K9pob9BSRykmweYMcyIq1sRyaDpjHtg7YO8meAfcyZ7CIrCebJ6AuKxnzE9lCLCw7JQsyhzf8k63TzF+6Fxllf0Pe6FvI3/MtTbWKjb+13DRsK3nTT1nDnASb5wiWjGcemJpKLwfJBCM7GvxtbPUX8frBD36QVsSY62wXmdClaAJ/8BQb4r3ZLRlORD6CLuRm1VAUAnMtXEdmkcFlX5E3+kSGgqkhd/UoZDMFC3ISbOkwvRPs6aeobR0kGOmNwpj+t9yZnstYG0/6TEYa30jHwieyNZGs8bmtfFYVWArtXfhPMoB17cWOfc/6LfASAVXXCkb6Dr9MNyztV7ck5hP5yVZbYRDbDo3NZpttlvoULQIuMee9H3sOj1vNwLfF0mvz2LX8XJ4JFhQwj/ybqsbEdDa0ZILHJFRI8HSqMj8+DxLsbUSrTDxO2yS2jETGnsPp1nISHBUF4wB0xkIGwP1kbES1GQRgLRxNIcG9dWihk+BYugqsWtLHsXNKyAISxEmI8HJCQNAwW1uFsZB/czEKuchQmrOCTTInHLlsATJWF6jtV65NkWDLySzZBFpimbclX8YfcECukAHAEDGQiQPkgGdyAZ6RSCtW1CgQ5Sc3pBd4AvCAEtk7NREAXGCZbdOmIsEi8zIk7Bi9FDAEVoEVugp8ehYC72dZwCDBwKdnA6+ISQQZu8k79nhGYSxgC/gHzsnCPckfcOvW2iLBQCNdFIhAKPRbFsVYGBuZGcSDXAapdt2vTk71vbpJMPtkDvJ7yAr9kjHkS42zgAVAS8esaKF7ZEFfBXMAb0taEWhji6hZwi+bK+sYRZq8EzkKfMlAkS8CLshiO5kG/FvVpViUAAMALdCDAAHZ9sl6Ph1HfvJlmbOV7SDLoemzJaf6QX9lfZFSpMP8RdAtcyYj/fR9sjSffKY+hMABEuJ79taTkwACkoH450tV6aPP2EzZUCtKyMXqEauNkAv/k69n8ivwj7HzdzKzRxfZEpzL94NOJbdBSTAC493c3/YNffSOVgkYV7gMlqIzYcMEUqwkoQcK6dEje1rZRzZGwEOAgX/IG72lr3SHfAVPyEEf6CVSLbAaNRasomFrkWDPjLow7DHS3Vn1uJtc6iDBgmlWESKI5gtiq2903DuShb74B5sKJMFUdILfQPwFnPhJOku+9jyTteACmbDZSD+ySZYCNj4zp707e0tPcKXQTf5DEIcszF/3trJIwMYqA37GGFrtkNeAgJXpJB8v+MFG0ht+AYnnk2KVJt9iW4XrvZfn0FnPiiJmeSJr0DldSPCQSLCN96J9efTbQIsy5RGSQQew1/fLnuDukjEZOZ5wrgClyW1Scdax3Lnb1Rw0ZxOA2+QX9TIBXSdL42+MKoNjXBnoaByLyN1solZ16ceo3Wehk2DjIaBCDqLjAAFQIlrLGYlScyiWmMZxBsMaw7ZIsPfj6BRxkVlCiIFuYDiKochixj7AYcnDc5oiwe4NeMbyZT4DmQX+gFk2iAyAETJhv4AcPwMxlq0B1wAv3yJ7A+jZTyyYIEAHwCiEY1m1AJ3sOtKmuZ/IfrelyjJJ7gu4sHkIb1Qvt1fMMr0ANYCPo0uALH8HzjxXf6Zbug7YA0nR9M1cYKf9C38JNHUDP22RYMEIMo7mfb0LQC2DTX4CAEBdP+C5Tn2umwTzlwIS7oto0iG6BPDziUC7VQIIqbG0x1dwA6Gje1GJHCnUyI1uyy4jI53HFeY669n8auiBe7KbiInVE/oCWJsXUUiNvJEovj90vQ75DkKCPc++SSQLQZPJjr3+SAZyn58WAvjH6grZPgWNZB4RFnIy55AQpIdeIUl5i0wdzONnxYOQnCAj7CoipdHJCEwh2OaVazwPWRokaDMICfZsOBhx8kzPlmWVoZRAUOjJ7zKA+k23+EByFBChW+pn8AOaOSjIBKOxQd2wFnvEp2oCJ7GdQwAS8YrlvoimoAC/7Fl0iEz0J89UTqdHdZBgz0DgBVD4AllqZPXUU08dP4JO34yh4AgZkAU9MebsuUCT6/2N/7RKCGYlT/6Dv/Ce+kvv+FX3pKvIMF0wh80fqymiSrOALZ/F98jK4jiyzYKmCHvuJ0JW7mvOC0YYd6uJ+CYy9n6Wb8u0+52/EMiiE5JYoZuex+fNttJ+IcFjo9J0Jni6iVL354UE1y3Rcr8mJVBIcJPSnd292yTBs+t5c1c3SYL1GvACJuI84ObeZP7duS0SPMqSrJsEx7vKEiE9C7UNSoJDTohYLF+db7IblAR7f9lWAd9ByPZckVtdJNj7CnwICA1aDRnppHOy/P1UtJ4rsq2jn4UEFxJchx6VexQJzEoChQTPSnyNXlxI8GTxNk2CGx3QeX7zQoInD3BTJHieq9K0rzdTEjztjefwF2ZCgufw607b9TpJ8LQP6/EFJNjqxDpXQcy0L6N2XSHBhQSPmk6W/ixACRQSPLqDXkhwIcGjq52Te1ZIcCHBw9LXQoInS7qQ4IkyGQUSPKz5MBefU0hwIcFzUW9Ln+eZBAoJHt0BLSS4kODR1c5CgvsZm5IJ7kdKg3+nkOBCgqfTmkKCp5NQu58XEtxBghWxmA9LBlRJtAcgL5nfrqqVpxcJ9JaAwk8qUCrC0WZTfEGBEUVISlskAQEKRS4U2yhtkQQU93nTm9409KOZivynl4BiOgpo5UfzTH/V/P4GHKBYlEJrpdUnAQWDFAGL4kr13Xnu3kkhPpXB2cfSqlS4TIEt+3lLGz0JKCam4vRsC2zN5s1e9rc4SX42d5nltVEYK86hm+XtWr/c+n+V2VR9K61IYNQloHqtgg+LL754qkjYZlNxUqXTOKKlzb6MwrM5cfbEmY1tj80oyEMfRPdVK1XMpbTRkoB5qxJzv0e6jFbvm+mNyq90teCBeuXLLrKJ8yFxUpdknG6gkvCwj62rq/9N3CfOCy/+swnpzvyeqk/TV8nPQoKfeiqVp1cmPT/GaObibfdK5cWVNi+Z4HbHoTy9Pwk4xkEm2FEIbTbkxrEJzj8tbZEEHBshE6wSbGmLJOBoEpkOulLaaElApVnH7bS9qmSUpPLZz342HY3i3OjS6pOAc7kRHGdYl7ZIAo6vkgl+85vfXERSlUzwqCuBitlWzRYSPEaC//u//3teRPfLEUmjPvVK/3IJlD3Bo6sPZU/w5LEp1aFHV19LYazJY1P2BDejr2VP8GS5lsJYE2VS9gQ3M/fqumvZEzwmyXJOcF0qVe5TJDC4BAoJHlxmw7qikOBCgoela3U8p5DgQoLr0KN+7lFIcCHB0+lJIcHTSajdzwsJHhIJtk/J+nP/otlPotlbVncrmeDuEiXzTnn3Ow7G8O/+7u8m3LjbtXEmm+fk4+3Cbveoe+zn4v0KCV40arHHzH6qTl2jV//3f//XiL2YSmfaJMExl8gi32NGDuZSW3vxms4E24et2SOft057EzrBzoR8yCX2s/u8U5dCpmGbOq/1vE7d8zc1JnKbZgxcG9+NMcmfF3/zvW596aZ38Y75Z4P4yDZJcMi2U+bk4LNB3qNOO95UJlj9BLUCBpmb3eZuL7mRQTd/2q/uxR7MkH2nP56tjGdCgvXdHu2lllpq/PFTvX8ug256Za73whqdcznHP67Tl07bap53sw39ymommWBEUT8696zrSzdfGFgq/GE+rtH/bnPN+3tO2CwyCLuU3zN/ZsgpbFinvKaTS50kmF/Qj1xOM51P3d4n3jX8aqev6MZX4ppBbF7n/PUc98l9mO/k95zKb003BlN9XkjwmHSazgQfcMAB1QUXXDBerMOepb322qtacsklq5tuuqlaaaWVZjOOk64tJLi7OI899tjqzDPPHP/w61//enXYYYelcdh7772rgw8+uCsAdME111xT7bHHHuNAhkGyF+hXv/pVdckll1Qf+MAH0r5WgMN9VSc97bTTxp+F6K2yyirVBhtsUOtYz4ebFRJcVcD7u9/97uSUd9ppp+q8886bMLS2ahx33HHVpZdeOtQhb5MEf+tb36o++clPpv1ll19+eZo/jz76aNp3ppK3vcpbbLHFUOXhYU2S4AcffDD5Bnrwla98pVp77bXT+33729+u9ttvv2qZZZapvvnNb1bLLrtsdd111yV74ztf+tKXqqWXXjr9f+KJJ47L5Oabb67WXXfd8d+fe+65aqONNhr/nd2L77Nj2223XbXiiitOkun6669fffe73x3fO+XZ+rD11ltXTz/9dHXQQQdVP/vZz6qPfexj1UknnZTAmroUhx9+eNdn9Rq0zTffPN0vmr2sTjvot7VJgi+++OLq7LPPrtZbb73qC1/4QhorPuHDH/5w0tvwE/2+S13fq5sE0024Ba5ZddVVU+X41772tanAzLve9a7q97//fXX88cdX++677wSCzFeq+wBvXXjhhZVKwpp57PvvfOc7q/PPP79afvnlx19dkTP79uh8FDuz59R+fHrvnir66xO7cNFFF6Vrfce/aPp61FFH1VrzZVAS/Kc//akCuh977LHq3HPPrfbcc89kx04//fSEL8wl9QY6W7wLOZx11llJ1ubIIYccUv3iF79I9/rQhz404TJzkWzIJJp98p6jqRdz1VVXpXnKtqiJo+VYVFXja6+9tlphhRX6VsVBSfADDzyQdALxuvrqq6u11lqrIifvqX877rhjmlM5qaVnxxxzTKpTkduvu+66K9kf7e67707+Im9rrrlm9Y1vfCNVa9bYWs+kiwIT9sx/5zvfST7Fs9UHIkcVhKOtvvrqSff7LTJXFwm2/5ycFLgzJuSk/sGWW26ZdD+fT8ZYHQDzCe9Ybrnlxvv/4osvpjnqf833zFN6SP/cEyY+9NBDk+1aZ511xq+lB3Q+b+w7O2+cjJlxJLNPfOITqYAk+eb+xrX8Oh1+xzvekW4F25gDrkeGjYM6McaL36eT+vK2t71t/NF+9tzOQHHfijr2xUKCxwTRFAkWzTjiiCOqW2+9NSmGifPEE08kZwgoiExRPIP5xje+cdDx6/n9QoK7i+aEE06oTj755PQhwCKSDbyJ7jF+CqPtv//+ky42OR2LAsiITjGYKgjTG0bJGHNU7skhb7jhhtX3vve9FO1lABjUc845p/ryl79cvf3tb69tnOfLjQoJrpLh5zgQEEe8kAmiEY2jQIL8fZitLRIMoABngN5vfvOb9L85SkZAvfmHLLKdwy5m2BQJBv4ANKTASQVXXHFFsikKHRp3ZPWXv/xlIh277rprkomiHi+88EIC+I4aA0oE3yI7gjjkGXNgCbAJO+Qz8nON9/r+97/fNSj7+te/Pj37Va96VVI/QAu4QkaARv5sk002qZBupPWMM85IRdXYS0CDjWUj9VUferXof2SzvUc8k73WBC17tbZI8G233ZaAmuNyHnnkkQT0+BuyYfsFcgQY+IBhFw2qmwSTMX0BQAWOjTlSAvACrHRLwBmxzUnV7rvvnv4GTCMvwDzwLbgn6CfIQo6f//znx4cXCRZUQJaCBCNwCLTgzpFHHpmKoCE87MOdd945jq/Ini9GEugnAgPw19UGJcHen1wESLwLXUfWEDxEC5mFH5CUaHRJ32EI8kJ+EYbNNtss2Qf+QvCU3NjEaDAgss1ORENQEccf/ehHybdICLA5bAd8Y67SXzaVzNidTTfdNFXQzTPXU8lvEBJsvrBzd9xxRwquGVck9fbbb08EikzYDETPv2js4MYbb5z+Rv8ESiUXDjzwwDTnvJM5d9lll03oKrmycauttlr6uyOu2Ey2iowFX8hL8IBt1Q+Yjz5GcIWOGQeJjm4rZjplUwcJdo/3ve99KUBkPphnyCE8IEBAdj5Detl248lv6L+EGyIcDZmGJYKAsv90URCFXNkm9zSnyIHNleChD7ktZp/14Q1veEPSPxxH8Mv8ojNILPlIBulHfpIC/2XcQ8/1B/4xNnRasTlEHM6GrR1hRFf4e7LXvIcgEgw+m5MACgke04ymSDADJuLBGAcJtlxDo3wUaZdddqlO60OR2gAAIABJREFUPfXU6i1veUtdtrkqJLi7KIMEGwPOqDPbZkIAm5Z45Q0gBw4RZo6CoTbx3IeBYvgBNYYzjOXvfve7ZFQd/2PSO7+S4yqZ4MljU0hwlc7w5DBkVgTLBGTYjmgLjQTHeyNeQBuALAsOrEQgC5hceeWVUyBxmK0pEsyWIBCf+cxnEvBfY401EvDwzoDI448/noiHFSgi+YgEQOxnIFYWGLAGaJxLKZKeR/IBGXrmGe6LcCMJiAhiA8jstttuA5FgAEgWANGSnWAXvQd7iATrL/KnWT0jeyyo0WljY/z0HyiNpawIOjAF5MnACCx7Jp/ZrbVFgqMvTz75ZLL3gKlxkA2O7VBApcAOPzLMVjcJRq74Tr7NXDDmAvr0FXECeL0rAJ5X/EdYJAA0pA3Yhb0QvwDlwO8gJJi+yP7RZboWxMqcQejivnScfsJGdVWCHZQEI20yb/ADkqKxZXCJJkCEoCEeQbA6iRvbIJBAjlHtm5ydaCAQEW0qEuz7+oB0kkV+nCbbwg5EQ2D0yyq4ftogJJhP874Iq4CG8WGXkDBYih9ErFTiN67RIungd0EBhI1vuP/++5NN1PRXUEHwLtpUJNi4INZ0MWwYovbTn/40kWnkTKPngn2Cw0Gmp5JLHSQYFhAQ8N6SZRHAdO/QZWReMzf5Q3ZdY+9znMv+mHealUPe1+og/3tHPyOxniNgF9s4BR4R8W5bAq1GENj0XDIUINBXDVGWtc1XbE1FgiObLBllHMxb7xinhyDX0fgAmDoPGvWjo/l3Cgkek0ZTJDiiJwx0kOB8ADhszsCA9xNV6neACwnuLqkgwYyKiFVnVk10mQHuNG7GEbnlxIMEu14EPJavWkYCqDHIMiQitwxyZDQiyltI8OSxKSS4qp599tmUAeRMBMaAuPzc8oVKgkW9AWtgyM+yF0C9JiqMbO2www79msZavtcUCWZLvCdyz97ItgLybArAIgsO7DqHE+BAWIEXtgfoAfxcCxSwO+yRLBsQqSGQ+o5gI6GAnCxUgHBgVCak2/acXplg/bM80bM8WzYCaJQ56iTB+mC8nnnmmZ7ZXKRFwFCLZbdAH7Ar4AHACWAi/d1a2ySYjgqYApJkIxAahB7ABOIA/GG2ukkw3aJzcItgC2DN51mebK4K8BsvYFeWLpqsLT3REDGA3T/BvwD2fs5XwEyXCX7++efTPdlOduCUU05JwUMELyfBdB/RQlxzuzqbcRiUBAsawAzmseCADB0SHEdZCmaZq50kmJ2LOWmuHn300YmwIDiaICESSPeiTUWCjV+sqkF29AHB0TpJMJ2FUWXh+mmDkGDzQpZZQMD7GHf94PsQeiSITLw7GxNNphOe0vSPv5QxpnuxHFp/rVbIt3ZMRYKRLUvR6ZKVCmRONuSYk2DPRPBgO0HG6VodJDjeE6H0T986A7/GUHBE32DT2EbDR9hWE02W3/uZA+SFd9jqApfGOwu4WnkhUy6gxffwO/SATc8bcsqn6JfPkGWrYGTlNT5M4BPZjDYVCRZkCLshgOu99K0bCbbqAx4vJHg6Lezj86ZIcDy6Gwm+7777kvHiEOsu8FJIcPdBDxIsI8GI5cbBFSa/yczIMg4mX0S0kJOcBIuQxX4b9wVATXaOzYS1PEvEPwAQgAmwFhI8eWwWOgkWiefsORv6IvpuXzCAF3uPFioJDm2xpw8BBkgQOw3w5aTJapitKRIc7/DQQw8lwiojZm+WgJpMBUIFDCKxgLDVQ7JLgIOllmxXvlTYUj5LxgCaXo3sIrouADgVCZbljMwDwERfgdbQXXocgFwWoZME6ycCL+Bjr2+3higBuBE8ZIfZWn+zlcj15kXsbey8R9skOPpjXPgXAD6KfcmosXVznQTHO8rCImICMJbAy/bInAUJlm2U2Y2WZ6Ws7JAYcJ1lnXRay5c8+r0XCeZ7gWQkKuymDKZnmD90OSfBdFOAxTalfvdzTmdTBiXBcT+4wGoGzWrBCEJZ/ol4dZJg5DDInO/G0tEgwcgKIpmTYDIwXxDEaLKJlkNbpWaFgrlFfgiLpbCIUycJ1j+Bin4DjYOQ4OiX/psjiLz5L5PIxiPBZOLde5FgtmDnnXdO2U66lJNgARGBs2iylHyG1VYau2iOsi3uA7+xu1bcIOECbYI8OQnmn618iS0O0+lIXSQ4dMV4sX0IL4xJV/gjeNY88L95KauuwaVscbcWqyOQViSVvtAJS40tKe8kl/wPH9BtH673FMASRECWzWmN7vJJ+b5qK3oEYfPl0DC397BKCEln/wVD+Tl+EGkXOMozwX62fBuJn2krmeAxyQ2TBJtkIvAipZa2NNEKCe4u1XxPsMghAKcgBJBlwolsi2p3azkJZjABco5W49QYbcYT+GEkIuMSy1IKCe6t6QudBHP0nBfnJlPGociscAiWVCr4AYzQIUteh9na2hMMrABGsqBsJmcoQwAkcYqALAcvej/b4hiDyrMpEgxsyhS9973vTWSTDPzMPgGE6gvIfCC8ii0BhwJ3MkyCdZaHsXEAoe8jGmwU4KvFUmJjai+Xe7kugoFTkWD3pYvIivsAOTKM+rnPPvskog6EIS2yf2SEBPtcHzXBHfexbLFX61y+53uClsZaFkMmWECgc79f3K8tEmwJtyCnpZIRlLCXTQYd2AawAWsgvZ8M0qA6OdX3684EA58y/XTVeyMVSBc7jkTJZhor75lv80KkgGI6YZzhH+TGqge2zQqtAMPxPsCwe8qWhmwFETzXvBfkoWuyv+wmEo28CEYDuK7RLNk0HmxIXW0QEszGI2QIKAKjn4IAAuaCB2RFfjJbeVDPXCFLcxNGIYdYcSETRgbml/mQr+DwHISETbClAHlBdBEiOEeRrSimZUzIz32QFUXINERI38gtVpNMJ7tBSLD90PRGMTw6Qa9kOC2lt4SWrWGbBDpzEi4gSn8klyyflVhgJ80v70tn/JzvhdVv8kX8+BTNknJL+JExNtW1SBX7xk55DnsTGVjXkCPSLdjXT7X3OkiwcWZDjA3bYumz4IZ3gUPpewQV8QrBBHIROCcH/Y/mHemXeSl4yY/AF1ZJWMES40BX2WvPIWf6S1ben+8lI9fC0XTDCiZ2XyDGnEOk6bJxoU9R1yFkqJaFYA7S7fn0gC8yZ+mpZc4avaeXfJ0VFHRRixUCU22tmU5XfV5I8JiUhkmCKZEIJsAQjTOJ5Qv9DNx03ykkuLuE8j1JnC/QYvICmQyGselVAALwdj3Dx8jKhEQEl0NmRBlsE1sknFMT8Yqy74wP0i0aWdpECSx0EkwaloMBaACLrAXiwjHRMSCFExJh7ay02LQutUWCOXuEN7YccIwiwYALx28emnN5EaimZRH3b4oEsyuIASABHAB6gAUSqACVLICIuAwbUCBrq14BWQmOABxWGJELu8OnAJYAC1BEv2Qj2SAZDQANuArw7DvumWdP4p1lbwHiOO4HIEFG2U7zV8YaIPcOADnARncAm8i8ySQogjNV0MKy2CiA5dlAGSIg0OjdACzP7FzFE/1siwQbA4CKDyFb/kFAlHyBOD4BWDSHh13IrW4SjByxTYgW8A2E823eXfbV+/Ojxou+yTTK0tKH8I9kQ899F9D+8Y9/nII5/uYeeeOjI5hMvxCiIDhsowAZosRu0nc6YhmleRqy9rn+5LhrtvZiEBLsWYgB4oDsm8eCXsC8TBY9lzGz7FSfYQqB9VyvkB5yRA6RAfaRXpmXYTPincjJs2RZ2QJkm60w19kTmWhBMI1sjY17mZuyxJpnswnsSb/HSw1CgtkS7yjY5/5shZUDkgy2VbCBVn5YOk/PkDfzXrJB/9kVdhCJ0neBBUUl6ZT7du69j0rjbITmGQLPrqV/dFgwwPWuFZCxsgFJjhU2gotIXWfl6V66VAcJJid+DkbQNzgUubWywdyIJkBCBjLVxtp8Ils4VyCJ7MiZL0HuvQucgeTSZaSfbtJHNp3O8AXGwL3IWdIo9u3TXWTVO9IpgQHfR1ytTDB+lmazP53Hw/JB/Jm/ywqbm+YEm6I/MU/NZYEb95cYiL8bS8GA2PM/07lcSPCQSLCBFQmmFAxZ7uTDYcymwlmnAhQS3H1KkHtnZVET0RhM5xyRZIY4n8yMNQeTV2X0N85DpiVvns3B1DnOM534o3ZdIcGLRoRhp490JPQUsAMkOaJhZzz1qS0S7NmAHKAG7Hj/aOYSp2iO9QvO6tT5pkhw9FEGF8kHFCKIFnpAL4JUAkdAkN/zQlNkA6AAs1GAURAldApoYc/YrZyQAUB0rxdJc1/34cf4s1z2cU9AJvZcul8UtGFjO21itzEx3rEUOj73LDYVcPMOAJlndKuj0RYJDtLA/huLPPNhLPQ5P6qkTn2c7l51k+B4noyi4C7CG2NBr4y5gAf9YNPM13h3+kNXZMjjGmNLbvxrr/26oV90o/PInrCbZB4ZsVz3PKcJ2Q9KgsmNLiAwVpYFFjCP6X1u43Os4v3M83zuuxdZk4v5kZ/VnOtDzCf3zpeBm48CW8Yon5fxN/fI5/J0OhafD0KC4xrkSpACoenUiVwmdIRN0+fA0XQvrzwsM0gWeUGsvO9hR/2N3PJsbuiR+0UyxHPYnThXN9fbfmRSBwn2HOOFKOp/LKXPx8p3BFLYns75FEcoWa5Mh+JzhD8vEke+IZd4N9+FP2CPKNRJHiEfATE63TkOvqOvnX4il1n0v9MPxXzw3dDN+FuMQ+dc6Gcsun2nkOAxqTSdCZ7pAM30ukKCZyq5cl0bEigkuA2p9/fMNklwfz0c/reaJsHDf6P588Q2SfCoSrEpEjyq7zusfs2EBA+rb209ZyYkuK2+DuO5dZHg2fQVCRZokAEubaIECgkuJLjMiSKB1iVQSHDrQ9CzA4UETxZNIcGjq6+FBE8em0KCm9HXQoIny7WQ4IkyGQUS3Iz2z4+7FhJcSPD80OTyFnNaAoUEj+7wFRJcSPDoaufknhUSXEjwsPS1kOBCgqfTtUKCp5NQu58XEtxBgq2JH3bRiiZUQNVBZ22pQlhakcCoS0CBA/vIompjW/3lsBSQsCczjrZqqy+j8lwFWFT5VaG0tEUSUIRGgZnYm1XkMjoSsLVJlVNVg0tbJAFFouzvjOP+ilzqkYBCQPbu5meg1nPnuXsXRZkcOeSop9IWVdhWVVnF69JGSwL2F2+33XbpSK58b/Swe/myv40A2ow9wTZ3t1FopW6h25BuQ39dh8LX3b9yvyKBXAIchYInbRoi/WGKFCBRzGEEzNJIKIliSManV9X0kejkkDshWKKgSl6QZchdKI/rIQGFXBS4aaOI3KgOiiJRcE3BA/WOED3jt0qxy/8vVwWRFFDqVair3hEY/bvBEYqT9SrUNfpvML97qBApnW0Te44UCe737K9RVwuHXjtbzNEEpRUJjLIEgDNnMyNbjr5ok3wKHDmGx/Lszgq1oyzDJvvmSA7HKDj2ps2xafIdB723Mw5VqFXNtMhkUOk19322RMVRx51sv/32ZWyqKpFfx/shwI61Kvpaj/6R68MPP5yqpTuiqMh1ka45Zscxb/1Ugq9nJEb7LqrCO/LLMU9FR0ZrrOIIJ/izkOCnnkrnXyk5Px+i+6U69GhNttKbqSVQ9gSProaUPcGTx6YUxhpdfS17giePTSmM1Yy+lj3Bk+VaCmNNlEnZE9zM3KvrrmVP8JgkyxFJdalUuU+RwOASKCR4cJkN64pCggsJHpau1fGcQoILCa5Dj/q5RyHBhQRPpyeFBE8noXY/LyS4kOB2NbA8vUigqtLy45deeqnaZ599WpWHPrz3ve+tfvjDH7baj1F6eCHBhQSPkj5O15dCgodHgi3vnA81VKbTqV6fz5QEz2e5lUzwRG0pJHims2s41xUSPAQSrHiC6mMf+tCHUuVpBvAHP/hB+qeIx1577ZUK8dTZynLo7tKMcfCpPZ+qAP/kJz9J47LmmmumvT0K3nRr9913X7XJJpuMf27p/Fe+8pWKkVt//fWrLbfcMhUju+mmm6pf//rXqSKgSsOaMb/99turVVddtXrTm95U51DPi3sVElxVzzzzTKrCbJ/KP/7jP6Y9jXmjZyo0f+QjHxnqmI8CCf7d735X3Xbbbal6uFU79igr9mMPuW0sw25NLod+7LHH0v5r23IOPvjgauWVV0626oEHHqjYIEXK9t9//2rJJZesgHABm9e85jVJFksssUR1//33p+rIyAnfs9tuu02o1Krwm/5HMZ/VVlut+sAHPpBE6H50b5lllpkkUhWGjz766PHr9MVz11prrcqpCuyeIBIbt80221SveMUrUt/uuOOO8Wt85llTEafzzz9/3Gb6wTMGCY61TYI7/YTxuOf/sXcnwJZV5dnHt4lEMBoFQRHFAaJQiIjzhAoaSBkKcUIGI444MsjggFERmUEUQQZLBhksjQYVFIkTxAJiRAEn1IhxnoKWQyYTo/Gr3+pe99t9+ty+59w+557bvZ5V1dXd956z917/9a53vc+7hv0P/1DGGOP9s5/97LKffCnLpJdDs0fxi+vus88+5Y924qMuueSS7pe//GX3iEc8ooyJ/QOS7Ne+/PLLy7YzycaHPexhc3aH26abblpOa/V3LZiddtpp3cEHHzz35g5jKTs1lrqmtwuwdf8XZ/GhV111VekL7NzzbrvttuUUZ3Y5qTKuCHbuBR9/0UUXdcccc0z32Mc+tjy3PYm33HJL6adOVx7sH3yfN35svvnmhY/93fqcN4DwgzvttFPh3S/f+973ysnVD37wg+d+fO6555a+JB7xXffEg3Ddaqutyufe+MY3loOtfGajjTbqnvGMZ4wVn44rgv/5n/+5e8c73lEOsnOGDQb20X784x/v/M7/+ba+HbEzdvTjH/+4tKs4C7Obb7658zYDn7X/fbCf8S38YT2kiq+wr5vNeDvFhz/84cIVZz/zTN/97ne7Cy+8sLvDHe5Q+PCx7H3Ug/cmJYK1lXFBPV/+8pd3W2+9dam/mJZdeVOBOFS74uZz+gH7es1rXjPU5NVdX9tiiy26W2+9tUxG6G/iXH/0G7aHq/o7L2XYdtEa326zzTZlvML1yiuvLPHwnnvuWcaEfrnxxhuLjVWbw8jZI3vttVe5vzM31O3P/uzPynhBHxn3TjrppPIzhd2KB+r/F9unI4JXkpvmcuhXvvKVJWjjxDgVAlVAcfrpp5dDFQQWfs9gJ1UigoeTdGDDscceW355wQUXFAd4yCGHFPY6oY4+7NUaHIHBwOBOJAv2BI9+bpD1b52WE3UghAGJk+acOWKD3O67714ObHnIQx4yqWZeb64TEdx1L3zhC8sgI7gzsBE9gpZa+AriB6ulLMtBBD/ykY8sgYv+tffee3evfe1ri1DDi+9c6tfaTUsEC/4kz84888xyUMeLX/ziTsDAnwvEBKiE5fnnn18CAgEdvyVw8/obgb/x5sgjjywmIojZbLPNVuHjezvssEO34447ls8Iaghq99l55527r371q+X1T4MFf4FYDQa9JkqwuOuuuxbfJoDVToJX1zjllFNKwC8I8xlBmeeS3BEYzVcI/ze84Q1zh8jwt+owapmlCB4cJzyzIPOaa66ZExb+v9T2OmkRTHieeuqpRTjwSeyRzRIg7INtHX744cUG+kKEj3NwkjFS8t8YyeZ99rjjjiu2Iwl04oknzjU3+yHk+MOauHnTm95UbMjP3V/wLIlNAAi+ieKjjz66e/jDHz433hKdAmoJmkmVcUWwVwdJDLzrXe8qQpaYIf71DX1EvQ444IC55IDnZM+HHXZY9853vrOIZ+zf9ra3ldjC57EknMUYBFotfAaWBFstBCp/SdS4Jp+Cv757xRVXlOeQnJDIIGzErJI2BPWoom8cEUy8ETjsRtsSNQ511YbGOwKFnT3rWc9aReR79ae2dTAhO5Ik2W677Yp/FL8RVeJrMV6/SBawVfGaIh4juPhEQpE/wws3tiuxh5Xrn3DCCYWPNnB99jVKmYQIJgBN0LAfb36hGSR4PLPkkLZhC8973vNKUsDnFc+rL/Cpg8U4wuZMBOk7D3rQg8r4atwRJ/sOoSneYB9nnXVW8cPDXrPGTrSHCSVsn/SkJxXBLhmh7fy8L571e+LVeKNUHWRc1Yf9rY9Ilhnj9TO+hi3qB4rkqj799a9/fa20U0TwSsuYlgjmwHTqgw46aE4EM2Ll97//ffe1r32tGDanExE8iktZu89wkhIQBlYD8sUXX7zKBffbb7/unHPOWS279IEPfKD71re+VZyPjm2mhaPkPDhyoldgo519X5FZ08m/9KUvlUFLhmu33XZbZYBbu9qsP9+OCO6K4DEYC2RkUAUCstG1GBB8piURbDA3yMtyq7cB/fjjjy8iSZHQ8rvHPOYxS9oZpiWCDfSSIO95z3tKRt1rqcywEQWCCasFBCb8DjZ8GC5mys8444wS+L3qVa8qwsCYZqZt8NVWRx11VAlY+CuzuMQtexMw/vCHPyzfHUUEC6AFjfgLLgVQdYZFgEUQE8ECNLNXipkpMzsShlVMDzYcQSTwHSx8tbFUUCnQIqaGlVmK4MFxwhhPxF999dVFVLDTWRy8OWkRLPA8+eSTS8DM5vgmQS0xKpbR5hLMPidpVQvbJC4U7Sn5YqaNECLkFCtd+uPyfCJYMoXYFqALhiUXCDqn8AruiRSn8hJKir7FDiWNJvVKo3FFMAGu/pKbRBXbIP7FFZh5lyxh7BlrPEisYsN2xI5EiGvwi4SCQnCIL8QftaxJBHtziISN8UbRTmbx3JO4dv9aJLskHOuqtoUc7Tgi2KQCGzCzz+doQzOEbIsfMhayD4KMSK9F3ydMtaN64omh5LFJDYUgNPPr+rWIx/juKoKJM2OKtnC/Aw88sPhW4lGMx4dJ6OFbxRcbE8cRw3z0QmUSIlj/8ix8NL+55ZZblv7m+esKAG3Gxo0TClvRDzDpJ0f8ziuBjKPGByupzMjSImZ/FXbNd/HjrqdtxLm48a99H2acIWrdx4y+NjzvvPPKKhE+T8KaX6irPlyf0JUEqiJY/fgGbeO5XEOsU23TM6obQczHKq5tVYN+QMAvtkQEryQ3LRFcG0ZgU2eC688MHoIdHVo2a5LvVctM8PAuUUXwfILCwMoBVyfZv4r24oy1k4CP2K2vSBGEyoQTu9qSI+dcZa7qsfgGrl122SUieEjTRAR3ZRAS0Al22JWlcn0B05oI1m8EGoIzQtAsoj5FEBpgFb83mPaTBYsdDMf53rREsGe46aabirgV3NSgTEAgmWbQF/iYrWAj/E0NKMyOmC0wE8LPCGhrVr3OpNbtN4973OOKCDYDI3iUuVf4PtceRwQTGrZ/WH5IDAtYXI/tDopg9xDEEfP94LTPng+2WkYQ5nnNDhHOgiwixiqcI444orT9sDJLEex5+uOERKj6aE91Ie6JtKV+Z+ikRbC+aUZR7GLmkoBgY5IqxK9EjdlD9seGayHo6nJ3HCSS/SF86wqpcUWw1QnGZUtBXUNShu2ZGeuLYPZENJtBmy8BM44PqGJBYofwG6VINrFnCXXPRxRL5Pm3QhRa0u2aVQQTCmy99kkxjD7LB+GpeLWnmTqCtZY1iWCfIb6NKfoWdkSWMiiCveOWYBbXjFLGEcGuZwUK8V5n9YlQSY269QITddfva9H/TR4pnk+ihSjmI4lfxfOqI8FYy5pEMBbagw/1DGbsrWJwzb4Idi3c+TufW6hMQgS7h1lrCRCCj48nWOuyecK8MqkC1efZkT7QL8Qxn0TUW11ByNdVQT5neT1/gZ0kCXur17RsWn+rrxNiz2ajjUP6HRGsb0ng19ez1mRp/znWJIL5FokMMbQl38bBYSLYs1r5pJ9UMb1QWwz7fUTwSiqzEMGWqnHMlvUIPkbpUKM2ckTwcFJ9EWzgFqT1C+cgyCZYDeoGiDrjMCiCOTczxwqHLUDVcTkQy7pktnTmiOCFrTYieEVmkz9gVwYRs50CxJoca00Ey2xLDMgiEzZ8pD34AhKCTzFjZAbFVoWlLNMUwTUwNNMruLd8T2ZdsCEYZAdELt9jzLB8kcDia/guMwTVZggS2XPBjsLGjDsCh7pnWKKuZtcXK4JdW3AlW2/2QLtI8M4ngs3u9Pd99tvOcm6zeNVvCriIKolHgoqAxEFCZFhZTiK49mntgbd6GxuMPUtZJi2C67OzOW1i3LSsUhKkL4ItJzVTU0t/lp8IttRUHycoFiuCq+2ZqeI3BeJm3gXxw0SwWS6Js0mUcWeC3VP/IxAksczQEVniEmU+Eaw/VTFXRTARg6dC8EjCjyOC2aaxxhkB+pzZVDHPoAiWyMGVeB+ljCuCXZOIJ6isUrGixRJlM4hmeoeJ4P6KgiqCJVdMNPVFsARDP6G3JhHsOYy/xDYfIrnDpiUsBkUwwSlZM8oM5KREsPbSX9RXLCpGlSC2UoKQM0vcn5n2O/v2B2eB9Q/JKskWvohd4VJXR0jUqbtxxDgrQVO3b/RFMFbGXbbjWrbm+KwJpL6Pk8BhV/1tCGsSwbWPEOO2+UjKGlPUsz8T7HP13csRwaP0zAU+s5QiWAfjeGRyGLaMkyBncPP42lQrIng4vSqC/ZaDJFwt6VN0Mh3VXgOzMZYqyWrVzft9EWz5kIDc0mrFoEYIWzpjEHAtGWfLmwzwSmaC57fo1kWwgZeDN/jXQcAgZMbMACyItdrAgNPKcmgznjK9xINAzJ43y64Ef3XPoBkEAdGwmcu18Z8LfXdaItgyYUExn8T3OAhNoEX4EgnGCEGhWQ5L8sze1OVwllHyaQIQAYlC/JohqctLBeACG/ZECBCugkaCVVmTCPY5e8WsajJuEejuabZEO1iaWQMpgQsB7A8RWw/eEqybRRFcznc4Vn+2sLaDhICAi6giKAkvM1/DynISwZICGBEnEg8OrGHTdZZkITub1O8nLYIFpWZbBdSCZmOkgNvMkUBYMthyUsWKlloj1hY+AAAgAElEQVTMiIt1FLNHgndLMwnhuvyRsH77298+9x3Btpkv1xXYK2bEiCTPIGB3TXxrPGXVADHl+nWJp720+u2oezlHYT+OCK5bO/hzIorfIi7VXx2sjMDVGKAf1v6hbnXpp2vgQ/BiUscCfdoqiVpXz25rg99XoUxQSEjok+yPjxB7KrX/S4jZ31+XHmPPz+jbNQ5aiMs4Ilhf1fb8HX/Ex/N3ZhtNDlkmL47i0+psufsbK9mIMdKYIM5iW3xd3SpDpPZ9ku/hZMZZYlUxllhlxF9h4x51hYrZaNewX9Wqv7rNTewu8ciXjbK3fxIi2DYQ44LzIiQ8zcx7BsysyOBf++1DKLMFumbQz/q8+NXPxavqi0s9bIwdVTGNj/MjJGzU25JmrPlgY4nzQsQlir6lzYwRJo7Ymc8Yq4zX/bMBJCvYej3wkF4Rd/P9Elfa1h5vBXfjnLFPLG31kiJp4nmctzAo9Bey0f7vMxO8ksZSimAZS46FARBLAgL7aCZZIoKH07Sk0v4PxaAog2SGxUwDB8j51843eAUiWEBDHBuUOFMdXJBnUCKctaO/LWkVpDkVtBaOwDJB+/FSViXQugiuAzTbsvRH/yWCDOgGuHr4B1ut+yuXyoaWw8FYBm1912yg4JF4w8lSurpXa6l41AFf9tueq0kW44EggF9iC+prkBeAGKwFKwIi91V/M3ACDuJZUCFAEAgKXiUGZNz5LcESQSwwchCP2WVjkN8RSAJfRfBtaeGwvW6CPsEnm7T8WXAuMPOcdamk63jWn//85yVBKBDyPcstBU6CUvdeU9JCcK5e6qAQN/7v3pa9ExEOmKwH+QzyXw4iuI4Tnk1wTRQK4gTW2nPSb4NYyAYnLYIlpcwY2itq+ajlmGbxJK6IYrZl/CP4taMYh9+y38/MmhljCQ1/FEG2xAabkuwYPMgHMzO7bMAya7ZeVwIIuiUbBMpWzrgfzsSuQN/MFOFgfK9JpYV4jfr7cURw9RuSWOpDgNTvs2/9xdJRIlh/rfvq+TpiVQKUOFBfyXq8sCDofBfXfuFL7OcUb/BV/CQ70Db6CNHITsUyVoIYg/VRS2P5WgKGADWrbjwadbveOCKY3VRRWk+sdk8rJtRRm5vh9Hz6kNVB/CAf5hklBCQ7iGdxmEQdoWgZsFnL/h5pbPxcMlEspn58mbrhzTaJS8kYyQbCW3LA7KukgX7MniQu+CjPMUqZhAjWlmJHTFyP32XL1S+yb/zM8PojOUUU999OIlmg7fnOWowvVjsaSyQifK+fTJLUtOpIIgV78Qd++rN+3y/GLG1hdZJVAw5sk6Ria3x2v+Dr8z4nCcGuJWolucTMkmnaUp1MNtU3Dxj39AM/l2STBNFua1MiglfSm7YIlpXTKes+D0Ytg+L/fj6qgxm1sSOCh5MSnPWX4ckmycTqVLJJda/DsG9bnsFZ1sya72hXbWiJnr8NwAJEhVPpH8Bh8OOAJnUox6i2sC58LiK4K4GaYE7m2R6cum/QgCGLz/bY6CQP0BvFNpaDCOYvcRF04yQI9zO+c5Rs/Cj1HOcz05oJ9gyCXgfXqBexUOtXly4a+NkBP8Q2sGAv2LANwZ1gjy3xdZIpfsb/1D3m/KDfu44gpBYzznzgsNfE8XeuwQ+6D/9Wn43f8zvXtDzdfX3G/92rFuKvH4QNY85/VgHs9+ppyZ7689VmLtTHcw+bTZ61CB42TpiZEfAPjgnj2NzafHbSItizGDuJKGKzxjDaRRKEXVoCyRb0Vz/zGe3q377btwUTA+yY7WnfYfFQtVn37vd717eShu2yLf2AXfAX/tTi534/yfcajyuC9SEJK+LL8t36KiI2o/+w6TqrpQ/XWcnaj/pjAJaYYD1fv+Ij3U/pX9v/K/PBWIUArUWsUv3KqPY3jgiu/o745MOIfRMSOGlTDDw3TtpNzFxX7lVfhFF9TY4+VmcmzTwO82N9n6Ru9dRrtqsd2Ay/5ne+37+m5+Xb2OmodjQJEey+2lLypJ6279n6beUzlUWtQ60bngSqmf7+OSOeDW91MSnUL9WmKi99pybv9OHBE/v5OPevr4LTn/XN/jjRv36Na/rPXX/fb6Pa17WPlXG19MfBUW1z2OcigldSmbYIXptGWsx3I4IXQy3fmRWBiOBZkV/4vstBBC/8lEv7iWmK4BqgEpFJmI3frrMWweM/8fS/MQ0R7KklJQZPH59+bZbPHcYVwfXJ12du44pgTIgx/m6hBNnyafnRn2RSItgd66uPxuVEBJu9tTVhWGJg9Nqsf5+MCI4IXv+sOjVa5whEBC/fJosIXr1tpi2Cl681LP8niwhevY2mJYKXvzVM9wkXK4Kn+1SzvfpiRPBsn3i6d5+kCJ7uk7Z59YjgiOA2LT+1XlYEIoKXVXOs8jARwRHBy9c6V3+yiOCI4KWy14jg1UlHBK/KJCJ4qXrj4u4TETwggu0JmMUes8U13/zf8poCG+f7J+pN+h65XghMioCDL+rL0Cd1zcVcx4DlAAonnaasIOBgCgeEOFUyZQUBrxNxoIgTOlOWFwFbmyz9G/WVLsvr6afzNPag2kPnULmUyRFweJWlzfUAoslded29kgPQHM436mnS625NR3tye6+dqF/3Zo/2rXxqqQg4bMxhdGs6D2jaz3KbP9QXAk77Tmu4ft0T7GS4SR9SNYtqOUjHyYH19RmzeIbcMwRGJeDVIQ6gcBz/LItDJzhEr59wEENKV16noH2cRJmygoDTOR3YQginLC8CDoVxyItTYlNWEJAUcEiOV4qkTI4AYeOQrwi+FUwdsGRVlxPu+wfuTY74unclh0M5Ed+7wZeB1Fn3AE7xie1D90YFp8pHBH/nO+WYcMdzr+sbxzkir9Fwklx9R+0U7SiXDoG1IsAReR2BjKlXoMxKfOo3nsHrEMx8OqU3pSuvjfB6BK/TmVXbLLd28OohJ2V6LUsCm+XTOvqwE/u9OsuMVNpmxSumvK6ICDY7HiaTsVe2ZsWdU6kf97jHhevK15l5hc2rX/3quVOcJ0N73b2KxLr354pxMn4ur3ak9Zxw/8lPfjIiOKdDLy/jzNO0RUD22HJo7y6cZfFaBktcLXNLWUEge4JXt4QcjLV8e8e3v/3tMvPpPZMpKwh4t6zl0MRJyuQIeKet5dD2waasIJA9wataQpZDL++ekT3BK9snInh5G2qebv0mkIOxlm/7RgRHBC9f61z9yXIw1upMcjr0dCw4B2OtzjUieFUmORhrOn1vUleNCI4InpQt5TohsGgCEcGLRjf1L0YERwRP3cgmeIOI4IjgCZrTGi8VERwRvJCtRQQvRGi2v48IXiIRfOWVV5ZTZwdPnrZU4vOf/3z3hCc8YaKW8MUvfrH78Ic/nNOhB6gSW3vvvffcT+0fe8tb3tLd9a53LftR7Qufr9hn9qAHPWiVg9Pe+ta3dj/5yU+6Qw89tNtiiy263//+991nPvOZ7vLLL++e9axndY95zGPmLic4s48oh2isTjgiuOssxXaKq/KMZzyj7DPrF77CIQ5LvcxzOYhgh8/Yp225PE7vfve7O/3pyCOPLHtzl7pMczm0PYZnnHFG2Z/+2te+tixjVfiZk046qbvLXe5STvndcMMNO0t/3/WudxWf8vznP7+cZ8H/fOhDH5pDcthhh3X3ute95v7v4Kj+WwOMPXyf8oUvfKG7733vW+4xWNimZbW3u93tyq+uvfbacvjNAx/4wHI40EUXXdR97WtfK9eq45nrXXLJJXOX4nsf/ehHr7G5jjnmmLLEtJaNNtqoO+GEE0Zu4lmK4K985Svdeeed1z3qUY8qHCqrM888s/vud787N06MXJkJfXAaM8E/+MEPij1sv/32nX2gG2ywQTlH4X3ve193ww03dAcccEC33XbblTGvFjbttHmcDjnkkGJrijNM7Ft+7GMfW/ZyV25+52AhY/Thhx9e7qH8/d//fbk2uyYyMNcX7L3cZZdd5j7jc7Xst99+5WAwe6QnVcYVweIDMYP664P6rT3aruMNCXvssUeJEweLg/guuOCCUjczrQ5v1eewvPnmm7sDDzxwtUP6xDa33npr95CHPGTucvyWw18Vb0DQVltuuWX52R3veMfyc21Zi4P/7Jkc540p484EeyMLJtpFHOU57J29/vrry/Oxh5133nmVdvN751R86lOfKodY1gPffvrTn3YnnnhieXx+pNap1sd4oX51zNAnbZ3Yf//9i515A4JzgfTfffbZp3yNnZ966qlzTPxur732GvkA3UmJYD5RPzAeHHTQQd0d7nCHMkYYC/Uf7O5973t3Z599djnIsl+c1j2sOEBQucc97tHZu4zdL37xi1XGVfveHewl9jXGzFfEx+Loe97znp021Sd//vOfd8afwfHENZ1R4NRsRT3EzJW5tnUWCdsVRxvr2LvxsJb73e9+3Ste8Yq17soRwSsRTnM5NCM99thji+MzoNei0wlmiKdJv7ogInh433jjG9/YvfnNby6/NFAbGN/xjncUJ8+xCD6HJSQMNAZ7bWYAMtgbcHXQzTffvFyHDRnIXM+AZYCqe7E4qW222abcsz8orXUPXk8uEBHcda973eu6TTbZpNt1112LcPD3brvtNtfCxJFgBaulLMtBBHuNgcBYYs/hPoJH/fTtb397Oc17qU/0n5YIFiSrWxW/6uaPU2gJSP6JyGULThu1f934QnwSAUcffXQZSwQTgkoBtuttvPHGcyZz2WWXdYQw8aoIUIgJwZ4A/NOf/vQqorl+8e53v3t3yy23lOBLcV++j40+85nPLEH4c57znO74448vflGgyFY9u7Yi0AUcBLoDxeYrbFxwg4VC+NRnrYc69YXV4HVmJYIF4EcccUTh77TRr371qyUQJ+B/85vfFIGHi3FCP1/KMmkRLLh1AvC2225bRArbUXcHzBAuklWEmUB20003nasqQeUtAH7vmXxeO0uMSOZgR2SwoVoE5w9+8IPL2CkYVghIp9XvuOOOZZ8z3yBxKPBmY15ZpC8Q2WzHPfQJ93jiE584MfTjimDPJ/g3KaI++hrBQuDzKRID4gZCohZ9/eEPf3jxA5iptwNPJVmIFwLOWPGzn/1sleSBGJAdVmHhegQqoSeh5t/iFEL5nHPOKbGLfrXTTjuVGIbQ1D58LLE4qhAeRwSLp/RvCRBt+La3va3z3JJnL33pS0t7Pv3pTy9CtZ/Iw4id6V/qR7gSYNhIEmOhn/XtSP35ITZw//vfv+B1H1yJvwsvvLC79NJLi225Nv/p+wQbIUcI43PyySeXZMSLXvSiVRI88xnVJEQwTtqbT+VLJNVuuummIuiNjezFmEGsOluFCK1FomDYWQD4GBtcR2yrzxx88MHdZpttVvwvO3EvcS7brEmYvj3Ve7AnPp14lZzCWT90XW3I5/fHaAdLSlBIbihsXN93H8mZo446qnBmv9pE8l+9MPBzxc+/9a1vlTNL1iaxFRG8shWnJYJ1IIOyBh4UwQZHnZEBGTAmWSKCh9Psi2D/JlKrc+f0ORSn+A0WwadMnNkQnZnjEIzWTJSg8s53vnNxlj6rCIoM0t///veL85KtdP28pmL1tokI7sogVrPYHP7VV19dZgb6wVCLIljwQagRwP4ITCQMFEGhQbmKpEn60DVda1oiWDBgTOCDBMv+SJIKbgReAkEBvSCPjUgImDER9BBZNTCS+efPhgWubIwQ4JsIUwGEQE3iRbJOIN4POCuHQREsaCSCPZd7OyTI9Tyf1U3EjGDSqyeqHQumrY4xJvYTwn3WBEF/5qX+jqisBxCZdX784x8/tIlmJYKNuWZiasJBUCl4E+yZxRDka1dtZTxYyjJpEczOrATA2iyeGSWBuJkiAbo2ZwPstP8OXeOtCQGF/ZjNIcIUAobNCoCJm1oWEsFiK4FxPd2fMJXMIYIJ9brygHCXNNJfRhV0C7XRuCKYfbi/2O+4444rsYTVHeqgr0tm4WPVS0308HfqoJ+xo9e85jWlvtrUzKDEEIGif4ovalmTCDbrpm3qQZRiU68U4wu0FzGj6MsmDQhjQnuUMo4I1iZEFzHKZjBgR0T5vvvuW/qSxBt/4Ge1SAIQzpIi1113XXlefgs3M6KKpIhEXX82mOjiu/simJjSHlYu8I3GGkyNv3wMv2N29Z3vfGe5Lr9rVlTbj7IKaRIi2Oys9hcn6Q+SaMYF/fChD31oeS4JC/5VPWph//w6xoOFXbmGcYAY1l+NC+zOvz23v/VL/dTYRNRKttYVGa5JKPPpbJvtGhPwEivrz+yVnUmY1bImEUyIa7v+aiIxM+78i2SNIjHgec8999y59hzFPgc/ExG8ksi0RDCnpaOa9u+LYA6KiGJgDCIieDHmO/53qgiuMymCtH7RHgYls7b9YjAwuBO9Bi7BOIerYxPAHJOObwDX+Q2ynLPBw3c5A1lOjiwiePV2iwjuuiuuuKL8MQhx9lYM9DOcLc4E841WXdimYCmbrL0AsIrgiy++uARPZguWskxLBPMT/IjghqDkTwS3AhuBh+XHRINAQUAiaBNI+mMmTnAmESewMcMkQDGzUZdU80V8nODul7/8ZQlorICpQkFQLakwjgg2E3zVVVeVYERQJYiuM7/8q8DWbGEtZpK9w37YkmufIZjNKtdZ37qcW3KR6FcnAkCAO6zMSgT3n0Vi2/jw7Gc/uzCpdZEYFcRhvpRl0iJYXKM9CIjdd9+9iDjjove8S/yzVW1MbPXrqi2JZkX84x3k/mjXukLKagL9upaFRLBZVUzFWWZFzZp6FnbfF8FsX78gXgaXyS62LcYVwfokUWKWjQ/xrJ6zbk/QJ81eEz3V9xNukj61T4phzOwRZRJGCrEiPun3iTWJYILCdfxdBS4/o/RFsP//67/+a0neYDtKGUcE83ennHJKEf98Gx/vOSQwiCdtiom62wZTC1/HVyn6lFUy4iu2V7cLeV6irO/L1iSCJQC1A7/Ef/FDElc49kWwe+LuPqMkXychgnEy9rEbz6f9a3tVJpIVdERdZWL1Iq6DCTf9wHiiL/KVxKt+UYvx1hJz9qSvYlKTRnyZpET/nbrGICs8+HgrCPh32xDM5Cts1yw9sVnLmkQwe6tJMMksbaFOgyLYtSQqxEt1RnkU+xz8TETwSiLTEsEVeF8EGyAtMZGxkkGVwWFEk3LM7pmZ4OHdoYpg2XjLWWTq+0WAyLla3qVzWcol2FS8J7Uvgr1Gp+5VszRRYM5RC1B1LILGMp4aAHH2EcHD26V1EcxGDE4CH4MA8WOwsZSpLiNqTQRbCiUQEuwRawZGgYBZTkG9sr6J4No7BHOSphJqZtwEhwI/QZegUBDD5/BBWLANs0CWVxKdtQiOBd3Gm2FFNl0wV/ftSjCsSQRbflYDIDN5ZkIIDUEaG+Y3BYjGMr8fFME+43dWx8y3JFggx5fqDz7PB6sTAUHsED2ewVLbYWXWIthsjADaHjnJifVRBFfulmMKoI2jBDEhu1Qi2DJN967L5s1s6i8C/2uuuab4i0ERLElkuWVd0r+YoLn/nXFFcP0u0UZ0WeEhUcDfK0shggkQzIwr7BMP7WjfMS6DIth2Bn5FcmKUMo4IrteT9NNfCDk+jc+fhAg2227Pcy1rWg7NFxp/xed8F8FZl6sPimAxHv9r9nyhMgkRXO/BB4oJjHtmv/lQz215uOSJhIbCb9atfoPJxtr+Vuq4lplbXCSu2IUEhJl2iUh+eD4R7B5m5/E1sWP2Vjws6bCQCGbzErP95dDGN4mhukTeWOJZiWhxtGRYfyZYPWknzx0RvJAVjvD7pRTBglsNq8MRTYIdgUM/UzLCI6/xIxHBw/FUESxokyX0/355xCMeUTLFgkeDhOxknRXui2ABuoCwLs/jbO1XkPEykHB82sBA97KXvazcIiJ4fpNtXQRbas+G6iyJwYjtGQisOuD8+QqJm1b2BBugZXrNiArW/F+gjYdllYrBWh82YC9lmdZMsMNsBPMCDEKv7oVzcIg9VwSVjLg9kmYZZezr4SKYEJCWJdeDrow1ljESZgq7qocM4aqYRf/gBz9Y/r0mESxoMiPELhXC2jPZl8g38m8K3ypINCswKILNDhIi/ZmuwXbrzxbW35n9FdQRDZ6b77ZiZ1iZpQjGx55DotD4bsbUsm9tpj393BixNkHbYux80jPBhJMlkoSmGTgBOLurCSoBbk0A98/YEFTXfZq+y071bcKH6FEkeDCsRVBcZ3DrigZ93kyfALwuC672TayxPTbZF8EEpvub4VqbPYR9/uOIYIl3fUS9iU51sFfSRIjkOrFCDEr0GAvqcmhLnfU5/ZQf4PPEj5aCSpApZt30j/4WAYLJ89XDjIgI4ltf9zOCs86S8ql+b8/6oAj2rD6v345SxhHB4ig+SbwkOWaftOXQYifParZTfOz56qGRnkFdCVNcCCFxlmdkizVByj6sTukvfSe0+Mw682kvMU4ErdUM1Yfxv+zHpAi7GVwObcWDZEvdo74mLpMQwRIU2ocv4V/Fp5ZBi035S/62f6grIW91j+TxoK3rW+IK8a064E7oEtS2C2BmX69inDPWWLGgn7onreSa2s0ydTapSByY5BHD6OPGEs/KHvAz41yLJJUZ57o/Xx/QL/RNyS3jRk1UeQZjTz38sS6H1kb8Dhs3Li62ZCZ4JbmlFMH9xhKcyDhlOfRiTXi87xloa/DE4XIglovIJslecfjzndQt6DNYCcIENzJfZl90dJ3a8jfXFshyBrJYBuO6R8yyEcs7OJSUVQm0LoLRMCNnUBXImCmzzN7AYMBnawImwXNNqiyVDS2Hg7EES/ZMC4YEyQZsQbh+RxitLwdjEXsOmRKEOGNAUGzvm5leQaugXmJAsGqFir1W9s4JagTZMvE+TwgSqEQXvyXbL+CzdFkigUDxezMdlrPW5eT8l5ngfsBS7YzIEZwT3wJDy1nNSNRTXflFvs0eOj6RvzND4XNs2ucs1xQcCSLnK2wdg7qCRrDk/+qpL9g/SIRVATB4nVmJYAGnBINT3T274JetmlkRKBIc2obNrusHY6mrPZgEKtHk/9pbW1tVILg1Y2/JtCWlVnCwVcs4Bc/a30w+gVdXIwh+taukjmv3iwSYsZtQETDrF3X1AgHD9uxLl/RhLwSmQNy9iAN/mzlzf0H9pMo4IphNqIOAXd09s2e08kegbzmp/kGE6H/6K38vQSpQN1HiZ2bb2RVBR+CZjdQPjQ/9VSBEk72a+rc9sGbf9HPikqjSzySTPJe20n6ejdjla/1cuxKhrj/qPupxRLDkkHZjL5JEZoMJfBMM/JZr8WHEFrvQ5nyAz+j/RBvR5bA/gtnYuPXWWxd/SEwPHjgrwch/Eczq59rEGzFt9tm2DnZoiTWhSTCyKSLTtSUmcMZx2AFRw+xqEiIYJ6KeeBd7Gg/1HbbPp4sb2DjbYA/GbEK4LpdXV+z40f5ZDGyCXzLeSEipO/HJf7M9f9uqIHFgLztbYqfsvv/mE/UW8+rv+hvbIpgldnyWXdekq88a58xaS+oT4eyfbzSm8RUSulZHeG79lojGXnvzDX7OVvwtcbE2Sa2I4CUSwTqpwaK/odytze7oZJM+MTgzwcOHORnn/smkTqoUEOrsArX5Dmtxtf7hEfXqOqg2rYdGuA4xrV1lEfuveuBEDG6jHKYwqUF6XblORPCKWTriV3KGaKlLmwRBBmeDW83QLmW7LgcRLHgx8BMY+pgAyCBvQF5Tn50Wp2nNBHte9RMIC2IJh1o/gRlfJRCSABAUCI4IWbOL/VcP2Q/mj8DEoSiuRTzWwMXsB3/m//0sup+ZXSPAB4uAw4yLz/B5gofq3/xO+7in7Hw9rMV9iGKF2LFMuB+oD2sf20gEerW4tu8R3gQkoS0poD/0A6v6+VmJYALQbEktxFgNlNmr2W9J08EYYFo22r/upGeCXbsmJ8xCCk7Vqwan2sDPiH3JPGwE2H5P6BIp7KfO7GpbM3rEGhE27PTvakvsiAipHPt+U0BvNZfCFn3HPX22ioVJ8h5HBLuvZ3FWiGSTWXOCTbHkmI1YVlpfoYiTGTDFOQAY2g7RP2BIPCPprm7DttNhJUbRVmLM+koq1+Q76hkUxE3d5kAYSip6Vn5m1BngynUcEVyZmAF0P7ZU27Uy4UswYRMmjMTRRA9fRMwbE4yX1SbNdPOZ6jQsOVpZuh9ufV/Hx2ofdmsypG5P4nfcn28m2P1+TSfU921sEiLY9fhw4w4BSdx6NnFT9YHqwzYISb5Y0qLaUq2rz/cTcJIN9f9ijPpGAfcznhgb+FpjjHGhTuAME8HsV/81FuHEXiVm++NEn4t6aE/3FHv3D+/iKyW+MBZHswmxOtFen9E4WFdBrU2fjgheSW/aM8Fr00iL+W5E8GKo5TuzIhARPCvyC993OYjghZ9yaT8xTRGsJkSgAKCfRFvaGq67d5uVCF7OxKYhgtVXcmrYybPLmcUkn21cEVzvvT5zG1cEY0IQETfro7+blAjGiRAkaEdZht23c9+RWLWUfqlXTU2yv03jWhHBEcHTsKtcMwTGIhARPBauJf1wRPDquKctgpe0gdezm0UEr96g0xLB65npjF2dxYrgsW+0Dn1hMSJ4Hare2I86SRE89s17XyCER529Xpv7rGvfjQiOCF7XbDbPux4SiAhevo0aERwRvHytc/UniwiOCF4qe40IXp10RPCqTJaLCF6qPrGu3SciOCJ4XbPZPO96SIAItkfJHshZFnu57WWz1yplBYGI4IjgdakvOMzHfrR6Ku669OzTelYHzdh/62ColMkRcFicMxvqWyImd+V190oRwau2nUPx7F21xzll+RGICB4QwU4LXh/WzDtx0MEBDg1ICYHlTsAhJg7vcHJnPRV2Fs/s8AmnKDq10OEOKSsOmHEYktN5Z9k2y6ktnLngRNH+QTPL6flafhaHqjh4adwDfdZnZk4VdlDO4Imu63Odl3bSm1EAACAASURBVKJuDqWyn9UBUildWW7r9TZOsR92uF6LjBxO5i0h3jySsrwI2IfurS4OWKsHw83iCW/zh2UQWdWDsRwNvzbHbc8C4OA9OSInpzoZcb7X/SyH58wzhAAC7JXIcuiD0wdnKT4Jca/cefnLX15Oa07pygDhhF+vSVgGrnpZNImTWzfddNMS/IbJsmiS8hB8iZOGvXpw1gm15UIFE28s8OoTJ87HXifTMrgSwWb6nIobriv6n1cNeYVbRPAKOxNHeI2TVRixkcn0vUldxYTneeedV+LPiODvfKe838px4OvDCXU5HXpS3STXWQoCWQ69FJQXd48sh16dm/dH3uc+95l7NdriyOZb0yBgObRXSXnvdsoKAlkOPR1LyHLo1blmOfSqTLIcejp9b1JXzXLolSTziqRJmVSuEwLjE8jBWOMzW6pvRASvTjqnQy+V9Y1/nxyMtTqznA49vh2N8o0cjBURvJCd5GCshQjN9vcRwRHBs7XA3D0Euq689N2hVPbizrLkYKzV6UcERwTPsk+Oe++I4IjgcW1msZ+PCI4IXsh2IoIXIjTb30cEL5EIdliHg1SsQbcv4Bvf+Mbc/gAb57fffvuJ7kXOcujhHet73/ted+9733uVX379618vh4ZsvfXWa+yNBJJ9A/094/ae/fd//3e37bbbzn2X07Mkz6E59mHVYm+I3zmlM2VVAhHBK3gI4B20wkbveMc7rgLJfmUH/my11VZLaj6zFMH8pH5jr9kGG2xQ+qj+9/3vf79sXeE3Z/Huw2nPBFvOa5x4/OMfv0r9+Krb3va2cwfxsAk2Y2y5+93vXuzi5z//eedgRFzsr7/Xve61is9hX75T/Zjv3uMe9yjf5eOMUbe//e1XszH7pmwZcn/FuRP85l3ucpfyf6ef2o9rmXjdX+U5PE99lmF2PXgjbV7PBcDA/bbZZpuRbX7WInhwnPjpT39aThDGQH0w6I8LI1dsLT44rZngk08+udtrr71WOSBOfX/2s5/N2zfZCR7bbbfd3CGkDiR0hsnmm2/ebbbZZqvUlC34nX239dBStsdG2a5iXPd2gS233HLO1tme+yiuYf/+pLe6LUYE8+H8xzHHHDNXTzEgu7/nPe85dC9t7bPqV+vsy1iLLdWNf+wXdsg/bLLJJnM//ta3vlVOKlbEIuIXfVWfrUU/r5zZKf8xTlnMcuhPf/rTpW0e+9jHzvk7z46JOg/bX6x+2l2c1d/P+eUvf7mw4KsGCzvCuH7eGPJv//Zv5R7Kr371q+5HP/pRd7e73a2c+aD4vfGGv9R/2edd73rXkZFMSgSzYQfcVU71AexL53f7/an/cGxEv+qX2t/4ffZhybaYtY4J6onJhhtuWPpetQe+WD+sxTkut9xyy9z3tNMWW2xRfl1jY58fPGeJf9hoo43m/KC25hdqbF7bQRtoC0UfMf7VZxEf1XYbuTGGfDAieCWUaS6Hvuyyy7rDDz+8bL7W8Jz1M57xjO7Rj370XJO84Q1vmOip1BHBw7uFdjj11FPLL3XeQw45pJwiqpN6rcbpp5/ePeQhD1ntyzroPvvs01111VUlKNNpX/Oa15QAnVPixAWun//857szzjije+ADH1gc04knnlja3KBtcHBoxMMe9rC16bPr5XcjgrvubW97WzmJ2SBt0DUr3j/N1cDwkpe8pMyaL2WZlQjmJ/fYY4+5w/0MePZ5vvnNby5B9sYbb1wGTgdbLPVhhtMSwfzJ/vvvX3yGQE7wq3633npr8VUCHcHKIx7xiG7vvffunvvc5xZ/wjYkBA444IASXNfEATvxsypy/f/KK6/sPvjBD8797FGPelQnEBAQ4n3xxRevlij0PSKbz6wCznP52ZOf/OTuTW96Uxnfdthhh+76668vdrrnnnt2733ve7uPfOQjc4GTPZRnn332GhM5nuGhD33onIkLxBxYOWqZpQgeHCc8s3YiMrSpol/r40tZJi2CCRBtzBYdZugtFA5DcmCc9iWc3v3udxd/1k/68nECWYEte7n00kuLrTp0j21fc801xf7ZdS0CdoecfeELX5hjyN6e8pSnlLHamG3clSDzRgyHGhJTRx99dDm4CmtB/d/93d+V+/UT1mvbBuOKYDHGhz/84U4/YNf+TchpH3VRR9z6IosI22+//Uo/9/njjz9+rs+xN5/1Pf1MUqqWm266qQgYcUstu+++e3fFFVcU4cwuccLXPZxgrBDUz372s8u/fV+yQdxSk18LMRtHBGt7foI9EDcE40UXXVRsREzMn7CpCy64YE5cub9465xzzuke8IAHdNddd133/ve/v4wHr3jFK8rz8puSxd720i/aXjxek2p8ldOB3/72t5fD49wTI3qAXbMlB0O++MUvLj9X/N/Pd91114VQlN9PQgTj5JVv6ubfWJ155pndG9/4xvJ/bSPhow2rSDQ5o49KEugvtbA3/yc42YG+u8suu8y1v8+pP59L5Ipha58hcvunXOuv55577lwSzFiy2267zX3Gs7iG5+qP0dpAMmfnnXcuj2X8etWrXtU5a8MY84IXvKB70pOeVLSShIW+zOe4vqSbou34heOOO26kdpjvQxHBK8lMSwTLRupYxFMVwQK4E044oQQrnLNGnvRsRkTwcJPnNATRuHNsBuy+cyeSZbcHX5NlgJeVInD9zuD/V3/1V92NN95YnJDsrsH24IMPLoOYou21sUFa0kMgZLDvB3hr1XvXoy9HBHfdkUceWQIcvsCA9tSnPrUEhbUQKWy2FREsg03ACVIIQiJCvxWA6LdKFX2Dme5pd41piWBtLHP+sY99rKwEIH4FY4JfPzeLw9987WtfKxl8Y4sAUBDr/daCa2JZok/wQbAO+jI25q0BEnXGHr8XCD/96U8vn+f/hs3+DIrgCy+8sMwwCKAE0+5dfakE4UknnVRelyJwI1gUwa3kr9nh+YJqgavTVAeLgF/wpH8Q3oMreurnZymCB8cJz1RPESYGB1d3TNtO6/UnLYIJLElfcZN2JsIk7NjjoYceWlYHECrqK2FTCz7sVRG8Emhs4dprry0TBYp3xUuw1FJF8A033FCEoyKI5x933HHH7ogjjig2K8gWTPOR7M4471U9dbJBXxLYC7Qn9RrMcUWwPsyni//UFx8C8znPeU4ReeJEwb3+U2NCvAgvvPgHIoT/Ico+8YlPFB4vfelLS4KQSKhFDGgmtS+CCdSPfvSj3eWXX158S91+hInv87PiGv5HMftILBubhk0ODLPfcUSwtjez+rnPfa4kS8RM6sC36OMSn5/61Kc6ddHOtRCE2tx3iWbPSRxhxL8pBKB4rZ8YILqwq7OZ7FZiRHsYS1yTmFbEbF6XKBFgvNFOiskNEyd88CgrOiYhgolVzy6pyP+budUekj6Sn8ZFfp/NE6p4aGOz4v7dF8FHHXVUd9BBB5V41hhhHHCdWtT3wAMP7D7+8Y+XxIrvE6R1DO63OSaSDY985COLn+fTjUX6Jlv23ac97WklYVFXKvm+67L9KoLZNRGsbdi3scgqKIUI128JYuK4+g8TURJnZsf7Sd5hNrmmn0UEr6QzLRHMyOpyriqCdXhZSR1MIZo460mWiODhNKsI1lFf9rKXlQC7X2QlBZB1yVD9nQ6nIwvADaCCUss9OE0dnSOWARMAyHYrAj6d1O9lJmXuBIyZCV69bSKCu5LtZk/sj2MenN1sTQTLHhuIzfJgIVtvcDQoCuoVs5aEnJ8vZZmWCOYrBDKuzw6IBv5Gco3okBgQpBEYZk/4Lz5NQCNwFRQSnEQKn0Xs1qABH0vKiBVBgwCeqKjvPHZv4lPQPI4I5vcEkgIi7SKIrWJlUAQL1gQ/Vjr0l2n2206gQxR4Vp8XcAqQsRDUKoIi1x5WZimCB8cJK4CIG7MtAk1cLEkddVZtUjY9aRFsPCMuJYOJFEJX3c3c1eWoZpwE4gLuWvoJDrOixkh/zPxWkaXt9etaFhLBVqpINBPgbLEuCxb490Uw8cCWJGsmlYwYVwQT8mIMfUQMqHjOKlIILDN3RE/1/4SC+KL2Sf3d63b0t5o4IJzPOuusuQS8665JBBNRRLSEAdvsr0zoi2DXsTyYvzFDP0oZRwRrE3U3m6hv8+PqbeZPIkB/wUTdzQTWQhC/5S1vKf/lEwl1cRfbq6fCe16iuL9kdk0iWNuwPX5X+1QxjGNfBPNJ/DF2BORCZRIiGCfjnjaukyr1voT8M5/5zCI2+W/JEyzUm++RKOmL4P7zmrwRe/UTDD5bV6YSzPywpJRxSDKmLhP3c4kKfrwu0zbuaCez6hIzioSGsUpMU8uaRDCfiat+bcKobrchgiU/PvCBD8xdR90kOaqYXqgthv0+IngllWmJ4AqdqKoi2DIFAS3DIJI5bsHMJJdIRQQP7w5VBOMvUzgYSMlgESI6ssFUgF33CnM+lttUEWyg1lE5RY7fQCXA8XNBpqVYnEd9N9wpp5wSETyPl4oIXpF1NyixSQOylQNssZbWRLD6CoAJOwG2WQtBwGmnnbbeiuDa1gSvMcGKAHUmYvbdd9/uiU98YtnPKzjhi8wMyKDXWS7Bhe/UzLh+JUjiexS+SNBotsDMuqy/4EoCRmFv44rgmsCtvo+oEZRIGA6KYPcwe0Ig1eBm0CWYgSGmqt8UbArmzARLRJo9Ml5b1j2szFIEe57+OMFuBXXaw7ihTc2YCFiXskxaBNdn1zbsSJDOdgSt44pgs5UEy2JFMDvR5pb4e5+55bzqOzgT7BnNHBOusxLBuBG4xINlzPoeMaw/K+OIYImyutx3XBHsXsSZBIaZaUmpuuJmUASbnZWMnIYIrnZk1pAv01dMCpkwWGoR7Fn4GL7QBIfEmxliM759EexzuBNkSyWCq++2YgIfz8m3WlJMT7Ap4t1sOP9iCblkooSPBIa4dzCpLoGFuRnkOqNNNxhDiOBqqxJ2WGgbyS59jfDU79iGviROdj3JC3/WRgS7r0kqQt5YZqywAmiYCL766quL6I8InsBospQiWANzyDXTJAsqEzNKhxq1qhHBaxbBBIfZBEtn+ll5SzA++clPliBF4kIGsmbJ+sGNDJSgxjIRxSBm346BTfaSmOF0LCvhEJSI4Pmtt3URLOli8GFDCv9ggBOcGHzsfWptT7B665v1oByDqwFbsF2XvBkoLRfeaaedRnWNE/nctGaCDfT+CHIEFsQwHySBap+eJWVshWDwf8K47m973eteV/j4fk3cERgCI9+vgZRsvRmxuiTULEKdlVqTCPYdAbOASABkZt6YJTDi41ynLuH0bIJqgZp62Oer2ApEpIy7HJqY5GslGl3PjIcAdVhZTiJYEqcuFa5BNrFmXFjKMmkRLPgVOLuuPmj2UsDNBggrwlgyhCA2S1cL0azvKDgIpvk4Y63JAEXyROKnFm1vuX1dXu3ngnTXZftmhqrfNK7bFuBnZhb7M8HiLuLF/Sd1hsA4M8HqIblp6agVY2KGD33oQ0VImNHFQsBPhOqv9RklpfRrM+/GBUuT+UKznMcee2zBZCUGIWRJby0SAmbu6v5etqh9CArJeStG6t5jwsr9ceyLYP1c0tGKkmkshyZy1Em9iSl9xWQQTmzFzwhSSQP2VIuZWKLPRAVWEh4SCsQ6+1HM6vIT/YPWrMQTx9VYm39lr75vZSZ/Wv2i9iF0jbt9EUx0slfieJRDTicxE6xt3VeSBC+roySc+EL+VBG3SnDah6+NFSs23N+qC6sS6xjgMz7PDmvR1sYKHOtKSOzNKNcDfSXzJDsJbZ/H3nVrDG0mH1+rFOp2T9fTJ43TtWgnpSZQJXHZM1/i+9q+Hs7IF7B99ezPBOvrEsF80NpMIGYmeGWrLKUIFghwKpy6mWANzAn09y6s7QAZETycYJ0J9ltZNU6fI+RMLQPRUXXAYaUvgjkX++E4I4GfJc4ckE5sKY3/G3zMCteTDSOC57fq1kVw3dNkPxx/IHgUpBAL7MxgZD+5JE1dAre2PmLU78/qYCzL8Ax6stWCAAO2bQg4WMVB6Bk4BSiTCmpHZTItEWz2W/tb6icAlM2X7TZmCNIIXQGN4NHnbOkgJowfgj+HxJhBEcw4HbUGcmZWBUOEi2XmAjtCzMwqwV2XGa9JBAu0BYyCGr5OYMpO63I0y5XNFhE1BKo+TQQLlgQ7Aim2a7WNlTPzFQFuPdyrfkZARARb8m15nSDP+DmsLCcRXA+tIRAFlmYi1UF7LGWZtAgmACSKtYkVGpY8m82TDOGzLLVlw2xRsl/ixt9EmvYnqIzF+i5G7NUMnOQym+onONiPPavO32B7kmNsVxBv7CVcrB4QaAvK2Y8tZ66hjxjT3cP4ayVFf1nm2rbBOCK4HgDm2fk0MefrX//6wkYsYi+kduLn7Fn1cz6ASFZHgll/EjPiLYa0CsT2BvVS57oNQb0sefYZS40JGfGLOIcPIUKIW1sl8LV0Vd/3OQc+SYoZk7SFWTbXqge7LcRsnOXQxI8ELxHu2S1lNqtNaPE12lLCk904nIkIFE+df/75Jdnn85IE/JgzAogifCU8rBQZXAZsSwKWfEcdc/kTIoods13X9n3XZWP8CTEt6adIIEhomEQZ5SyfSYhg/l5fE1+6t+Xw6sCfSghZomws4Mclz+sqGjZRl0MbW4h2B0+pl/pVcWtVDpGtb/hd3VLgu/opn6U9JJf4dezZpqSkZAubYpv8gmcUp2Cmz3s+9t7fh288Z+OSHq4jOaMvsGPf99x1D7bfGfcVMbX2Uj/joPbvbx1YyDaH/T4ieIlEsGCNw6pCl7HUjs+hDb4WYDGN2f9ORPBwgpy+YK2W6iSIWh1XNnq+gFqns3+m/p5DNtDqxAJQjoSzMlBzsAR2/xAsTpkjlzVPWZVA6yIYDcLCwGamjvCV/TcYsVF2K+PKdie1lG9UG5yVCPZ8WBhAiSCBGi62GRByggFJg5rhHrU+k/jctESwZ7OsjAgUYAmKiX3+xCys1QKWBgv2nEoveCYIzRAL4gQ5AjiBAmEscCJWBc5OhZWpF0DUk3sJBEFGDVDYH6E2bKky3q5rdtk4JkFRZyGIdPs/zdZoI+0iAJIkrAe5uS/htNCsPZ9aX22Dh3sJxCQDBGKCdNcSvAwLQmctggfHCcGl4FTAb/ZyFmdCTFoE4y+ANe6xL8G44Ns4aobO2Kh92J8gld34DEFHTLBHLOqhWWybHZtpsjJucL9432b9WxKsHm7kmuyWSCbiCCb+QgBfD45iJ4S5GeXBVwmtjT8YRwS7j9nYKj7xIET8TN+xhNUMZd3T6mf1QDn93r5Lvs53zADqc5Lsxg1JADPM/YKT7Q51S5aTdAnAGr/wHYS14pp1ps5z1X6lPcyo1n2go7AaRwS7nv5K6Hpe/dw2IPahzpJHfIw25aP0IzaHGb8i6SEmk1hRCDLJFM9vBd+wAxP5kLo6jz9iEwqxykcS4e5FTLMnq/qqAPaMki3E2qiv25qECPZ8xKvEEn9i5proZwP6G9/cb8PaTpIJ+Ipr9asqMCWsalEn13BdCYA6k+73fkcU60fuV8/EkZCVjFas+DFOGzc8g1lhiVAzuGytP0707ymuIaq1lRn6evq2e4qV6zNKBLN7z8ePVdvUNvxAP/Ezin0OfiYieCWRac8EL6Zx1uY7EcFrQy/fXWoCEcFLTXz0+81SBI/+lEv7yWmKYDUxOytYn3RydGkpzeZusxbBs6n1mu86aRFc70ak9F/1uBzrPs1nGlcE12ch+om39bGMK4IxkNiU7Brn/bvrCrtJiWD1lfBQxn0bAmFpNpUY7r9TeV1hOM3njAiOCJ6mfeXaITASgYjgkTDN5EMRwatjn7YInklDryc3jQhevSGnJYLXE5NZdDUWK4IXfcN14IuLEcHrQLUW/YiTFMGLfQgi2EzqqEvaF3ufdfF7EcERweui3eaZ1zMCEcHLt0EjgiOCl691rv5kEcERwUtlrxHBq5OOCF6VyXIQwUvVH9bF+0QERwSvi3abZ17PCEQEL98GjQiOCF6+1hkRPErbZCZ4FErjfyYiOCJ4IauJCF6I0Gx/HxE8IIIdKjLJU5pn1bxO9XNq6HwvyZ7Vc+W+ITCMgAMS6nvgZknIgOUwF4eUpKwg4GAqh1989KMfDZKVBJy46gAXh6SkLC8Czvdw4r+DYFJWEHDgkAP1HM6ZMjkCDvdxiJvXCqWsILDnnnuWA5i22mqrIFl5SreT4Z3zkLL8CDjYz2nos9wrfZs/1PO8Z8inHozlCO7+Ud4zfKS1ujXH7IQ2JwKmhMByJ2AJoxMOvdZllu7AM9RTdJ3Im7Li9E4nUxosZtk2y6ktnJBMVDg9NWV5EZDI9hqd+v7k5fV0s3kap3RL7nvXc8rkCDiZ2knG3uWdsoKAk5eduLzUbzFYrvy9Gksi2SnbGT+XVys5vVpy3ynqEcHf+U4JwDMTvLyMNE/TBgGvADIT7Dj8WRbPYHYvM8H/vxUyE7y6RXpvqVedZSZ4lr11+L0zE7w6F+/q9PqszARP1l6NE14BlZng/891jz32KK8UykzwCibesZyZ4Mn2u0leLTPBK2nmFUmTNKtcKwTGI5A9wePxWspPZ0/w6rRzOvRSWuB498rBWKvzyp7g8Wxo1E9nT/DqpHIw1qpMsid41N40m89lT3BE8GwsL3cNgR6BiODlaw4RwRHBy9c6V3+yiOCI4KWy14jgiOCFbC0ieCFCs/19RPASieBf//rXZY+ENei1/OxnPyv7Se52t7t1G2ywwUQt4Ytf/GJ5OXYOxloVq6VLm2yyydwP7QG1r8c+cD+/3e1uN287WNbiPWu3uc1t5j7j5eX2fHjJuza058OS2l/+8pflene4wx3mPqut/X7DDTecaFuvDxeLCO46e5BvvfXW7re//e1qtqON2dnPf/7z4i+WssxSBNvb+bvf/a5U97a3vW23+eablz6Eg/cebrHFFuXnS12mORPMDr75zW8Wn2RJYT2jAgf+xhiCg7/ZCpvhtzbddNPim6r/wQQrvqnvc1zHIS3Vj93+9rfv7nKXuxSEfBw/Nmw8+t73vtdtueWWc2OYrUOezV6qfptsvPHGc37v3//937tf/epX5do+4z4L7b3qt3lt97vf/e4jN/EsRfBvfvOb0h7GehwqYz8z1tRxYuTKTOiD05gJVp+bbrqp2AR7VFdtbOxjg4N2pyps2xjMznynHkKqL2NkvOxzq3bzwx/+sOy/r/GTexiL2bVrVn/QH3PFXGy0b3tsvT9+ry3ecUUwPur53e9+t5zXUutPKDnHRd2H7aVlV+JFS9rvdKc7zbH2Hb8zJgwe6Iqpvt6PQfSt2pe0AW58x2abbTbH1lkylZFrasdxmI07E6z9nLHgXvydNsbJ81Um6jD4DNrXH35PuyrVt/FL6tmPt/2e/2QjfbtzHz9zT9fjs/ioGieK27RZLZ7lzne+88hMJiWC1e3b3/52ec773e9+pW7YVRvo96f6rH6vD3jeWnyfzWj7ak/6Mtvo88IVpx/96EdzdTXW9n3xfGOJ+7JX1/Vcg2M0/+BndVwS2/AL7FDxzNpCu+oTta78QLUDdss217ZEBK8kOM3l0N/61rfKXsdPfOITc43utFUH8NhXRqx+9atfHblTjdLoEcHDKUkK1MSATuYAh913370MFPY+Xn311UNFhk7913/9191FF10016EvvfTS7jOf+UwZRK688soSEHDmT33qU7uXv/zlJZB95zvfWR6E03nIQx7SERQ5rGz1tokI7jrCii/Yddddu89+9rPdu9/97rnBHTH2esghh5SfL2WZlQg2wD7zmc/sHve4x5XqCkr233//7qijjuquuuqqcoq3AfHNb37zUuIo95qmCDYoCxz4lW233bY79NBDi//A4olPfGL3hS98oZx8/PjHP77YylOe8pTuS1/6Uvf85z+//P+kk04qQYM/GD7rWc8q40wtX/nKV7qzzjqr7FNTtttuu3LomfKyl72se93rXleEzWAReBlXqoi9+OKLi6/cbbfdugsuuKC7/PLLS1t97GMf6+qeaT7Sz3fYYYfyPO57ww03lOBrvrLffvt1j3jEI0rSR8Dmsy9+8YtHbuNZiWDPqy3YpYSBsQX766+/vjvllFNKgG/MN05MOum9EJxJi2DCwD5YdX7Uox5V6v2YxzymxDHG0xe96EVlLFVfYrUWtulNAMZIjNiJsvfee3cPfehDyyn0hx122Cone0v07LTTTuXE7xo0n3DCCeX+Dvp6xzve0Z1//vllfCZKzznnnCKM3Etgz5b1g/e9733FNsdJqCzEdVwR/PWvf7278MILO6dKE0fiBwILM31avOAzg/bBD7z0pS8tp9g6efnhD3946XNY7rzzzt0111zTfeQjH1nlcb0hRAzCb9Sy1157le9guv3225c4RUKBEGSjysMe9rDOAbFiHtcQrxh3RhXC44pgvmHHHXcscZU+8vrXv777wQ9+UNqXv8fkxhtvXMVn8GF4qJv2vvnmm8v3DzrooOIzCMO//Mu/7J73vOetwkTf9Hm+TOGLvEXluOOOK371la98Zfe0pz2tnAni3/owBnwrv8SH2e/Mr7HXUcqkRPCxxx5buEhuaC/t+Na3vrXU1VjB1s8+++y5R8JBe7OV17zmNXM/Jzaf/vSnlz7rQCg+X59gT+xOOxOwTvmWZD7iiCO6Rz7ykeX7fPEBBxwwdy32hZ027I8l9A67wlnShv/pF37Bz/VrRWyj3c8444wizt3bs9NOnsGYRDhr02c84xnlO2Ik9mEP+tqUiOCV9KYlghkTI3ECmY5rQJCN4ugFszJWnBoHLvCZVIkIHk7SqyJq0Ozf++67bwk0dXyd79WvfnUZUAeLNvyHf/iHcvKhNpMt5RiJX/93TQ74xBNPLP+WweJgtO2ZZ57ZHXzwweWU3eOPP76I4ZRVCUQEd8UnsB/ZV/7oyCOPLIFbLQYKYgCrpSyzEsEGdYGOxEA/LBm8oAAAIABJREFUADOg4+RnBsDzzjtvIhnhcZhOSwSbhRA48DN8yGWXXVb8iuCd+BQEsAM+RbApoSeIEyA8+tGPLgKLryE25yuCKcKV0KxFUCy4cz/tPey0W4GSU8LrzJJg3pi1yy67lGDm4x//eMna86MCKocwsV+f96yK62uvD33oQ/O+heHwww/vTj311NUe3+wAfyrge+ELXzg3azD4wVmJ4E996lMlSKxcMSEE9WcBoRk+Aadnr0HlODa3Np+dtAgmdgkvYxx7ErzyV8QpH2XGX8LYYaOC8Fpe8YpXlM8SE/wdccWeTRAItgX0xlrBfd82CTGCpYpgdk9IE0+Yshf9xQyrf7Nl47AAl0ivQTP7MwYPzhAulu24IvgJT3hCES+eQexhJksyiVjT54hcfk+fr4W4JQYkw/z92te+tvQrQoYYE39g4DuEbS1iQEn5ffbZZ+5n+qFYlH8h9OqEwOmnn95pG9ciyIkUxSoO/xerVuG4EKtxRDBBxlYIUP5N/dkBJgQrUcyvSJj0E2GSJtqY/9He97znPYs9sD91IuB9xsRGfxZSwoDvvv/971+q4b4YVrvF1j0JV31GIkVSgnD2RxHH4/3JT35ylQTPfFwmIYK1A9sx9ptd5WskMCSN6mGi2k/fqbO+nk+SSZKzvyJUH2AnW2+9dRk3/F48Wwv7Y6OuL4Gpr2A7rBDd4mdjQC2uSSgbRzyrscbBp/1ZWzbNH2oPhQ8wXmgbSW7JLfat8C8Ecj041bUUOkoil23UlUwL2eaw30cEr6QyLRFsqa0pfp2uimCOk3P69Kc/XbJMDLlmUhbTiMO+ExE8nGQVwQIqHXVQUOjsb3nLW+ZmSepVODLimGMwUAjMBY6CPZ3RoKSNOfAawBmQzcBwBIJb7xblLGRaU1YlEBHcleCGvQiQ2VJd4lVJtSaCzfwIigz4mBBHBlwzFgJu5ZJLLimiSNZ4Kcu0RDCfQuiaVeMrBAmCOAGOIEhQJlsvMCS4zFYQAnyNmROcJPIsHRXYHnPMMSUYrEuqa3BInGDHB7q25Kzf+Y7PjyOCnZAtiDczInC9973vPTdrwy+yY7MOtRDFawpcJD78qUXwTfwQDfyvxDK7mC8ZNCsR3Lc/M6ROZD7wwANLW9RXo4gHBHF9kbMUdjtpEVxnL824nnbaaUUgqbPg1aoENqqNjZOEbi39BIf+LSYyi8cO6wopszsEdC36xJpEsLoRQcQuv1lXKgj89SXJIaU+nxmkSb2+Z1wRLAZgv5IIBIq+Ieg/+uijyzMSO94/ThxWoc4HEIV1dYYYRh83Q4qnQsyZEe+vElqTCNZHtItEgeSWGLWKRX5E0q0WWyf4YO0yShlHBFtRYFLAzB/fwcd5Dkz4eP0eE3UXQ9UizhKnKfqUFRfiLlzr7K/nJaD6vmxNIlhigl37njaoy6FxJPbqqj73xE4ya5S4fRIiGCd8CEp2bkVQbS/xJ2HLFiUmFRM29IUVPhJM822LlHTCTd1rYVvsAntjLYFp3JHMMj5ULsYL/s1MbV2JoV3YrnvWpAXbdY3+CeprEsGeXdtqO77T/YxfRLCJJwK9FnaJQxXTo9jn4GciglcSmZYIrsBlLKoI5oQZnWw+Q9OA11577Sp7VRfTmP3vRAQPJziKCNbxh2U9+9lSg7ugjN0YrDhx2VN/akBqqY5/1wDIdSOCh7dLRHBXzgcwiJvNYysEjoxzLa2JYMGNOltyi43ZXxl7A2RdXiVYFtBawraUZVoiWB0E/YIIYsnyNwO9wE5Ab+abz/F7y8KIBzzMvhpPzAp/7Wtfm9u7a5bDsrOaVeeLJGAFFsYe/yYo61LIk08+ucwcjSOCPReBYdmv2TqzLwIebTSfCDbz0D+bod927i/IE2T5I6gWBAuCjKFmJ/QRiYBhZdYi2NJbgb3nlKARJNYxQMAqiFvXRTDugvsa6Eq+SFA88IEPLIn9KoIFuwLlWsz+1lleS4HZnz/eoVpXSPm3wLmWhUSw31suS0wL1gkUiZ1hIljCSPzV3ye7Nn5jXBHMDiwhlWhi2/q2VRtVpFgxIBE6KIL5udonqwjmg/BU9D3XGVUE+w5xS3AQToREnf0dFMFslr+Zhgiu/o7olpSzskDfFh8TY3wUJuo+nwj2fHhKxkjA9EWwmdH+1o41iWDt4d4SClb48ZvEHZ8zKILNyhPB/Zn3+exoEiLYtY2BhK1xkKjkR7Qbv2iFgJlxq6QIeMuHfU6/MOs/TATrN7bPGDPqTKqxxWobsW61EVyMscZjffO6664r92XLVgb5nWQOv2tCj2/Dr8YudcWQcaKWNYlgn5FAcw11NNvvusNEsG1R4u+I4LXxYjMQwQYJe7zqkqiajeegJ1Uigtcsgu2rkLWSPe0XTkEQZ2mG7JM2qYN4XwTLYps9qUu9ZK0Emttss033+c9/vjgey4hkNGtWNSJ4futuXQQbKDn0ur/FbIHlSgIV/xYYzbd6YVI+Y77rzGo5tEGXiKjLu8yWCHBl5OseJ4M7wWR/7FKWaYlg44L9XoIAwYV+YeWIAF8QasZGMGBmzL4922jq3l5LxvgqwU0NmAXcZg8k45R66JYZszrTxG8JhJRxRLCA2yySccwexxrksOW6HG5QBAtkZfcFroMrHWr7DVsObTXNS17yklIvqwHcT7A2rMxSBJtJ4ucFoZaG1+Wenl/gKEjXlvYXLmWZ9EywpAv71A/NJFlCSlxqI4Er8UI8iHXYaS1s1Fip+Jyl4mzdygRjr2I5fw3C/X9NIpgIkQwx1iqeS3Ja8ofY7s8E61f6i/F9TQdgjtMu44hg9dAfPbMEJzu3ZFXf1D6eycE/ntEy+roFhKDXn8QiEiyEL7FP4FWWZgIJGNetZb6ZYAIEA6szajKAgDSLL0k/KIIl/LW1mchRyjgzwcY0CTQizsoWiSP+jqgnovzMwUz2S0sY1GIJsOXJ7EcSRVtbSSXukoxRzA5LDFitUIuxwvfqcmixmq0ZRDfRVc9GwJmY1peNQ30RrC+rY/V/CzGZhAiWCMCJ3+TDxZRmMCUSq68nkNmSRCQ7wk7sYHkz++ifCyGu0G8lVIh9hag1vvJNdQsB9pJ41Rb5e21VD0P07/7hjSaD8DVusUXXrNtv+ltABkWw2X4xt7HdagkJhrp6STLEyiDLqQdngvULCQlLuhdbMhO8ktxSzgRrcI0sg8/xaQSiqn+C22IbtO8Aczr06hQtUbNEUJFd4lzM2OpwHCLnO9/Skb4IFtxwrmZqOCWZKM7HgGUpCefEAVte/YAHPKDcT4DJCWc59Ort0roINugaWA1MBpp6MAWbFJQIDgQBhHL/8Iu19ROjfH9WIphYMLupvwogDaaEjyBHAksfI/rMkiz1ievTEsFElIDYbKjAU7AruBPAC3AkSQQeBIflx1YQCQQsaxMosg/+xwyd4IYIFfwQA4IxQa/gV8AhGCdSzPLU5XBrEsFEC7v0bMQ6sSFwJKYFzwJRAtV96n5g9+cfjXECKfch2oml+QoRNOiDJRzdz/YTQoKAUPdhZVYiWGKVMMG+BolmWCSzzOoT/5Z4Esij7q8cpX+O8plJi2DxCpFl1QEhbFUC/yTYthzeMlFtT1T4v+SHpIAZO4lhAa0A3GwVe8FNkqse7qPf94v/G3ONrzhrf0JOYXv6CbsiWIgX4pI9OthIPxGM+xkb9AyTKuOIYOKJkOXLxX62PEgEqZfZLs9qBlwf0l8lu/RXiRP1w4BPxFUs4jNm/6yU0TfMuPUP/dJHrZCx7Jo96udmOQk7sY8/fDs2riOGwVLSrJ5Fob97Ln2qiqWF2I0jgiVAiF1CRl2Nf2I0M4ySRpKb6iWG8lziNXGyz/NjkoFsSJxl2btr+T7W4i/c+oXv4OP8UQg1q4v0Tf3W1g5/fN/vtBMGbEmiQLGCwX54zzrKYWGTEMF8v7FOPzYWsgV+nhD3nHSE/kTE1qSoZ5Us5KP1ObpDG6qPffnG0Xq6ulhWDKKtJRL0VcU4Z5wVtxLExKi+bzzSXpjZiiSmlYxg23w3267JMLPH9qH3k55WeOmnBLN2FtM4S0EiTBLIbHZd6q8N3Yed+109s4dmk2Azhg2ejL6QjfZ/HxG8ksa0RbAOayBkdJyOwaMuC5Id7WdpxmnA+T6bmeDhZMz81pldnd7AWAM5DpcDn69DOdBFx60ZKoOT63FAgnKDvQwbh2PQ52TscamFQ+EcRllCMwkbWJeu0boI1lYG6DrAmvEz4BmALFmTHWU3BqFJJstGsZFZiWB+0tIrAyUhQXwJEA22Bk0BM1Exi4PmpiWC1VmgKuASPPEldQbIbK1ZC0GaWQ6BrVkwPyO2BEMChbrkllD2Odn5upyc0BAcCyQcjOM0Z4FE3UcpuBJQCgoHi+cRWAo6BH8C0bp6yfgp6conysoTGgIZMxaCWCLWfQUxhNGaXmvFxuvr5DxDfV5+msjyzH5fz2cYfM5ZiWBiwwye8aC+Ckf9zXZpR3+zYTNqkzqYaZT+6zOTFsHGTr5KoEp86IdmpNSRKPEql2p7VZgSYdpGf7YcXjvXA3W0LTvRv83yDS7HF3Trc+Ia91CfejovweT7+o2lr+xSUO96hLnxmv0Z27GfZMJsHBGsHQheIpQdE2z+YEn88vNmy8Qn7MPnJJMUglUdLTfHjZiRgOcH/a1f9Zeb+g4blETFWyKKYHRqt75OSLFNvt29iAxCR8EIf9+RzLBSRF8eRfD5/jgi2DNiyN/p04SdGWn/Vmezm5hIfvAZBBeBLhGiXuyBP7RKxvOpL1ErgcjXee5+MZtq+wexpn4EGhGEgUQisaYPSyZILODtYCzxncQNblYdqOOoSYFJiGCcLNUmMCVHCHC+Vz/DSXJEYlF/6reTPuF36sk+aBD9wjJp/cJ12Q/ONRnV3x+svmyVrZgRNiur3nyd5Kt2sIydLyBizdTWxI14uc7w4tgv2LunuEZ/lODQtmJvfd3SfOOddiHsXdvzsUXPoc8YB/y/P9M/qj+MCB5CatoieDGNszbfiQheG3r57lITiAheauKj329WInj0J1z6T05LBNeamCERHCz1O6GXnuTk7zgrETz5mkzuipMWwfXJBKp1v/nknnbdudK4IrgFbuOI4MpD/M3fTfL1VcvFiiYhgmtdTLIQ8sNeYbdQfYllCc6F3tO+0HXWt99nJnhli0YEr2+mnfqsSwQigpdva0UEr9420xbBy9calv+TRQSv3kbTEsHL3xqm+4SLFcHTfarZXn0xIni2Tzzdu09SBC/2Seu7k9d21nSx91/O34sIjghezvaZZ2uEQETw8m3oiOCI4OVrnas/WURwRPBS2WtE8OqkI4JXZbIcRPBS9Yd18T4RwRHB66Ld5pnXMwIRwcu3QSOCI4KXr3VGBI/SNpkJHoXS+J+JCI4IXshqIoIXIjTb30cED4hgh4p4x926Xrxv1OZ/J1GmhMByJ+BwHwc+OMBhlsWhDA6+cEhJfbfnLJ9nOdzbQSIOI/F3ygoCTuV06MravJ8wLKdDwH5qJ0f3X80znTutO1d1wrrDgvqv0Fl3nn75PqmDmJxY7GCflBUEHHDkUK/BQ6la5eNgPwdDOdU/ZXkRcIiYfdLiz1nulb7NH5ZBtOmEQaevOhVv1FPwlldzrvo0TteTgXK6bEoILHcCTtN2YuCoJy5Oqz6ewTv2nPS9DNzStKo51nW1jRNZh50YPNaF1qMPe8WDZOl877pdj6q6zlXF600Ent6TmbKCgPfnOg22vvokXCZDgJ0ZM2YZQE+mJpO7ilfpOEl5fZhMmgQVcYQzh7xPN2X5EWCvJj8lCWdVloUInlXlc98QCI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zSPElAAAME0lEQVQ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cQj813/9V/fDH/6wu81tbjP3tY033rjbdNNNx7nMRD77ox/9qLvHPe4x9rX+8Ic/dN/85je7P/qjP+r+/M//fJW6/M///E/3ve99r/uTP/mT7j73uc/Y114XvhARvC60Up4xBEIgBEIgBEIgBEIgBEJgWRC48MILu/e+973dve99746YJIZvuOGG7jGPeUx3+umnL8kz/v73v+/OP//87rLLLus++tGPjnXP//u//+ue+9zndgT0tttuW575tre9bbnGF7/4xe5Zz3pW96QnPam7+eabu6233rq74IILxrr+uvDhiOB1oZXyjCEQAiEQAiEQAiEQAiEQAsuCwGtf+9ruL/7iL8qfWm666abuyU9+cnfLLbd0G220URGQ3/nOd7rtt9++22qrrcqMq/Kb3/ym+8xnPtPd4Q53KKL5V7/6VXenO92p/P7WW2/tPvvZz3a3u93tul133XVOmA5W+sYbbyzC9AMf+EC3zz77dKeddtpQLv/7v/9b7vUf//Ef3eMf//huk002KZ/7yU9+0u20007dJz/5ySLk//iP/7j8nDh+0YteVJ739a9/fef76vj+97+/u9vd7rYs2E/qISKCJ0Uy1wmBEAiBEAiBEAiBEAiBEFivCfzud7/rNt98847o3XLLLefqSpjuueee3b/8y790Rx55ZPee97ynu/jii7uXv/zl3aGHHlr+/u1vf1sE7llnndW5DiH85je/ufunf/qnzszu/e9//+6SSy7prr/++u6nP/1pmekdLJZiE71HHHFEEbJ/8zd/U+47WFzPLK8Z3x//+MflWX7wgx+UPzvssMPcx4nyDTfccN42e8pTntL97d/+bRH261OJCF6fWjN1CYEQCIEQCIEQCIEQCIEQmBqB7373u91jH/vYMjtKxCoEr+XRRx99dPe0pz2tO/vss7vXve515XfXXXddt++++3bf/va3uxe+8IVl9tdsq9nXY445prv00ku7K664ott55527f/zHf+w222yz7te//nW33Xbbdddee2133/ved2hd/vM//7N75CMf2X384x8fuifYbLV9yocddli3wQYbdIcffnj3oAc9qNt///27yy+/vPvGN77RvfrVrx56bTPCu+22W1ni/da3vrV7/vOfPzWes7pwRPCsyOe+IRACIRACIRACIRACIRAC6xQBs7Z77bVXOUxKsSd4iy22KMuGX/CCF3TEqZlcS44JX3/MvhK7PvO5z31u7hCqr3zlK90JJ5zQPec5z+me97zndQcddNDcNc8999wicM3mDitmiv3OcurB4mArS7OJ6zqDa9+w5dkHHnhgEd8E8bAZZNcy2+xgrOOPP74860UXXbROtdEoDxsRPAqlfCYEQiAEQiAEQiAEQiAEQqB5AkcddVRHZJ544olDWey4445lmfLJJ5/c3f72ty+zrfe61726PfbYo8zKEsO1nHPOOd1d73rXso/YkuRDDjlkZL5XXnllZwm25dCD5Re/+EWZkbYfuJaXvvSlnaXNZnj/9E//tPvyl7/cbbPNNmu8HzH86Ec/uvvSl7408nOtKx+MCF5XWirPGQL/r707RmklisIAfCtrQTdhqUSxEdEqmFJ34VLEQnANYmGRMkXSmEXY24mlG5D/wlj4ovgKPaDflGGYM/mm+jn3nkuAAAECBAgQIECgVCDd3uyzPTw8/Oc9sr82g7DSgU2XNiFyb2+v3dzc9CB8enraZrNZX56coDoajVrCbELm3d1dX1KdZdLpAqfTnCXSH13n5+ft6OionZ2drXyPBN7UyvMypGt3d7eH7Sx13traao+Pj2+DsoYHXF9f9yORTk5O+k9XV1dtsVj89/Tp0g/0xeJC8Beh3EaAAAECBAgQIECAwN8WODg4aLe3tyv34WZpdJY1Z09vOrHT6bTd39+3h4eH3vFNFzkBOR3f+Xzew2X25mbJcjquWZ6cjnD2EWfy87Dn+L14pjYfHx+3i4uLtr+/v/KDZLpzpkLv7Oz0cJ2lzdvb2225XPYwnhD8fiDWy8tLG4/HfS9xusW5J++4sbHx6z66EPzrPqk/RIAAAQIECBAgQIDAdwjkGKME2s+uhOAE1YTHdHxzBNJwDu/z83Pvxj49PbXJZNKnSa+trfXfcm+OShqOMvqoRiZL5948fzjeaNW9w33r6+u9Rq7sWc5y7s9q5N3yHpubm2/7l7/DsvKZQnClvtoECBAgQIAAAQIECPx6geHooxyflJCZCdFZbpxJ066fFxCCf95cRQIECBAgQIAAAQIE/pjA5eVlXx6dK+cDZ0Kzq0ZACK5xV5UAAQIECBAgQIAAAQIECgSE4AJ0JQkQIECAAAECBAgQIECgRkAIrnFXlQABAgQIECBAgAABAgQKBITgAnQlCRAgQIAAAQIECBAgQKBGQAiucVeVAAECBAgQIECAAAECBAoEhOACdCUJECBAgAABAgQIECBAoEZACK5xV5UAAQIECBAgQIAAAQIECgSE4AJ0JQkQIECAAAECBAgQIECgRkAIrnFXlQABAgQIECBAgAABAgQKBITgAnQlCRAgQIAAAQIECBAgQKBGQAiucVeVAAECBAgQIECAAAECBAoEXgF473BCz9w27wAAAABJRU5ErkJggg==">
          <a:extLst>
            <a:ext uri="{FF2B5EF4-FFF2-40B4-BE49-F238E27FC236}">
              <a16:creationId xmlns:a16="http://schemas.microsoft.com/office/drawing/2014/main" id="{DBF09A67-688D-494A-97B4-9E199A784C2E}"/>
            </a:ext>
          </a:extLst>
        </xdr:cNvPr>
        <xdr:cNvSpPr>
          <a:spLocks noChangeAspect="1" noChangeArrowheads="1"/>
        </xdr:cNvSpPr>
      </xdr:nvSpPr>
      <xdr:spPr bwMode="auto">
        <a:xfrm>
          <a:off x="0" y="1812471"/>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0</xdr:rowOff>
    </xdr:from>
    <xdr:to>
      <xdr:col>0</xdr:col>
      <xdr:colOff>304800</xdr:colOff>
      <xdr:row>9</xdr:row>
      <xdr:rowOff>103414</xdr:rowOff>
    </xdr:to>
    <xdr:sp macro="" textlink="">
      <xdr:nvSpPr>
        <xdr:cNvPr id="12292" name="AutoShape 4" descr="data:image/png;base64,iVBORw0KGgoAAAANSUhEUgAAA8EAAALmCAYAAABilpY6AAAgAElEQVR4XuxdBXyVVR9+bq2bFSNGd+doSQFpMAgVMenuRrqkBUFAShEVJJRu6e7uGoNtrLdb3+85733vLmPgEFT8OMcfbrv3vCee8973nuc8/9BYrVYrZJEISAQkAhIBiYBEQCIgEZAISAQkAhIBicBrgIBGkuDXYJXlFCUCEgGJgERAIiARkAhIBCQCEgGJgERAICBJsLwRJAISAYmAREAiIBGQCEgEJAISAYmAROC1QUCS4NdmqeVEJQISAYmAREAiIBGQCEgEJAISAYmARECSYHkPSAQkAhIBiYBEQCIgEZAISAQkAhIBicBrg4Akwa/NUsuJSgQkAhIBiYBEQCIgEZAISAQkAhIBiYAkwfIekAhIBCQCEgGJgERAIiARkAhIBCQCEoHXBgFJgl+bpZYTlQhIBCQCEgGJgERAIiARkAhIBCQCEgFJguU9IBGQCEgEJAISAYmAREAiIBGQCEgEJAKvDQKSBL82Sy0nKhGQCEgEJAISAYmAREAiIBGQCEgEJAKSBMt7QCIgEZAISAQkAhIBiYBEQCIgEZAISAReGwQkCX5tllpOVCIgEZAISAQkAhIBiYBEQCIgEZAISAQkCZb3gERAIiARkAhIBCQCEgGJgETgFULACkCTgfFYrawJKD+U31OLRjTCdjSajLSWXofqSNS2/2o7GZiMrCIR+AcRkCT4HwRbdiURkAhIBCQCEgGJgERAIiARcESABFajeZz2qn+ZTGYkJiYhLjEJDx5EIz42DnfDIxETG4OYmAQ8jIxBfEIKjClGWCxmhQ2Tp/KHVge9wQBXFyf4ervD188Drq4uyJTJBz7eHvD19Ya3pzvc3d3g5OQEg16XzsJYBbV+kvpKMizv4v82ApIE/7fXT45eIiARkAhIBCQCEgGJgETgP4qAyWxGdHQsbt4Kx9Xrd3HizE0cP3AXcXGxiIqOR0xCEh6ZEnE/IhE6jYVs2TZToe+mzlqbHim1Ahb1dUtqXcFqLYIvW3R6BGdyhafGGZ6uzvD2doO7uyt8/X1QuEQA8uYIQvasgQgK8IOfnzdcXZ2h0WozpFL/R5dEDvs1QeCVJcG7d+/GqVOnnlgGmn2UK1cOR44cgdlsfuL93LlzI3v27Ni2bRtY991334Wfn5+ot2vXLpw+fVq8/tFHH8HFxcV+/YMHD/DTTz+lu+yFCxdGlSpVnvuWSElJwfLly8V4qlWr9tzXP+uCX3/9FTExMWjVqhV0uvRO7jLW3eHDh8F/77zzDnx8fDJ20XPUmj17NvR6PT755JPnuOrlVb1//z7WrVuH5ORkMY7KlSujQIECL6+DNC3dvn0ba9asQb169RAaGvq39SMblghIBCQCEgGJgETgP4CA1aakajSwWKyIj0/EvfuROHjyGk4evIhjp69g94lbiL8XrxBcTy00zlpobWRXmDubrYDRCg2ssFg1sGi0gF4LJyctfAx6uFv1Yi+o12vgZOBPrTB/5n9gXZuZtNVK4muF2WyFyWSF0WQWe2mz1YpEmBBnNiPeaAGMZiDZCiTwJ/faJNAG5C3hh4J5gpAnVwhCc2RB0aJZkCU4EzL5ecFDqMl6G0dXiLeYuc2KWpmOVI//A3fsazPEV5YEd+vWDVOnTk13IcaPH48hQ4YgKSnpifc//PBDNGnSBE2bNhXvHTx4EGXKlBG/f/rpp5g3b574PTo6Gt7e3vbrjx07hpIlS6bbX/fu3TF58uTnvini4+NRpEgRNGjQANOnT3/u6591Ads8ceIELl++DIPB8Jfb3rdvH44ePfrYYcFfbiydC7Nly4bY2FiB979RKlSoAM5RLTz4OHfu3N9GULdv347q1auDP1/2wce/gZ/sUyIgEZAISAQkAhKBv4qAQgItViuuXb+LFat24NuFf+DmxUgke2qgcdJAR47qQBBNZgusUSYg0QRYDYC7C8qF+aNaWF5kCQlEthB/hGT2g4enJ7y93ODsbICLsx5anQ46rUKe/8z/l7yUhJhkmHIw+0xOMSHFaEJScjIS4pKRlJSIR7HxePAwFpFRsXgY+QgPH0bjxNm72H/uIRKvJUKvSYReR5HBFbnCQtGyXglUqVQUBfLmgJ+vp90sW6AnfJMlCf6rd5K87uUj8MqSYItFOa3SarWoU6cO4uLisGPHDnHSxQ833+PPr7/+Gp06dcK9e/fg7+8vXlu9ejU6d+6MihUrCrJD0sxCQta1a1f07t37CRLM9tgnrx87diwGDhwIqsNUR/kax8G/R48eLdpp3769XUnmtbdu3cKiRYvw8OFD0X7mzJmhkuC33npLjJHvU4X84IMPxHju3LkDqsUc9/z58wWhHTdu3GMKNVVFquIs/fr1g6+vr/hdJcFXrlwRCqfRaMSoUaOQmJgolGcqr87OzqIu32P7JM0DBgwQGPIAIUeOHGK8JKhZs2YV9TnmL7/8Eh4eHujRowfc3NxEG5zj+fPnxcGEp6cnatWqJdblzwrxf/TokeiD8+VYOIdvv/0Wx48fF+vn6uoqmklISMDvv/8uDi6KFy8u1OkXUbmpABMnKt0lSpQQc6Wiz7U8efKkaJv31ZQpU4SqznUlbhwPcbx58yZoWUALgu+++w59+/b9UxU5PRLMNeI9xfuImObPn98O22+//SYIM3Hv2bMncuXKZX/v6tWrmDhxoriPadHAdZZFIiARkAhIBCQCEoFXEwEqn45E735EFOYt24Q1Kw5j3/Xb0CWaAXeFqJKIWuJMsCYbYXVyRpMaBVAwXzZkyZkFRQsFI3OgL3x9POHm7gJnJydotemT24wG0HoZiCl7ZSvMFjOMKSYkpxiFpV1MbKLwTw5/EI3rl6ORZE5GJl+D2G85uRiQI1sQCuXPCU9Ptz8l6C9jnLINiUBGEHhlSbDj4Em2qCaSjKQlAiRRHTp0AM1eAwICxGWrVq0CleRp06Zh1qxZWL9+vXi/WLFiWLZsGWrWrPkECXbsb8yYMYIsRkZG2kknyQrVZap8JEyXLl0SZI0kb8+ePYIUVq1aVZBammKT+AQGBgolmCaydevWFX1yDhs3bhT127VrJ8ZKksMHCwngm2++KcxpSZgmTJggSPEbb7yBixcvCpK6du1ahISEPEaCSaBIykmWS5UqJcbFcXLuJLMtWrQQYwwLCxP9582bF3fv3sX169fBuY4YMQJnz54VpI991ahRQ5DVvXv3CpW4UKFC4iffoyk6x0FMqY536dLlmfeZIwnmOl24cEEcLJB8btiwQcyDpt18ULJ94krl/o8//kDr1q0FQf2rhXMmniS+n332mVj/4OBgO7EnKeZBAPEgphwPDzB40EG88+XLJ+4jruWhQ4cEUaU5fZYsWZ46JEcSzPuBa0LLBK4Lg07wPiJ2vKcnTZokDhw4b64HD0GoWnM8NCPnmjZs2FCsC79kDhw4INZTFomAREAiIBGQCEgEXj0E1EjN98IfYv78TRj05SpoPDTQueuVWFXJZlisFuT180P2rN6o26Q03nyjJHLnyg5nFydolAhZr97EXmBExCQhMQmRUY+ggRZBgX4wGOSh/gtAKi99SQj835JgkjOqfXny5EFERAS2bt0qfEOpLpIMpjWH/jMS3Lx5c0EUaTZNgkpCQx/ixo0bC0JL9ZAElQoriR7JLwkxf5YuXRorVqwQfhf0SSX5oqpK8+yVK1cK32eSM5LR4cOHC+WUpIckjERwxowZol32QUWZptWOSvDSpUvRtm1bQeJIrkjU2C/bJsFWSdV7770niBTnz3GQEKskmCbC7JtzoqouogQaDJg7d65QRzm2oUOHisMIqsObN29GpUqV4O7unmESzLHPnDlTkG8qz1RFqSwTJx44kIjyAKB+/fqCPJJ8q/7cf/V+p/k7cWYhflToSTZZuB5cMx4YcB6ZMmUSBxm0JCAZJ27ffPONmD9JMA8ASKxpYv204kiCWY/rSpLL9SfR54EEFV6uAy0EuNZsk8rz/v37BWHnWtM6oE+fPgJ3WhlQyeZYn9X3X8VIXicRkAhIBCQCEgGJwIsjQCV47/5TaNhsIqK0Ruh1tAHWwBhnhiY6ES3bVUL3LxqjcMFQODkZhPmyUmx+w0LW/e+TYPUwwG6Wbc/clOof/eJoyxYkAi+GwP81CSYZbNSokSAS77//vjCFJongv+clwSSVJG8kQiwk1SSTJINU53r16iWUW8eSnk8wSSnNgqkukpxRGSThIgmjOfOgQYMEMaKaS3JNk2EqmCwff/yxUBGpUpLM07yZ7dBMesmSJThz5owgjVRZy5YtK0gqTWxJJkmw1LHzoZQeCSZJJtkjEVTnmDNnTtEHiRvJPIkxsaCyTXKommc/7TZ0VIJVEkwiTcw4NqrJJMFUQNkvDxBIPjNSeB0VXrXw4IOKq2Mh0SUePHQgBlRYqeQTK87ll19+EdYBJJ40tycBpzKtkmCV9FIJZ9vPQ4I594IFC4rDA64Ri+rrHhUVJfrt2LGjWCseANDSgIceN27cEGbYRYsWFdYNKj68N9iWLBIBiYBEQCIgEZAIvBoIqOmN+HPW7NXoNOB76L10gsyao8woUSgzPv+4Dhq+VQZBQX424pvGiPmxP/9JA+d/DsN/dlZKb2nN05UoXf/+IYMttbODK7jDIYia2PnvXBoGa7MdtiiG+amBzF4nv+3/exJM09YffvhBmLKSBFHlJBF9XhJMH1WaCJO0spBcUS2lekgCS1WT5q0mk0m0TXJIYpU2MFZ6JJiklqTQkQSTwFMVpGm1GpmaKiIVWxJV/q6SYBKjOXPm2BVl9k/CxjqMgk0STNNmknZVUU6PBLdp00aQbv5joY80zc9J5niqR7WWCi2VaWLJCMiMfv2sklESzDkRG86PPrM0DyaGjhG80/ZDtZykVS087CDxVwtJN5VtElrVjJjK7ueffy4OEkhoGUiN/sk8LKHVAINZOZJgmmVzXE8jwbyveH+RtFLx5eEIze25blTy2SZNrKmys3BM9C/mQQjvG85zwYIF4jCFJHzTpk3iGh4+EGeqxcSe/xjIjfebLBIBiYBEQCIgEZAIvCoI8Dsa+H3zAbzVbDIM/gZYjRZ4u7ljYI+6+KRNPXi4u0pf2H9wubhnYpCvhIQkRD+Kw63bDxEdE4f6tctClxqJ7B8cUWpXpJzkEMnJKYiNS0R0VAyOnr+DsOI5kSN7sDg8+btpuqrUMz0XfbsTEpMRn5CAAH9fuLmmZs75VwD6Bzv9vyfB4eHhgowoIeHNgrz9FRLMQFs0k2VqJhIfEh4G3KKZdP/+/fHVV1+JwFkMwkQ/TgbW4jV/lQSTcDOIVu3atYViSDNsKrGMis1/7EMlwfQlJomj6S/VYppHU/mmakyyyxRPJKz0ESZRp2qdHgnm9XyfBJEEn9dRqW3ZsqUwiybZpikx3ytfvrwwLeahAE2YOXcS7rQloySY6jRVTyrcJPTElyR8586dgsBz/lR9HQNlqcHM1D7VAGbq3zQPp2JNYsu1o8pMnEg8qQbTFHvw4MHC3Jhkn0SWBPZ5SDDvL5o809SaZJs+6iNHjhRWA3ydc6JvOA8WaEbOwwmaRfM+5DrQFJ7jZDtUg0nIadpOBZnj4oEGDx54n23ZsuWpEcz/wWeG7EoiIBGQCEgEJAISARsC1PBMRjOq1xyA/dfvCNPm7D6eWPNjfxTMl12xbv5Pmzk/j3r6PHX/vlto9W+7MWXu7zi88zqMiSkw6XRo1rwQlsxTgsP+mxbn4fej0H3AbGw5fhvxZ+/DbNEg2WjB1q39Ua0ys9QwANrfhw1bTkkxYs78X7Dr4CUcOROO8FPhMFvi8ceeSShZPDV46987in+/9f8ECSYxYeTg9AJjUS0j2aTCGxQUJBCl/yWVWZq88man4sbovIzuS/WPaiHNUZ+WF5fBikg06bur+qQyOBGDVJFYUk2l7+2wYcNEJGYGvqJpME2GacpKEsOoviRpJJL03+U4WWj6yiBdrOto3kylku1RMSTx8fLyEuojCTbHykICR3JNskdyx/mRlJLAUfEkgSVxpHpKs1s1TRSjUnM+xIfklWNxJMHskwosryOZ//nnn8XYOVaqqzxEoD80TXpJvOmvygjRJJD0p2XgJ5LUa9euPXFHc14cH+fEwFgkiSSgvJ6Bn2ieTHNfmiZTpeUc+B6JIudKn2tiSTWVBwPPGyGZ/ZHAE0sWtsfDC86JPuNUv2mezXXkgQN9ljkXjpeKNO85YsXDDQbsIiF1VJvV+41mzBwfSa8afI3rxLly7CS6DCjGa3kfsR7JNgkzseYYuDb096biS7xp/sx+iQUPB9iOVIL//YemHIFEQCIgEZAISAQcEYiLS0DxUt1xIyUOhigN9u/9EkUL5QCsIi9Qhsq9+w+xbfshoVSKHL+quaqGfytploTkbEtvZLUoJrQin7Bjfa1WdJm2vpPBgAIFcuHY8bOiDaZHMpvMMJotMBpNqF2zPHKGZrab6MbHJ2Ht+l2wWpgjWKnPPSZ/BgT4ov6bFZ9Qt5NTUvDr2p22AF8clpL/iT+ob6qWbUqKJqvo981aYfDPxJSlGQTqGWjajIrx/vtTsWzzPuicFSzNyRbMGdMGH39Y719N08Q57z94BhUqDoIuxA1a+oxbAZ1Zh6uHJgtzeZa/Wwu+cvU2cuf+GLpgP0DPDDjKGMLPzIKX5+sTgPU/QYLpI8tCYpg29xlVWZrFkjioKiGDDJGo8jUSCJrxUqnjPxIVEhOa2vK99Ap9SEnMHNtUHjpW4a/Lh0DagE18j2SV41P9ZFmP9UnwVHNckivWVSMk03xaHafaL99Tx8Y2eA1VREfTYHUcagonjo9zI5lyHDevp/JJYqn2RSKpkmAeLhA/vs/XOTbiQ9U8vaBUxJLFsQ/2ySBOJJxpCzFhm2yL9ThGdX6cA8fE99R1VdeT41HzH6uv/dUgWVxLYsuStg31PRJUYszx8neq3RwvD1D4t1pP/ftp8+SYOfa0RZ1rWhKrrhmx5/2dthBvvsc2/yzvX4a+ZWUliYBEQCIgEZAISAReKgLxCYkoVbonLkdEYs6kVmj3QUN7jtyMfndPnLQKfQYts5FBeySp5xinKjmnd4kG+XP5oWrtvPjm673QaHWKPM1LtIDVaMb3P3TGe02r2S62YtXafWjx3mRYzI/vlUm+u3WtjMnjOj+xL9m+4yCq1x4Fjc7JYRBPGZfg9Em4dO5r5MoR8pL2OIoS3aDRl9h44rydV1tSgEMbvkSJIjlhhUVEqf7Hi+0A45e1u9H87RlwyqwXhyRMOdWgUn6sWDwAej3X5cUPA/5sbpu3H0btN8fCKURJpco1fbdGMXw3v49yqPKalP8ECX5N1uJvmSYJLhVdEjkqjTTTZZRhqrY0VX4ZhcoyzZZ//PHHl9GcbEMiIBGQCEgEJAISAYnAfwIB1TWrdsMx2Lb/NG6fmoaQzAFCpSXRzKiq906rUVi198xTdECFSKrU+DGaQjKZRnAWfMvhNZPZijcr5MXhc3fwMDoeOu3jRCclxYLJX76P7h/VE6NmHuCGzUdg89FL0DxW1wpzohWLp32Ilu+8+dj6UHR5+4Ph+HXbReicFJKZ1jjacfwWkxXlCgVi86qxcHFRyBg0GcdLaZ/1+Ys6WaXH0uW642REhNIkgExGA86epqWdhx3FZ66LA4CquuwYQOrJGzO1ln3i6vhspFL1wx00/geMnrYGTk5sUQOL0YIpA99Fp/aNbM1SMbdRYXWZXnLqrGEjfsDwb1YrCxRjBuKTMXPWR2j/RaPH7lc7vnYkM/6RFPP9B/ybMz6iJ2tKEvwi6P1HrqX5Nc2BadLNQv/gZ+W6fd5pUWWlivo0Zf1525P1JQISAYmAREAiIBGQCPw3EFACY508fRk16gzFxt8Go1SJAs819IgH0ciZ/1MkpthYj7MOek+qggrVIyUyJ1lgjUux0brUaL7CeNagg85bZ9cQeYVF1DeKFiwmEwb2r4dRo7fCkFnJWexYjGYrRndsjn59m4n+tu86hupvjYfBTzEnVgvbNSZZcfj3oShVIt9jbURFxyBb1jZIgAs0GivgxDno7cKmMIE2WmB+lKKYRpstmD6lNTp82lQZo9UKrValpnZH6jQjfVwhp6U2r7GPj0Fco2OQs1w3JJlsc7dYkcfVFydOfAUnJz0YDEpHJfwpBE0hq1aYLVYRyZvTp9m4Rqu173NZR8XFkShS1eU81OscKb068tatJ+LH3UftBxHWJCt2rBmECmUKps6VAVGFCboFWpt5PN98NhHP+C23bPkmnD51B1nzhiBPdn+EBHkjZ2gIXF2dHdZbGTHnJG4BezTppynFyufAbLEInFKX5dVVliUJzvg9I2tKBCQCEgGJgERAIiARkAhIBBwQSCVmc+ZuwK49RzB/Tm8YDCSAGdOBY2Lj8eOqnXB20gvXvvXbT2LJmgMw2JgEe6hZOhe6tX8Lj2ITkZCQLMiJwaATJrSbd5/Bgp/3wkAfU+G+B9QolRvdO9bHo9gEJCYaYTFb0a7HAhjc9faxq/SExG1Qu7cwdEgr8V6D1hPw+85j0OkfHz/H4QEDzh6YjKAA38fugvj4RHy/chucDQbodTqcPnsFY77eCr2zTRW2AqHO3pg+8wPExichMSEJodmCcPToNRw6dhGR0fHw9XZHudL58Fb9ssgVGmwjZPSPVqimxWzBxSu3sHXrSRw5dh73H8bBxdmAQvmzofobxVG+TH6cOH0RFWoPh95bMck2JVnwQdMSaNumPtas2YOTZ28h0M8TbVpWR+2aSrBSHkJcuX4P169G4vrN2zh8/DIqVsiPsHJFsHrVbhw6eRU+Hq5o1qgSmjauKHBXVW5GeN538By2bTuOMxduIT4pBf7ebihdIh/qvFkKhfNnh1bLYFxWmEwWVKnZD0du3LWvk0eMFmfPTUVgoC+MKUaBxdYtx3D01FXExCfCy90VxQvnQL06ZVCsaE44Oxue+PRxvUUU7DsPcOVqBKIjY0ET/eQUkwjaRpWeCDo7afD5Jw1x++4D3Lv/COfP3cKZc9dw/NRVzJnRGXlyhoh75/adCGzcfhL7957EnfBH4r4sUjAU9euVRYmiuWBwMoibjHcHrQZOn7uOjZuO4sixS4iKSYCbqzMK5Q1BubBCqFguPzL5qe5+rxYhliRYPsglAhIBiYBEQCIgEZAISAQkAi+EAANHWbFz11FAp0O1SsUzTILTdtuzz1xMXb7drhaarcCkni3QtXOTdEfYu/88fLVsm71+itmKUe2bYkD/Fvb6AwcvwLjFWxSFzgoYU6xwElbIGlisQPf3amD82HZ48CAaoeW6wmg1iWstFg1EViGbJh2iccPZM9PhqpowpzMiKqVjv/oeg0euhs5bId0mowUN65bDyrldRXTiLt2nY+HCgzBl0kGnTTWcZuAtQ3QKvl3QHq1a1BDXcsjxiUlo33MGfvzhEFI89NCrbr1WQITuiknBnGnvIyIiCoNGr4eOuZqFwgzoLBqYkkzQuCjKLudvjU/Cmh96o27tMHz6+VdY+NN+mFy00OnoMWyF1qgE1LJ6am0exBqYEk2YPbYNPmv3liDB4eEPUa/RcJy8+hAal9SozkKJtwL6B2aMGNEIfXq2EiT49t1IZK/cA3qLWYzNbLUiyOyNSxe/QnJSCpq/PxI7912H1dUWHM2GLSms5oEZjd8qhZ9+7JNqFs+5W4HRU5Zj7NAVSNE6w+jBQGTWJ3x7rWYrPPwz4ZdpbVG//giYvN0BzlUDOD204Oq1WQgM8MGCxevR8fNFSPLVPHYIIqybo8xo8lYYlv/QVWBIct1r4GzM+mYnTO5aWw5sZdAcl9VoRZWCQdi+dbJtJpIEv9AjRl4sEZAISAQkAhIBiYBEQCIgEXiVEBB6sO1/EQ+i4OvjCb2BpsfPt/E3mcyo1XAQ9p5TXNhYUsJT8Me2oahYvvATU2bslzebDHu8/t0UbNs8EG9ULi4GRUWwWr1+OHo5XDBKJ50OfT+rjmGTN0DnqhPqX/umlTB54mdo33M65i8/AK2zFsZEK/KG+OF6tJKlhIpxIZ9gHDo4TlG6n1KSklNQPKwPLj+IEESKxRSZjB8Xd0LDuhXxTqsxWLfrDDRuDA4FmKLMsNJM2V0PrZvCbr3MeuzZOgL58mRDZFQM6jUYi8MXrkPrYYvmxRBXjJBNkqvVwJhowcW949Cy1VQcvX3X3q8Iqq36ZjssBYNBFQz2w6Fdk9H8nTHYcPyCMDdWvIzZrjDatpkBKySd13hoXHDj1HTcj4hGWI3hiE6JhdZA2gxYEsywJlug8yM2jPxshTEqGT9+1xktGlfFb5v2ouE702HwVQi6Od6Mbp9Vw4CerVCn2WgcP30DGndl/majBXhkhsZPb4sADphjTRjapwEG9mypKNgPH6Flq/HYcfwytK4GezA2kmsaBTiasptjjJg0+h1orRp06/8jdD7K+tE3O1eAP07unYAZs1aiz+gV0LrTpB0wJ5lhiTVDS/N8L0X9NkeZsXjex2jVohbmzV+Hz/suEuumztf0kGboGoYtB3x0eLtiKfzwfQ/RV0aDxP1Tn2upBP9TSMt+JAISAYmAREAiIBGQCEgEJALPQOB+RCSCcnaAU4BCUoQf7rUY3LkzH5kz+z9x5dXrd5GrRG84+ShvidRD1xNw/eZsZMsSKMjM1Wu3katQdzgFOYv2Cnj7YcLEd/BWy+nQeRgEkXyvegkMG9ISRYp3hymTEyzxFvTrVAub15/F0buK+S4DbFXOlxdbNwwRqZyeVngIkCNHJ6T421I48doYE64cm4L5y7dh1LiV0Ho4icm5JGsxfmRzVKtSHB26fovdZ64IP19TrBm9OtfGmCEfoe/geZg8Zyv0HiRilCCVo4XCoVnh5ueKa8dvIzSnF35bNRT587VHlEtqkGW6J+fzDkBkUgLCE+OUtES2klXnjBMnZqBi9f44d/+BHW+NBQjWuyERZkSZk+yqqsD2jgk3rk5Hj97fYNWOszstTfIAACAASURBVNAIq2vFZ7t1vdKoXqswOvZbCrPO5lMLoFlYYXy/tB/6DJ2HKbO3QuehkGDTIxM2/NwD6347imnzt0HnpfhrUzUvnTMU3brUQNfhKxATnyDq8xDCL9EFZ85OhpubC95tMxq/77koDiwECU+xINjdHYE+frgQeR8pphQ78bQkmHBmzwT0G7kCqzYdgl4l7o9MGDO8CapVLIbyVUfAKVC578xGK95vUhp9OjfDkqU7MOabDdC7asX95Ralxf3736Jijb44dUcJQMZ7SH/fgg2b+8DPxxPrNh3EyMFrMfObD9Hm3VrKYdDznQf97c8JSYL/dohlBxIBiYBEQCIgEZAISAQkAhKBP0dg6/YDqN1gIvQBik8r1U7TLSuSEr+DM30x05Rf1uxCi3enwRCkRFim76+XjxtuH5gJZxcnoWYu/2kTWn74LQyBBkGk3siXG8OHN0XVRmOg83ASBKp+mfwoXyYPBs9YC50eCIQ79u8Zg1I1+iAqKVkhbTEmDOjxJkYMaPtMVe/E6SsoU2kg4MucxQrzKZIlEOt/HYKcOb9Aip/elvsYeK9aKcz+uj0Y5GrM1BUYO2s9DE5amCxWlA0Jxbp1fVG4YndEJTMomO1QIMWK1Qu6ol6N0oIwh0dEYfuuo6gcVgyFi/REsm+qn3azSkWxaEFP/LHvGGo2nAC9r4Ihccjj6o0tW4cja6VeMFhVE2Ugu6svDu8djWMnLqBmnTEwZCarVtbC2c0Na+Z8gZq1RkMf4qoIoFSI3d1wff8UODkZUKxoV1xLiVVjSaFIUCbs2joepcv2w8W4+3azdWedDofWj0SVykMQ5WK01w9wd8WxHROFL+0XHaZj4foD9rm7RGpw+AjHdhnvtJ0Ng6+CJc2di+UIwNqfhsDNxRlhFfrhYnykncDn8vbBiYNTUL5CL5x8ECFeFwcssVYc3jIE3UatwB9/nIXeSVmvHD4+OLhjvMD31LkrqFB+OAzZlYMLpwdGXL4yG8G5PoNTgC3NEhX9FCv6dayNvp2aw8vLA3sPnEG+PFmQyc9bkuA//+jLGhIBiYBEQCIgEZAISAQkAhKB1xOBL/p8g7nfbYfOjQRSMbEd2Kk6hg76NE2kZiUw0ed954j6BlebD2yCGQO61cGwfm0FgDRBbd12HH7cekKooCSyg3o2xnvNy6No5b7QeSgkxsfTVfh0PoiOgznOgs5tq+OTj2uhWOUBMHjZ/HojjFi84BO0bFHrmST420Wb8OmAhTAY1CjWwId1yuDTDg1RscZgaL1SVWQXgx6uej2MJgvijSZbHl+FpJYIyIr+g97EO+1mQ+elHArQZ7h0nlzYvWGoLUCVTV60WrF+40E0aDfVTuQY4Xnwxw0xdMh7+PHnzWj5yTxhBswraIrc8aMqaFy/PGo1Hg+DjRxT0f2wRRl8M6Ubtu08jDp1x8Ngy6fLdEbNahZB7uwhGLdgo1BTSQrpOzx50Nvo3LEpkhKTUaRoZ9w0JdhJbd4Ab2xe+yVKleyNB4YkO3Zlsoegf//maPwxx6youRxzswolseKHnmK+bdtNwvfbjtk/DE6PNPhj13AMGbwY645cFFbHvE4XA2xa0x+VKxbG9ZvhKFO1H2KgRMimStugTAEsXdIb+Qt1Qrg10U6qs3t5Yf/2MahQoT+uJT2yR4Em+fV1cUGKyYIEk0lE1VYDhRvukwTPQs16w3EpKtI+NtUkPGuQDzp/URPtP2oAN1cXZQBSCX49H2hy1hIBiYBEQCIgEZAISAQkAhKBpyOgEIU3qvfDH1dv2VPMmONT8Me6wShftmiazLtK/UqVBmD/reu29EIamOOTsfu3YShvS7lDlbJCpV44du++6NoYkYy9O4YhyN8Pecp0hs5DUTkV31nFldM5UYPDf4zG7v0n8GnXxdB5KCTYGGHCvu2DUa7Mk77J6rxoLtulx0zM/nmvkmNYA5iSrRjXswXy5suKpl8wVVEqCaZyLSJbKZmJbOTMKhTtCmEFULV4ICbM2gmdLWUUTYjHDWuKXl3efQxK9jtq3GKMmLkejJpFopvyyIifF3VF07fC8H6Hr/D9L4fthwum6GT8uqwr9hw6j/FTNtsDaZmijPhu9kdo/e6bmDRrJXp/uUIcMAjinGTBjBGtsH3bKazce8revyUJ2LZyICqHFUD0o3gULNwZkQaFgLIUDfHH19Pbo1qTkTDpFK9jkt13q5RAwWLBGD71d2htmBgfmTBjQit0+LiRUJ5r1huAPRcU/3CagrtGa7F6bS+0aDsZj5i6yRaEyj/FGefOTYWXlzvWbziA+h9Mg8HN5o+dZEGvTg3Q4YOayFmhF5wMNlNtRhEvlBsrlvdBoSJdEKFNtgfd4g0hYqPZnd0Vtk2cXWKNuHnrW6xcuQ8f91wAvYdWrLVKknkvme6b0G9QI4zq39KB/75a9tDSHFo+jyUCEgGJgERAIiARkAhIBCQC/yoCCqktWKgDLifG2N0nDdAg/PRcuLuRrKZGURZBl8wW5C/QEbdMcXYC4q414ObJ2XB3U5TT8PsPEVKyG/TKn0ix6BF7ZqZQXgPytIXWw/Wx/MIkOR2bV8HEcZ+izefj8dPvp6BzVsiLBTpc+2MisoQEpIsUSVpiYhIyl+mChPgEuwms8UYydu0ejPC78WjReQacbCa3KRagaHYv5ArxgqurHjqtQaSI0usYaViDipWKYd/B85i3/BB0LjalNNKEr6e0xGcfNX5sDAzGVb/ZQOw+eRegKM4I2LcScPnSdGTJHIDceTsiXEN1lsTcCmOkCddPT0O1Dybj5qVbIiq0wCfGgrN7RqFA/px4/6OvsGzbIeht7M5kAnb8PAgjhi7CjnM37P37JDnhyJFxyJLZH2fP3UHhar1hsAX4YqU3i+dB46Zl8fmApYLssidjghnjBzXH4SMX8dPGU9DaMDHeScT2bYNQtWJJREREIzhvB+h9bWmmYIV3nBPmL2qHJu9OhS6Ti0KozVaEuAfh8onx0Bt0GDZyIUbP2AiNzTrAdC8J2zb2x93wWLzfaTa0rrZDDaMVH7ashimDW6FAka6I1CkkmOuYydMVpfNmgpeHAVqtXqS9YjAupuRycXXCpDGdodPrcODQWbRuPRnX7sXB4G8z17flObY+NOLGpVkIDsxkuz8lCf5XHzGyc4mAREAiIBGQCEgEJAISAYnAq4OAoswxKFbWYh2hcSFJESGgkN/LDyeOT1ciFTtEFuJfFy5eR9Gq/UXqHxYl6JUvThybbvvbigWL1uCznkuh9SCdBppULIwflvQDo1C7BLeE3ksxhxbXkzjeScDxI+ORIzQzshbohAR9it2HtWj2AOxcPwaurgr5ciyqYHjqzCUUL90P+mBnQTiF3+mNKNy+tRAXrkagRrORMLgq401JsmBItwYY0ktVdZVWY2LisG7jfrzXogbGTV6CoWPXQ+ulqLFURyvly4kN64aK/LUc85Wrt5BiMqNQmV4w+LkIkquokUDcg3lISkxB/vydEOthhdU28OJZ/LF+9XAULNAFUW5mu/Kew9cTR3ZPhpNBjzdqD8Sh63fs0/RJ0ePY4Ulo9/EUbD1z1f56gMkZR49Ogr+/DwYMnYuJc7fZg1UxwFTvdjVx6dot/Lr1HDS23E6muwn4Y+cwLFiyGQt+OexAguNx7PB4FC2cB1/N+hm9B6+A3lshl4wYXaFgKAb0bogGb0+GjnOlAblVg2B44eLZr4RFQO5CXRBujBXm72JN78Xh9rV5aP3FNOw6dBk6m5m68YERS+Z/iqYNq6BwkS64ZY5XSLDVirDcObDl96GC/PK+4zkADxpWbziAutVLYd7Srfj8g1rwcHdFXFwCVq/dizYd58PgpaShYjum+4k4tGc0ShbLL8avKsWvyudOKsGvykrIcUgEJAISAYmAREAiIBGQCLx+CFA50wA//rQJbTp+C61bavCmyjlDsW3b6CcwIVGZ8+1KdBqwAjr31Jy4VfNkxZbNY0X95OQUVKnTB0cu34fWoBHRnUd0bIpBfd8Wgah0Qa3g5OFgmpxsRpNahbB0Xj/cC49EgQJdYQpUfGhJphqGFcCKZQOg0Spq5mMk2GbKPOe7dejQeZFdFaRK6atxxc0Ls/Dw4SPkzdMZpkCd3S82JRn4uHEZhJUtKMjXxcu3MHPVftQplBUrfxqKA4dPo0Ld4dAzmrRtHKZEC9o2LocqlYrg2o27mDx1PWZNfx8ftJsHQzBJvQZWkxUNq+bDL0uH4szZ6yhVYwCsLqmjblahEEaOaotiYX1hcqM9tkLY6xTNg7Wrh+HW7QgUrNobyRaTbf5WhBrccfToVHTuNhtLNh0ShJPFOVmP5Ys6iYOFRs0mwhDopBwAkIBGpGDz2l6oVXsCDFmd7WmMjHeiEH57CX5etRudhy6DzllZQ+MDE76a+B4qly+M+o3HIlKTGp0aCRb8tLADggJ9UaH6UOgzKSSYBtb6BA2mTGgNF70BbT/9BvoAW8okC1AydwDWLB+MoKBO0GfXKn7EPCS4l4iDe0eheNG8qF57CPZcumZLLWWFJcGK6uVzoNGbYfBwd8Hdew+xctMh3LoYhUtnZ6BEqS7IXigrRg9qhWwhfrj/IBpVm41EotEogm4xt7EpPAU3Ls5E1iy0HHjeZGF//2PglSbB06dPx+DBgzFgwAD06dNHoFG1alWcOHFC/P7hhx9i6tSp2LRpE95++207Whs2bED58uXtf/v42OLGO+DZsWNHjBo16pkIG41GrF69Go0aNcLcuXORP39+1KxZM0OrwjG8+65yshUREQGD4cmIfhlqCEBiYiIqVKiAY8dSHePTXss8cbVr1xbYLFq0SIz5RcqdO3dw9epVVKpU6UWakddKBCQCEgGJgERAIiARkAg8CwESErMJ1Rv3wb7j96Ax2Exmk8zo0rYapoz54omrjUYTilTvhivXI6FV1cVEC/p2qIXRQ9oJcnTn7kNkCfkY+lAPsMWUOynYunUAqlcqIchYUP6PEJ2S6rtqsGpwZPNokZt3z4EzeKP2CJGnVgnYBHR5uyomT/hUjCVtzlc1HvPb74zC6v1nFH9gKrdJZgzuUguD+7UTJLdz71mYs3AXtF6q6awSXZm5bTkorRYwm4BBnRrjy/7vwGKxoHqtvth7VUnTpBJytkWCrbFaUbdyPhQrkgPjvt4EvTDd1sCSYsKsEa3w2ceN8NMvO9Cyyxx7Pl+j2Ype79VClSoF0fiLaSIatTBRNlvxeYOq+HrW51i3YQ8avTsNOl81n64FZcsXxO7lA7Btx1HUqT8KhszuqS6z8VRkrdB4KCSTJSXZjKEd6qL6G0XxxhujYcim+F/DYkXOTJ44d/hr3Ln3EEWL9UCch8U+N0uSFdpkCyzeSlukj8YUK+qVLoQ1q/ojLj4RJSp1x+3Y+FTrAKsVJga4tliF0quq8DBb0a9dDbzVoALCyg2BIbuSA1jgp9Hhzv4pCAzwxcZtB1G30QQYRLRn22pawMvZpMg7zAHWKJAHX3/THnkr9IKWvsWJVjjFWWB20sDiw8MNm8WC2YoW1Ytj6cLe6SjAr4ZZ9CtLgnv16oVy5coJ0rts2TJkyZJFENBZs2bh008/FYvn7OyMTJkyiddJhv38/MS95evrC1dXV/sD4/bt2+JmGDp0KD7++GNkz54dbm5uSI8cOz5l4uLiBPk8evQovv32W+TMmRN16tR55oOcH9Z+/fohJCQE7733Hu7evYuBAwfi559/fmxMz/NtQBJcpEgRXL582X4Z568+gK5duyYOBGbMmCHwmDlzJrJly4YvvnjyoZnRfhcuXIiCBQs+dpiQ0WtlPYmAREAiIBGQCEgEJAISgYwhQC3v/v0oBAe1gT5U2cuymO8nY/XPXdGgXuUnGhL5hAM/gj7UM7X+gyRsWdcX1auVEa/9tuUw3mo6QRA5EXvqRiJu3JqNrCFK/uBcBT/H9QQSKbJwK6qUyofNKwcLX8/Zc39Hh+GLha8slUZGRh7X/1307qSILGlJsEqcyoX1wFERhEvQVViSTNjyY19Uq1pKyI+Jiclo32M2Fn+/G/B2hl6nKIQqiaZCbb6fgPXrBuLNGqVFX8dPXULLNpNw/m40tAxSZUs5K0xuEy0Y378xdm2/gHVHztlNcc2JwO6VA1CpYmF07TENs37cJwJmCfL3wIQVS9tj3/6zmLJ4lxJIixDEmzF9bEt0aNcAPQfMxtR5O0VQMK6PJdaMEQMaY2CP98SBxchJP2PM2JUwe+pBi2H7HKxamM1mWB5Z0adjLQwb2gYTJv2MoTPX2CNAW41WDOtYB4P7fyiI89dLNqNbn0WwGKzChFklkqJfM2CNNqLNu5UwaeyHCMikCHvzFqzDZ10XQufrJBRp1jWblXGo/s2sZzJZ8OPUDrh+MxI9x30PHQNw2YKQheXPjM1rR4vUWxzH/O9+x2edF0Dr6QSts0Kk1dXh+6ZoEzp9XAe1a+ZH4+ZToA1wtt0fqYb6rEesKpYMxdIFPeDv54U583+FxskNeXMEofYbJQR/exXKK0uCxYffbEZkZCTmzJmDQoUKoVixYli+fDkqVqwoiG7hwoWFk3auXLmwZMkSULnla0FBQeli27VrV3Tp0gW5c+cW75MQT548Gd7e3oLkkkzHxMSgcePGok3+furUKQwZMkSQyxw5cuCNN97AV199hRUrVqBevXpCofb0TH0Aqddv27bNPoYzZ84IAh0dHQ0q0CStJPbnz5/HyJEjERYWhnbt2qFkyZKiDkk0FV2S6M8//1ycgpEEX7p0CevXrxcKNttX1eVx48aJsRAflqSkJEGYiQV/Jyn+4YcfhDrco0cPUOUtW7as6CshIQGZM2fG/fv3MWzYMOTLlw/ffPMNwsPD4eTkhKVLl6J0aeUhJItEQCIgEZAISAQkAhIBicDLR+DMuav48P1xAFxtBFMLaMxYsaI3QrOHPNHhxUs30arlaEDjDI2IBEXemYi1a75EQAADEVmxcNF6zJqxBRqNYn7sVcAfq+d0gYszVVgN2nwwBhcvPIJGQz9OKyZ99R4qlC8miNT0r1dh8YLd4lrwfVgwbnIbVKvIKNWiszRjssJoNKNixb4ihBbZqAacA7Bu7SAEBHjbr+P+fs36PZg4dr2yF000wmoB3Fz18PD1QpPmxdD5s6bC31QpVhEkaviE5di98QxiYpMEufPwcEZQsC+mTf8Y48YuxflzkbZgXFroXXRY8WMfhAT5oly53pSbxTwVWTIFCxZ2waCR3+PWhQe2OfJ1E2bN/hzFCudB06YTxN5YmT/9kVPw9Zz2KFUiv0KKLVZs2XoQQ8b+iqhbUUhIMAoC6+nuBJ/cgZg4qDnKl1WiaA8bPg+/rTtrw0OhleMmtMIbVUvYyL8GR4+fR+fe3yPqdjji4hR13sPDAJ8QPwzp2xC1q5eFTqcEBxPBsCxWLFqyAdOmbMSjR/EwGLTwyxUES3Icjl4JT12dSAtOHBqDX1ftxooVh5R7xUZu32lVGj27vOOwnBqcPH0JAwf+hBvXbiM+IUXg7OysE2sRVjUv+vRojqwh/vh17S5MmL4FMfeiEB+fIkztXV108PJ0xzvvl0P3Ds1gMOiRnGLE5q0HEBkdL9at46ePBzR7+Z+kjLf4SpPghw8fonXr1oIsUo2lmkoCV6tWLdy6dQtnz55F9+7dBWnt37+/UFo/+OADbNmyRZDOtCUtCSYhJPHz8vIClU8SXJJCmjEfOXJEEEgS7sOHD4v3SYIPHTok6lGlJpnl6ySyauFrv/76K9hX2nLv3j1BqKlmc24k0yS0JpMJEyZMEGbf7I/EMzQ0FJs3b8bNmzfRpk0bQYInTZqEtWvX4uuvv37MvLp3797i+vQKTaN5YFC/fn1s374dHANJN4ktHzxUmYODg4XJ9vDhw0VfNPvmvHjwQLPyJ0/7Mn6DyZoSAYmAREAiIBGQCEgEJALPRoAKJUWPtIViT3r7sIzUZ3usp+aoIXlS/ViFybB4PzVgkVD+BElUSJ79WtugeG1qcKMnSTDbevoc2EjqNWyb/5h/VqRJglUIW4wOrfTzpMmsWt9sMotxkxQyWjHrPtkvTauV8Zppy20vSrt872lj5ftPb+/xcZktFpiMJoEXpyfGpNPb1FmlU6t9HVIxUOeoKuBK0C+L8CtWx6vOj7goDSm+45GR0UhKSkFI5kBRlzxCiXqtQaGwzrgZFSsOA9i2U0QKbtycCx9vT9t6po6B16TeD6kIUc0VarZZuX/oA86xMI+047qI8drrKZjSisCxnrrOauv2ubwCD4RXmgSr+JAIkpju3LkTer1im8/Stm1bQdYcC+suXrxYEMq0JSMkOD4+XhBTKrWO5tDz588XJJjKL/1kSZy5sFSdScTVQpL+008/CcVZLVFRUXBxccGjR48wZcoUjB07FidPnkTnzp2FuTVvKNahOXPx4sWFqst50s+XpttUg0mCy5QpI37ST9qxUDn+8ssv7cSY4yLZ5dh4ONCpUydhHk3SS5W3efPmTyXBJOk0UyCuBQoUEIRZFomAREAiIBGQCEgEJAISAYnA34vA4xGw0+3LMUuUMNRm+fd8TNOOWInp/TLCQCktOYaTEgcfViuGjFyIxd/txdhx76J6lRJwc3NFePhDDBy4BCt3noTWxZbXOMGMZjWL4PvF/aDVUc1/Hpwc6bkSbTt9UezxeumvhWOdv/cOep7WX1kSPG3aNGEi7OHhgQcPHgiFslu3bsKPl8SMN8JHH30kVFX6+pK40nz3woULwmTYkYSqgKQlwSSHJH0BAQGYOHGiCK7lSIJjY2OFMksVWiXBVGHZdvXq1YVSTKLs7+9vxzwlJUW8R/NsqtE8Senbt68gsFSQVRJM0+bZs2dj/PjxYi5UhtkOTbJJVPPkySPa5ukOCTTJ7+nTp0Ubq1atEuqtWkjYL168KAgvMaD5Bonu77//Lnyl33rrLZQoUUKYU/M1qsIcD9Vfmm9znKoS7EiCpU/w83yUZF2JwOuNAJ99x48fF9YytKThaS+ff3ym0dWDzzTHQ0zHg8N9+/aJL1e6cNAlI21RgxSyTT77eHiYXuFB3+7du7F//37xHGTh8531adVCtxbHL3E+Xzdu3CgOHDNS+KyuUaPGU+NJ/PHHH6Jfno43bNhQPI/TK7/99ttz9cmDVx5q8vuN3wMifUVYmIg9kbZwTqzHtaBVFFUVjocuMFwHHrSmNy5+3xALVVFp1qxZuhsetsnvDbbJ7xlZJAISAYmAROCfQYBUMjYmHuXD+uJifDQs4UZY3Z3hldkFMZfioPMDdM40mbYKv183kzOO7P4SOXNkEQHEXrkcRf8MbE/t5ZUlwfyib9GiBZo0aSLMgukLTBNhbqhUE2W+/8knn4AbCpJhmu9SwSQhTC/oFckr1de8efMKQGhezeBR3BhwY0MfXG4EevbsCUZ3pqlw1qxZQUJOH1lu0EhCSUhJmL///nuhOleunBqwgJsT+uPSRLtp06ZCFab5ttoGSSmVYNZjgC8qtiTAJKkk2Ddu3BABqThOtk31mz67RYsWFe3SNJxt0c9XLdyMDBo0SGx4SMB5HTFjOyT1NN0mjoxwTVypYtMcmkSYmyi2xY0bzaFJgkm6GRV7wYIFwmSbCrgsEgGJgETgaQicO3dOHEqSAJOEpS0kXVWqVBHPFQYldCyM7q8GHKRbB4Mipi18LquxF/ic5rM3beGzn89N1k2vuLu7i+8Hfm+ohc94knNa8GS08FCUz+u0hYSf3y2Mqs/CuA58bqdXiAXJekYLyTW/93hYS/cXFhJWZgRwLHTnYeyHXbt2gYcSaQsPIfh9wMNQfg84FlpR0fJILYw1oWZlcKzH78AdO3aIlxRTSVkkAhIBiYBE4J9CYMuO46j93ngYXJiC6fFnsHrIy9eN4SlYuuhztGxR0+YDnAGV/Z+axCvSzytLgokPTYS5OeHJP0/wWbhpIRmknysJnLrg/ALn5oeqJklceoV+xGxHjRzNTQsJMzcDDDLFAFlUHKg8k3CzMDAXiSQ3blQh2C/7uX79ulAYAgMD0+1LrcNNBzdZPI2n2kDCq57es3/6NbMON0+s4zhvRsQmmWc9zpkKifo7g3up9dXNyJUrV4Q6zes4FxUbjoW+yhyHig3HwrmT4HLTRoLPSNYk3JwnP0AMCsZ+0m5aX5F7Vw5DIiAReAUQ4DOMB32ORJIHgHx28T2qvGrh85KEmc9RtbwoCeYzkQecPAhVC78zaAHDwvZ5uKgWupcw/R6f+S+TBPOQ8bPPPrP3wyCIdHFJr/C5yud1RgtJLQ9bn0WCmQWhVKlSdgWcbVMt5mEoFfKVK1fauyPZpcUU31NLWhLM7wQq+mlVY0mCM7pqsp5EQCIgEXj5CERGxWDGzF8xd/FW3LkTw1jQDubgZmEg/k6jkujQviEqVSgk9vTCCDodH+uXP7r/VouvNAn+b0EpRysRkAhIBF4vBHhAyIMzuo6w0LqEgQHVgz5aqdA0l5YzPFRTCw/hVHL1oiSY7ZLscSyMZ0CXE8aLUA/8SJIZIJBWP1RHeQjKIIFURHnYx9ccTaRpLUMyyUIXHCqiamF9kue0gT2owNKiiHNVCwk/DxjTO0RUza/Vfvm3qsx26NBBuLGoQVnYJw9Keej5NBLMOZCAf/fdd/Z1oEUQD07VsfIggObLVOtZqKzz4JMKOUtaEszXaB3EGBSO+EgS/Hp9xuVsJQISgVcLAVX9jU9IxNlzV3D9xl0RHdrJWY/AQD8UKZgHWULSF+herZn8+6ORJPjfXwM5AomAREAi8J9EgG4qNE9WCfCePXsei1zvSHrpykKzXha6YJDssbwoCSbJpKLL8ssvvwjXj7TBO7hpYJR/+sWykCzTKkclgI7gM2ihmm6OrjEknn9W6IpC02T2w5R+VKZJbBnQkenp/qyQxKp5Exmrgkp1euVpJJgqOJVnFvoPb926NV2/X1o60axaJcIcG8fIkh4JdOiNngAAIABJREFUJrYk8o4WT5IE/9lqyvclAhIBicDfh4BKgtUo3gxEJSI4a5T0v/92oLC/b+Yvv2VJgl8+prJFiYBEQCLwWiDAXOsMGshCc2iqwk8rJFwtW7YUbzOI3+jRo8XvL0KCHYkbgydS/XxWIfFm7AUWmvpSvU1bnpcEU2lmbAr6G9PMmASTRJOBCBnMij8Z4PFZ5UVJMLMhjBkzRnTBwImMSfG0QvVXVeoZfPLbb78VVdMjwXyd5uMM4qgWSYJfi4+2nKREQCLwyiPg6A9sY8Ac8/MEgH7l5/j3DlCS4L8XX9m6REAiIBH4v0SAJtAMRshYCwwgSBL1rMLgeySFLAzgR7WS5UVIMM1/afrM8rRATo5jYlBBNYc7yTBNpNOW5yXBJP+Mw8DCPPUcE8k+ST9Np+kTrZpXPw2fFyXBDOy4bds20byaHu9Za0ESTDLMdaOPNhVxRxJMpZ6ZCxj7goX+xFTYWSQJ/r/8OMtJSQQkAhKB1w4BSYJfuyWXE5YISAQkAi+OgCOpJbGkL+6fFdVMmSSMgZxelATTZ5f+syzMEsAc688qjOysElJGWSbRe1ESPHDgQLuqzdRM9DWmOqymg2LQMBL9Z5UXJcEk4WpgsoxEbGZmgnnz5okhMT0e0/M5kmBG6a5WrZqYCwt/px+1JMF/dofL9yUCEgGJwH8dgVczp+/fgeorTYL5Zc5ox9w4PS3i8/OCorbJ9tJP+vy8LaZfn5saboTo55U2iIrjFQx+wnqsw9QirP+i81bbpAqRkUJ/OgZdUQPVcDyO6TW4mVPbEmHXjcbH/M3o+8Y+1ajb6vgd+1bfSzseXsd5O0YgZZAZ1lfXh/cAS9p7gNdxLE9rOyNzl3UkAhKBv4bAi5BgkjYqyCwvogT/2ySYzyD64B44cEDMhZH4VT9j+krTZ5rPdkbiz5Ur11OBflESTEVXPVR4GSSYhwPdu3cX/sL0s2Zhyjyq7lIJ/mufF3mVROBZCAifTqYd0wAaJcWrLZivYtsqPtd8T/yVxt5VVBaZYZU21BpsR6NJ1zrW3p9o1AqN6PjP18j+fBHVM3ABGHzQhJjYePj7edv7eCK7mmNTDpl8Hu/hz/tTUFAwerK2FUq/9J/V/vlk/6SGmotXCbps682aOgLxqsN7dl9e2xqpS8n1Vot99A6RnJ+W2MjxWe+YGsl+n9jXX72h0rl30pujbQ5qRGnF3zgVTeVvzpMY2tpOr+k0XPpV9FV+ZUkwydGwYcOEyRw3Gh9++KHIq6uerv/Vu5dtcTPCHI7p5RL+q+2q13HczA28ZMkSkaqCJmQMkvK0NENMXcScizxxZ07eb775RuR/ZN5fKiv0LXveQhM2mvQ1aNDgmZfyRmYAFtWPjn5fzB/ME38qO+qY2Q7VDhZGfuW8uBYsHDtVA6aVqlu3rsgrSRLL+aimj/SHe5oSwvkPHTrUHtWU+JGQM6UHN5MjR47E2rVrxViIJYPGqISZEV85/qcF43le3GR9iYBEIOMIOJJg5uelqfGziuPhGVPQ8bPP8rJI8Lp161C/fv1njoF+wHzGsbwMJZiRpJk3noXPT+ZKVgvNofm9pb5H39qnlRclwQxcRUWXhc/QPzvgdfTlTk8JJgkmPjR5p583I2/zEJIprzhHVRXOCOHO+B0la0oEXl8EyBfCwyOxc+c5lCmfC4mJSfwwo3DB1MOzFT9vxZt1ysHL8/EYA0eOnROHbSWK5sO5SzcQ4O+NiAfRgnRmyuT9NDoIq8WKHbsOo3o1JWBghorViqhHcfD0cM3wfjwuPgE3bt5DoQKcixVxcYmIi0+En68XLl25haBAP3h6uInfg4P8xFxu3XkIfz8vBAf5wmg049ipi3BxcUbh/DmeKSxxDoePnkXePNmewCniYTTu3nuEYoWVFKiOYaQyNHeHSiazGcdOXBSkumSxvNDrlRSnMTFxOHfxBnKFZoavn5ctPZF6kGHBrTsPkJiUjNw5QnDu0m3oNEDePCG4diMcWo0WObPb4mpoAKZCOnP+GkKzBiNb1iejPVstFjyIjIF/Ji8bqVcIuNFowqbNJ1C7ZjFcvn4f3h4GZA4OzHCGpBu37uHa9XAUK5oLnu5uOHL8IsqUzC++V9j2lau34OPjCW9vD1y8fBvZsvjD2ckJV67fRc7swYhPSMbDyGjkyZUVD6Ni8OhRnFgPSYKf4y7jly03DaqfE4OOFC1aVJArKo8kXVQA/fz8RKvM50vSxIifTP3Af+kVqpzMJUySyFy6bIdf5Mz5qxZuSLjBYy5L9VSfmwGe8nOz4ZifN20fJGR79+4VJJI3DDdmfG3s2LGi6qNHj0Q77I9kjhvB3bt3o0WLFmLDwT65+Wjfvr3I0cux0XeLhJL1+Xd4eLhIp8E8ytyY8B/nz9fUXMdUT4kBN0T0EePhQdqcxgcPHhSRTPmPhaSSGxxGOZ08ebLIHawWzmXZsmVQN7sMQsM+mXtYbZ/tcVPI3JNMW8KNllqepoYzbQdTcKipPVQSTJyYR5OHAtxcs/8VK1aI9WjYsKFolhte/mP+zBIlSjzH3SWrSgQkAi+KAD+rVAWZw5bPJjXtz9PaPXPmjP2Z4mg+/SIkmNGm+fln4XNkxIgRz5wW3+ehG8vTSHNGfYI5//Lly9sjLfPZ5PjdwPf5rGepUKGC+B54WnlREsznNr8jWfhMzZYt2zNx4HrxUKJKlSqC0PL57GgOrZJgft/QbFrNf0zsWJ+HnyySBL/op0heLxFIRaBbv5lo/3FTLFi2FqWKF4SzkwVvVCqNGzfvomiRvKhTZxiGjmiO/Pmyw8vTXaTHCc0ejJVr9kBn0OKDd+vgy3GLUL9WKWzYfhQVw4qjaMFQ3LwdjiIFc+FBVAzu3YsQZDQ2NgG37kTgh++3Y9DA1rh06SbcPdyRydcDOr1eELCQYH9cvX4HBr0emTP7487dB3B20mPSnDVoWq8cihXKhWs37qBY4Ty4fuMeXFwM8PP1wdlzl5EvXw64uToLnhmXkAgSq0L5c/GhgV37juP4mZsoXyI3AgIzifmxHudy6/Z98XtgUCYEB/rA08Mdew+dBsxm3IuIwps1w3A/4iG8PT3g6+uFCxdvIFv2IMTHJeFRbBwCM/kqqnMmb0RGx0Kn1SIwwEeAvGDJb7h6OxoDur0NvVaL+MRkMcaLl28iNFswUowmkCgH+ftCq9XAzc1FtMVDhwuXriNb1iB4uLuJti5evoHTpy8DWh0KFcgpyLrZbIVep8WjmHj0H74AXw76AD5eHoiNT0DWLIFITEzGwmUbBM5li+fEhUs3UbliKRj0WmzYegApSWa83bSaIJQWqwWDRy1El/ZNsW79HnzwXl3RZ66cWWEymnDn3kP4+Xqi16C5mDmxI+5FRMLXyxO+vp6i/1xFBuDEvsGYvXgTKpfMjkqVSuFeeCRy58yCu/ceiDlkDvYXBw88KPHzUThTUpIRTT4aja/HfYbVG46gZZNK6DZgNmZP7ixw2LBpLzQ6HRav2IESBbOiVvUyGDtrDSqUzI2qFQvh7p0I3LgVgQL5QgX25y/dQNHCuVEgfyi8PFxfuahdr6wSzNNpKpAzZswQpEo1X6aCy80OTdBIkvLnz49evXoJckYyxlP+nTt3YtKkSeK6tMWRBK9Zs0acbJMgkliyr/Xr14sv+EyZMomAIYwmys0dNwLMuXjs2DERTVPN6Zi2fQZGIeF1zJPJjRDVUKq7NHemafHq1auFD1tMTIwgwUzJwTQXHHejRo0EEWVbQ4YMEUTz/PnzYiPCQwD6Z3He/J3pK4gV61B5oDJKwkzfNAaf4eaIQVM4P/ZFkza1UNXlCX+rVq3ES0wHwoitvI5mcMePHxdKNCOIsnATS+LNPjk2bvJItlXFmJsjEnkqwTyMYEoS+ppx46mm/0iL17NIMMdLkqtir0ZYVa0BeFjAtacfIAn4sw4n5BetREAi8PIR4GdQTSHEz7vqb0tS17RpU/E3rTf4TOLza+7cuWIQfM4wQjQLDw1Vi5dRo0aBkY7TFj5P+Cxheeedd4SZMQsPMdUDTPVwM720R2p7DOTFZz4Ln6l8pqctGSXB/P5hdGk+pzJSeFigEva09V+UBDuSe1pQqUQ/vXHRuobfoSx8ftKShyU9EszX+YyvU6eOOOxIWyQJzsjKyzoSgT9HICk5BU3bTcLcCe1w7sJNRD5KhIeLFqs3HUXW4ADkzOqF7+YfQI0GhbFw3nbMmNYWh05ew/e/7EOnttXh4uKE99+tjYlTl+Hk9SicPXcLo3o3x+wlO1G2aFbkyhGCyKhIXL35EOVKFcCatXtQr04ZnDh2Cd4B3vDwcMOBQ2dQp2p55M3jj1Ej12Pc+GaY/eMfOLHvCKZN6ICKdcfgm6nvY/v246hbqzT+2H8S/oH+yBrsjUXzd6N89XwwxsdB5+KCUkVC0eStqkJ9pOpLElwwX04ljY8VWL5yO9yctUg2QuS2vXbtJlzd3JA50B8RDx4iIcmI0GyZUaVCYYRHRGLe4g1o1bwaLGYL9hw8i6QUE4L93GHR6HDk+CWYLWaUK5kfJ05fRuYgXxQumBN7DpxFitGKLp81gpOzAV+OX4wcoZlRtkReQTKvXb8D/0w+SDGaceNmBPQGHbJm9sfFq7eQJ0cIihXJg9837kXBAqGIiorHjVvhaNuacSesiH4Uh2mzf0b9OmFwdXXGlSu3EREZi+KFQ3Hw6Dls2HUefTs0wm+bDiIowBsN64Yha5YgJCWlYPnKnahcvgB+/W0PsmQJRPkyBXHvfrRQTIsXziEOHJKSktGi/Qz8Orc7zBYLfl2zAz5+Prh5KwKPYmKRPUswsmfLhImz1uDLfq1w9sINrN10BDPHtxfP7K4Dv0XHj97Epm1HULpYKK5SEfbxRt7cWbBr7ynky50Vb1QugQOHz+LilZv47MNGYl737kdixS9b0Kn920hJNmLfoTOIfBiNbFkDULpUYaz4ZRtCMvth7uJNGDP4QxqWY8a3axGfbEG5otlQrFAOQdT37D+NTH6e2LDlEEIyB6D1OzWh1+kyrEb/+Sfm5dR4ZUkwp0c1looko2uGhYWJTRPVX246SJ64eeKmisSUJJjqgkoG+eWspuNwhEolwSSJVDFIqknQ6P/E6zds2CBO70kEg4ODhck0c0uSPJJkMbAKfdm40UivkKCSXKY1teZ46HvLa2nqy40cCTfJPUkwlUySa5pEs20SUm5kOG/Wpb9Xv379hGJatWpVkQaDm0JuGEmaWY/t0BSbxJ3z4/zZ5+XLl4XyTYzYt1o4T0ZHZV9sv2/fviJtCNvh5pAHATTJ5hh79OghLuMBA9VrkmDHcuHCBZGnkqbLJMnst0CBAsIXjuMlUU/PR/lZJJgHDdz80sSauNESgJs2rgtVYY6L60S8aJ7NgwFZJAISgX8OAebHJUHigRhNnEmUqELymUOLDRJOHgjSd5efY7U4plPiwZl6qFimTJl03Rsc0yulJcr0U1UtSfjs4zMr7bOGJJPEe/jw4WIIVEA59vSeSRklwUxJpBJ2Pn/Ta4u4MGUSD1Lpt0tcHOMfqHi8KAl2DPhFvOlSQ8Kf1iyaRJdzp8sM1V/WY/7mZ5Fgvke3JLWe490lSfA/91mTPf1/I0By1PCjifh2fDv0GjgTzZrWgpuLFrv3nkKXz5thxNj5uHIuBfPmf4Gc2Tvjl7VdsH3Xcfy0/gSGdmsAV1cXQYLHTlqKYoWyYfuekwgrWxQ9ui9Hk3eLo2SRfLh77z72H7+E2tVK4IclB7Fz61AMHDwfMJgwsNcHGDlhIQoXKoz8uf0xctJGjB7cCEtXbMYvP+7FsiV9MX7qj1g6byBmzP0V7zZ7Ax90noqcoZlRJE8Q1vxyAj+v6I3zF69h7MRf0apNdTSpW1Y4xcbbSHCh/DnFIqok2N/bGVWrlMXPq3dAAwuaNqqOtet2oHKlUsjk54XFyzfio9b1hYJKUjj1m5UoWiA78uUNRaECOdCxxxSElc6H2/djERcfjx4dmmPOglUIDvSDt6cngoIzoWL5IkKRjI2LR69B8+Ds7opPWtXE8VMXEeTvg+iYeCQlpkCr08Hd3QW1q5fF+k17EBCQCcWL5MXvm/bA1cmAqOg4aHRafNTmLTGHlBQjzGYLRk/8HuXL5qHlOiIexqBEkZw4eOQsLl+6g/fb1MO4KT8irHRe1K9TXpBDmhbThLh5oypiTFt3noC/vzdcnA2IjIoV15M00hy++RfTsfrb7khOMWHg8G8w7sv2WLx8E0oWyY1de06gRZOqmD5nJbp1bIGNWw7gu18PY+3C3mJsE2esQJZgP+i0JPbe2HPgHLJlCRSE/vylu3Bz1aNB3UpY89suXLtxH4P6vC/mde/eQyz/ZSs6t39brNvIicsQGuILnV6Hz9o1QVxcAn7bsFcQ7hnj22PR9xvwyYdvYcLMlej6SQOMmrAYHT9rht83H8AHLd/Emg17kDdHCPQGDYoVfvLQ+d/+VL+yJJhEiqbO3BxxI0GzaBK7t99+Gww4QtJK8sqNjUqCSZC4ESMRpO8v66UtKgkmgaaCyGu5GaApMMka8zwyryN9YKnUqqa6JODcUPBLnz5gT0t5wY0RN2WO+TJpBkdzOJI1klCa0DG3JtNQcA7pkWCSTpqDk/gWL15cTKN169bCf5fjpIpN02mOq3nz5uDmkcFZaLKskmBuTqkwM3UI1VoqMY4kmG1S2WX6C15PdYXzdQxAxc0ZcVSDo6RHgklU6ffMsaVn9kwFl+vpaHKurgs3YyT7qikf8WUbHCdJOom4GiyMG2qSf64ND0NYjwcT3GDy+vQOPf7tD5jsXyLw/4wAnw/8XKtqKD+XPJikdQnf4zNMJagqDmkVUX7m6e9P6xgWHgjyd9Wkl899Ejea77LwOceDSbXwsJRWP3TP4DOabiDsg88+Fiq2fL7xmcK+eEBJtw3VWift+mSEBNNdg+4lnCMtcvh9kp4fLr+7OB+6h1Ch5qHr/9i7E3Bdp/J/4KsyF8nYkTHzeAxxUCJJmSWJIr/MUWQIDaIQKpLMVIRwzCSHUObDEZmPoTJmbtAk1e/3vz4r9/k/57X3Pu8+5+x93r3fe13Xvvbe7/sMa32fte7n/t7T6qlA1pSSYOMSScTrriHaPL4igRhLeQY8B+9NBkoNSTbWkNm9eYIdaxxkvHdWsyUJHs6rO8c2mAhYS1vv+K2y3x4blUOPOrtsueWHy5yzTV++861rypZbjyyzzDJ9OffHY8vmW65c9jh4TFlvhXeX7T69fNl+9wvKiUd/rMw8y4zlfz75kfKVw35UNv/Ie8qY6+8sK6+0bPn2KT8rn91mzfLqq/8pJxx3fdn0o8uUt849otx+87iy/dYfKDfffF957T8zllXfs1C5+rpx5cMfeV954Zlny48uubvst+uHymMPP16uv/a2cvTRe5fDjx1dRv/goHLUdy4s73//0uWI064q226wUvUGnvnDG8qFow8sm336yLLzp95bjjv29nLLjQeVNwk7lhMc4dCvp1Eg1wvNP3cltGOuHVveOc+cZcUVFi833Diuyq8111ixXHTZTeWzO25Sfnb1LTVv+P4Hf1uWWGzB8vSzfyzPPPN8me1t05dRo1Yo5110U/n7q6+VA/bcopx02qVlxDvnqNf91T2PlQcffb4cc+hnykt/+Ev58yt/LTPPMF25eez95eZxj5RtNluzTDfDdGXxxRYqd4y7v7zpzW8q66+7Wr3fPPPMVeadd45y1dW3lVHvWaaGhv/63kfKPPPOXlZcfsky/uEnyvPPv1A91tNNP3159rk/lIce/X35zDbrlLF3PFQefuSZstvOm5bvnXx52eCDI8tKKyxRQ7wP/dbZZa/dNi//+vd/yoPjf1PG/+5PZfP1Vyljx91X/vmv/5R1379izYFeaIF5ywEHn1b22GnTctI5vyzLLPjWMmrUimX0ZbeWf/7jH2WLjdcsTz79bLnqurvKB9ZcrrxzvnnKZw66oDxw5UHln6/9qxx70iXl51c8Wg45dOPyr9deLQ8/+kxZY7UViqxhYeLPvfhKWW6J+cpMM89cfnnj3WXddVYpI+ads8w26yxlgQU+X665dp9y+dW/Lo8/9Ww55ejPlR/++PKyy45blFvH3lMNvl89cnT5+IYjy7JLL1aWWPxd5fgfjikf23C1ctXPbyuvvvq/ZcdPf6RGF5x/0S/KHHPPVdYatXSZd+53DOaSauteHUuCETJeWS92pIzXlLcRoaJseLnLFUUm2yHBCy+8cCVKvIlC7yhWPKzNPFMkjnKElLLw81IiyjyMSKkQbDlolIqeQq0hjqjJpxIiiKTKd0MgKQ/ILBJpAlGceIz7IsEILZKK6Mpfc7ziK+2SYMrW6NGj6xYi8KSQNkkwsu+6POC8u8K44S1kz2/KGw8AkizMWmslwb6jZFK+IuQZpkKiFYURos6r7HdPxcEof7wo7kM5pZS5r8+vuuqqSqx54Z0Le1EBFGZhmEHM9YuxgEGkr0rcba2IPCgRSAT6hQBSRTbyRkazDiO/n+ExGqMmoxoZqX5BNBEoDIXNqvQ9dUIEClkaqRFxDCMpeS48OloYLVuvI+LG+6O34lHtkGCymVFSk7ISHubWe1FsyUiGSo1cVe+htU0pCXY9z0FEzDnnnDNJDLwDvZuaMrkvEuyConm8w9SoiJYkuF9LJQ9OBHpFQEEjuZq3j3uoLPbuEWXuuf5LGMjPBx9+snzg/SvV/NdXXvlbzZ19y1veXB4a/0SZaZYZy4h55qz/zzffXOXxx58ts8/+1vLSy3+pBZN4Fx9//PflvWusUB5+5MmiKPI8c89Z/vb3f5RX/vLX8vbZ3lZme9tby0MPP14uuPSGcsQhu5Tb7ri/Fq1afNH5yx13PVSLIy2x2PzlyWdeKMsts2h58cU/1PxShaseHP9kef/7ViiPPPZMWXrJBWuu8d33PlxWWG7x/xbl+r83lb/+/Y0k+NnnXq75q7fedl8ZufyiZZa3zlxuvf3+suLyi5Xpp5+u/Oqu8WWlFZco73j7rEURqrHjHijzzP2OstiiC5Q773ywzD3PO8r8881Tbr39vuoV5qlFHJ96+vky/QzTlbnnmqM8/MjjNed3ySUWqv2SSofoyjuGlzHOOMP05bY7HqjX4NmVP/z8C3+oRZ/uuffRGqq94PzzlrF3PFCWXGKB8oOzxpT99vxEzf29867xZYYZpqvFy+665+Ey04wzloUWnLfm5E433ZvLa//8d+373/769zJyhSXq9e++5+Gae7zE4guWJ596vkw/3VvK8ssuVu69/9EaLszY+653zVv78ac//63ceddDZaWRS9Rwd6HLK49conpjPedVVl6qzgnh04/+5uky+2xvreRfqPdTT71Q7w0zjiL3fOaZF8uoVZct99z/WB3/skstUm4fd3/F6tob7iqf2mq9Muuss5Tf//7F8thvnykjV1i8/OEPf66h9D4bMWLu8s9/vlZ+9euHyxKLLVCLr/35T38tb57uLWXJxeYv997/27LqKkuVhx99ss6vBRcYUcfzwgt/Kquv9v9rDHWSGOhYEgwkigXi50Ur9+qkk06qFm3E1Av/wx/+cA0vQ/QQuO22266GnCF2BIcw4WhRvdi15E9ttNFGlbBGWC9SRYni0fAdLyRSx0PMuyzs1j0pX0LIfGf/R+Sy6eGk+PEgu4eHzysRYXdIm1A+igfCJxfL93LpEG2KlTFTlIzFdzyzQozd99prr60EWo4uYkuJZO03Tl4PxgCKDW85jwN85BYLN6Rg8kZQFiN3FhaKV1FeeSn0j3cDgTW2GK/+Rwgf44HQZEqdfGKEuVmanZdWLqA8ZPcldBgzGASQ7djTs7kIeH14yfXHffQRRrAURsnLwrNvvK4l99gzEW4dTag37KJQWictsuxLIjDcESArGCUVsmMUa22iZ6RcMOpFs5ZFq0QTMSOlghxrbXKKyTIEtqdwYscz6onC4SkOr3FcxznqRXiHRGRNb8+kHRLMEOfdpDHO9VXFnwJiSygRM5p3TGvhxqlBgmM86krwxst5bm0MoyKCeHVbt5Zj9CVXtSiM1Tw/3p3NVKAkwcN9Zef4ugmBCy//RfnYpuvUIbe3/VF76MgJfurpZ8vSCmMN4UbeqY48wwztbT86OUP17qpkvbEl0eRcpz/nGJdtrBD6wbxvf/o4UMd2NAk2aORHQ9zi4SBHTS+D7/zP++AYf3uorYWSEOP4PK4VXormsY7xuWPi8+Y941zkGznuKcy3p3u1jif6HIpE9C32DQ5Phv9j/NG3+D/6GZ6XCCdu/o7rBWbNSR7jcn7Ti9rTePW/iW30pTk54zo9YchgoOBWTy2ecxPzOC6wjIJYgUfzOk0cBmqx5HUTgUSgdwSseYSPp5BxMmQx8on0MYohw75HxkT2tMpockC0CiJK1mgIrPSTSIHo6xk4x30QceHRGgOcSvv60E6kCFniGhpjZ0/7kPs+3h2Mc5NSHBhVQ8bxhrf2A3ZCrGO8vW2pxwgc+6YzXPa2F7znwEjJwOperr/44ovXAmXG1FvodoS1x64DrVgbQ1S89t1AbDOYaywRSASmDQITjFpt7wHcXj8VdkIeZ5pxhvZOyKMSgUFCoONJ8CDh0O/bEBaqR/cWFt3vC3bBCcLpejIYdMHQc4iJQCJQ9y/8Vw0PRgTtK54tEUgEEoFEoDMQkC86NT3A/39Ugr21/+4Umy0R6BQEkgR3ypPIfiQCiUAikAgkAolAIpAIJAKJQCKQCAw4AkmCBxzivEEikAgkAolAIpAIJAKJQCKQCCQCiUCnIJAkuFOeRPYjEUgEEoFEIBFIBBKBRCARSAQSgURgwBFIEjzgEOcNEoFEIBFIBKYUAUWZFHxSj6F1i6QpvXYnnK/glIJVCln1VIyrE/qYfUgEEoFEIBFIBIYLAl1LglXOVF1To3wMR6VquEzSHEcikAh0NwK2I7I1j6rT2iZn0aktAAAgAElEQVSbbFK3xVtggQUmAsbWcLE9nW3cbIF3xBFHlHHjxtWKz/YYtm/51GqqUdveSDXlyW2I/Sc/+cm6vV00WxjZ/q7d9t3vfrduHQcj2wmeccYZ5bzzzqv73dtXPlsikAgkAolAIpAITIxA15LgQw89tO7Bq+27777F3orZEoFEIBFIBDoHAQZK+56PGTOm7mGO/NrH/Nxzz62dtO/vbrvtVv+2T7BtgDT7BS+44IJ1v/EDDzywzDnnnHX/8i233LLunz41mj3k7WPuvpO7P7ntoOx/fOedd5bll1++jBo1qhL2e+65p+5Xr5J2b9sgNcewzz77FETYHuvrrLNO3ef3gAMOKFdeeWXZcMMNp8Zw8xqJQCKQCCQCicCwQqBjSfBVV11VNthgg7rX4U033VS307CP4m233VZefvnlajl/6qmnynXXXVcVnieeeKLuLWkvWec999xz5e67765/P//88/X/kSNH1od3++23l69+9atlu+22q8rLN7/5zapIrbHGGuXhhx+u17f/IaXkoosuKssss0y9TnNvR3s1/uxnP6v7Ua699trlPe95T+0raz6laIsttqh7Uz7wwAO1n88880xV4nzmPNdM5WRYraUcTCKQCExlBI499tiy9957V+8muR2E8NZbby3rrrtuDY9+9NFHy2KLLVZuueWW8r73va+SP15ijYz1LrFfrr2Gmw0BtdcvWd+6X3Ec5xj7FLfu2xt7rjvOfsT2Io4mXNt5jrE3sfN7azG+b3/722W//farh9lGatVVV637KN9///11T+Vo//jHP4of/bU/cbRWEux6+++/f5LgqTwf83KJQCKQCCQCwweBjiXBW221VRk9enS59NJLq3X7e9/7Xjn88MOr4nPccceV0047rYZ+zT///JXACvvym9LDiv7rX/+6bLrppuWll16qxzqPoqRRnFyL0kGZ+NKXvlT/R5opD2eddVb9HxnmIRZS516rrLLKhCfvOKR2s802qyRcmN13vvOd8pnPfKZ6ID7xiU+Uq6++uhLeM888s5xyyinV8yyvzbWFqF144YVlqaWWGj6zKUeSCCQCicBURADpJTNfeOGFifYYRzSR3rXWWqusttpqlfhuv/32NbVlxhlnnBCezDDpfOkuZH2QU6HS1157bc0vZjhFqhkmNcZRBNQ7h5d2vvnmKzfffPNE9yfnhRxryCjS7f3jfqKMjj/++Pqde/rbNXtqQYKRbIR3kUUWqYcxsvrRb/3TGFxXXHHFSq7lDhszY66WJHgqTrq8VCKQCCQCiUBXINCxJPjzn/98JbZbb711obAglZSc888/v8gPW3/99auXlodg4YUXrqFgcr8QTaRUuBwLOrIpR+z73//+hBxgT9ZnX/va1+pD3muvvarCc8MNN1TCjfAKdZtrrrkqqaZo8Ow2PQkINaJNSaGsUEqQ6WOOOaZeUz+E7r344ovllVdeKdtss029Bwv/mmuuWZUZY1lyySW7YqLlIBOBRCAR6A8C8n/J2Q984AOVsDYjcVyHMVMuLkMiw6V3wE9+8pMqY4UEawyNv/vd78q2225bRowYUckqwkgWk/uifXia55133uppFhnkXfPTn/60eokRW4ZW5zTvjwAjwpp3lXeUiKD11luvRif5TGTRj370oxodxEi6++67v2H4SDtvcTTvDHnOO+6440TvmwcffLCsvvrq9V3nvShMmpFYOPiuu+5aU3qa4dDpCe7PTMtjE4FEIBFIBLoRgY4lwWPHjp2QD4VACoMWdibEC1mVF/b0009XTwCiKaeKMiOcGbmUV0VBQJh5ghHWZpsUCea9RYLlZX3lK1+pSk4rCeY5psDwUvBYCKumfGhBnJ999tkaxi18m9Wfgvbe9743SXA3rrYccyKQCLSNAM8okooYXn755T2ex/goD1gqjJBnstU74qijjqrHb7zxxjUk2PtBJI/IoLnnnrsaJRk6Nek2IoVOPvnkSiiRYAZW5/WWP8yDHKT4j3/8Yw2p1ocVVlihhmQrUsULzAC67LLLVu+01Bi/W5tUHoSap9ff0ZBq0UTO8W7z/oAJw6lxe/c5Xji4902S4LanVh6YCCQCiUAikAiUjiXBQthY4M8555xqUV9ooYWqIuRvIW2s4ap88voitPJ9eYqFiu2xxx5VGWL9p5BQioRG8xzw2gpfUywFueXJ/dSnPlXDle+6664JnuCeSDDvLYVHkRVh0hQRYW680vLOeBmQZX3hORYKzQuQJDhXWiKQCCQC/UMgSPDmm29eDaI9tSDBqkIjweT9F7/4xVoYSouc4DvuuKMaIBkuGTMZL+XxIrPeNYyV5DZjKRLM88ygyhDaU+spJ1iaCzLKi8x4qjlOtJL+qQshtLqnpg+qV0vlYbhFeJFsId88wMapOR+59j/jqx0OkG/G1yTB/ZtfeXQikAgkAolAdyPQsSTYY0EsVcsUoiY3WKgZ0kpxEd4sb1herhxhZJg1Xrv44otrLhdFR1i06qLyqh5//PFKSnfeeecJBaxY/t2HV9n1/WaBpzS5lzwxSg0Fyb2QZdtXINRC3SgiCO9yyy1X88Hcm0VfHrH8LtZ/n8tb48GWL+zzU089teYTC8PLlggkAolAIjAxAoyHIdNF+7QSUtFBUkvIZuRWXu+kSDCirIihdwfvqndJNNE8vkOChTSPHz++XyRYeo18YGHK3jlBgvUPoW/Na/a9/ohYkj7D0BuNEdY7jUebETdIsHdRsxK1zxlnGYWTBOcKSgQSgUQgEUgE2kego0lw+8PIIxOBRCARSASGGwKifA4++OBaG0JaS+zt/tBDD1XCy4PKuMjbGtWh+/IES6MRySMiyK4BQqMZM6XfyOMVft1fEoygI+tPPvlkNZqKNEKgeZrl8gpbRlQR69amjgUC697+Nj7VoU8//fSaQ3ziiSeWz372s3Xsu+yyy4SQbYZVBlyebtFH6lEkCR5usz/HkwgkAolAIjCQCCQJHkh089qJQCKQCCQCk42Are0QU7m8Sy+9dC2SpZjUFVdcUVNTVPiPOgztkGCe3wsuuKASXWHGyKncYEWzhCIjoe2QYNdxvoghfdppp51q3QdEFWHlUfb92WefXdN3hFd/8IMffAMOxufemjBtaTyKM9pmT9EvJNr3diqQb+xa7iXnWIi1+he8zlkYa7KnWJ6YCCQCiUAi0KUIJAnu0gefw04EEoFEYCggwNMqPFgoMK+vtsMOO9R0EmkvM888c/1MyLFaDTyvvtfUfuDxtZ1QbEfH06q+xDXXXFO9rjy2yGtU6lc5Wj6wGg+zzTZbrxDxRsvdlRrDWyt1x98KbSmsxdusmrN+Itu9NdWr5TAbn3ScGB8Pr/3phTwj3apl8xALq5ZrrGCYYzTVsZFnodPG6f6up19ScbIlAolAIpAIJAKJwMQIJAnOGZEIJAKJQCKQCCQCiUAikAgkAolAItA1CCQJ7ppHnQNNBBKBRCARSAQSgUQgEUgEEoFEIBFIEpxzIBFIBBKBRCARSAQSgUQgEUgEEoFEoGsQSBLcNY86B5oIJAKJQCKQCCQCiUAikAgkAolAIpAkOOdAIpAIJAKJQCKQCCQCiUAikAgkAolA1yCQJLhrHnUONBFIBBKBRCARSAQSgUQgEUgEEoFEIElwzoFEIBFIBBKBRCARSAQSgUQgEUgEEoGuQSBJcNc86hxoIpAIJAKJQCKQCCQCiUAikAgkAolAkuCcA4lAIpAIJAKJQCKQCCQCiUAikAgkAl2DQJLgrnnUOdBEIBFIBBKBRCARSAQSgUQgEUgEEoEkwTkHEoFEIBFIBBKBRCARSAQSgUQgEUgEugaBJMFd86hzoIlAIpAIJAKJQCKQCCQCiUAikAgkAkmCcw4kAolAIpAIJAKJQCKQCCQCiUAikAh0DQJJgrvmUedAE4FEIBFIBBKBRCARSAQSgUQgEUgEkgTnHEgEEoFEIBFIBBKBRCARSAQSgUQgEegaBJIEd82jzoEmAolAIpAIJAKJQCKQCCQCiUAikAgkCc45kAgkAolAIpAIJAKJQCKQCCQCiUAi0DUIJAnumkedA00EEoFEIBFIBBKBRCARSAQSgUQgEUgSnHMgEUgEEoFEIBFIBBKBRCARSAQSgUSgaxBIEtw1jzoHmggkAolAIpAIJAKJQCKQCCQCiUAikCQ450AikAgkAolAIpAIJAKJQCKQCCQCiUDXIJAkuGsedQ40EUgEEoFEIBFIBBKBRCARSAQSgUQgSXDOgUQgEUgEEoFEIBFIBBKBRCARSAQSga5BIElw1zzqHGgikAgkAolAIpAIJAKJQCKQCCQCiUCS4JwDiUAikAgkAolAIpAIJAKJQCKQCCQCXYNAkuCuedQ50EQgEUgEEoFEIBFIBBKBRCARSAQSgSTBOQcSgUQgEUgEEoFEIBFIBBKBRCARSAS6BoGOIMGvvfZa+d3vflf+/e9/l//7v//rGvBzoIlAIpAI9IXAdNNNV970pjeVf/3rXwlUIpAIDEEEpp9++qrX0G+yJQKJQCKQCPwXgTe/+c1lySWXLG95y1umGSQdQYIR4BVWWKF85zvfmaZgTLOnkDdOBBKBRKAHBMaNG1fuvPPOsvvuu6eBMGdIIjDEEGDAuuSSS8rb3va28qEPfSjX8BB7ftndRCARGBgEEN+jjz66jB07tsrHadU6hgQvvfTS5c9//nOZccYZpxUWed9EIBFIBDoKgXPPPbecc8455ac//WlH9Ss7kwgkAu0hcNBBB5XZZputfPGLX2zvhDwqEUgEEoEuQGCDDTYoF154YXnrW986zUabJHiaQZ83TgQSgUSgbwR+8pOfVBJ85ZVXJlSJQCIwBBH4yle+Ut7+9reX/ffffwj2PrucCCQCicDAIPCRj3ykXHTRRUmChUOnJ3hgJlleNRFIBIYuAkmCh+6zy54nAhBIEpzzIBFIBBKBNyKQJPh1TJIE5/JIBBKBROCNCCQJzlmRCAxtBJIED+3nl71PBBKBgUEgSXCS4IGZWXnVRCARGBYItEOC//a3v5W//vWvE8ar4MQcc8xRKy/21v7yl7+UV155pbzrXe+qtRhU6J977rknOvzFF18sM8888xuKVjj2j3/8Y1G5+h3veMeE+zz77LM17HOWWWap1ayjsvXUehAq7P7zn/8sf/rTn2oBxbnmmqtWzp7SZjyvvvpqzdscqKYyMDy1eeaZp88CkJ6LisKacc4wwwz1Gf3973+f5Lm99R9mnmXW3BioJ9z7dYcjCSY/fvWrX00Y9IILLlhGjBhR51hvjUwwD1vlzJQ+EevimWeeqT/k3uKLL95nP8iR3//+93UtxTpr7QNZ9uijj5Y11lij12Pa6bd1/5vf/Kbeb4kllqjyVnvyySfLb3/72wnyYJlllun1cs8//3x58MEHq7xbaqmlan/gf99991VZO3LkyInk4EsvvVQef/zx8p73vKf87//+b3nssccmjFcfyOVsiUAnIJAk+PWnkJ7gTpiO2YdEIBHoNATaIcFyanbaaacJihBiSKm66aabeh3Oz3/+81ps63vf+175+te/Xo+99tprJzr+gx/8YPnMZz5Ttt122wmfI9tSV/xG0NZee+1ywQUXVCJ8wAEHlK222qoqau973/vKLbfcUpW0qdUog/q02WablT/84Q/l/e9/f9lmm22m+PIPPPBAufzyy8uXvvSlKb5WbxeA4yKLLFKMARE95phjer3XcccdV5Zffvky++yzVyMDcj5q1KjyP//zP7WPfRk3eruoZ0RZpgRnG1wEhiMJ/vWvf11WWmmlWrXefCaDFLk5+eSTewQXGfvwhz9c5/Fhhx02VR/AFltsUW677bay3XbblauvvrquD/Kst4qz1sJee+1Vxo8f36vh64wzziif//zny9NPP10Ne5Pb4PHlL3+5VgbXNwQVCSVT1XrQ/H3WWWf1eAtkd6GFFiof//jHy5lnnlm8DzbddNMy//zzV9mLqP/gBz+oz0JD8MlIRr1bb7213HDDDWXDDTcsX/jCF8oPf/jDcuSRR5btt99+coeT5yUCUxWBJMFJgqfqhMqLJQKJwPBCoB0SrLriIYccUj0zlM3Ro0dXwvTcc8+Vf/zjH+XGG28sn/jEJwqP8c9+9rOqFPGa2H5phx12qDmLt99+eyXBvJXXX399JbL77LNPVZg+/elPTwDV3zwQN998c3nqqacq8aUwImtnn312VczOO++8cvjhh1eFC/njDbn00kurJ+MDH/hA9Wy+8MIL5Re/+EWhwPbmjWl9kraaoXDrP+/tHnvsURVqnqW77767eksQzTXXXLOOG8lHwnmtkeXe7uM8mMGQpxkOM800U+0rhTqupYIlBVMfeLWQfJ4tL3LH99QopbvttlvZaKONqvKquc/WW29dMeYhcj8Ku+vo77HHHlu3DHz3u99dC4ZQZnfccceKuXMeeeSRem/Xm3POOatB4P77768eH9fwt/7wBjEYUOI9X8o07xfCz4ix6qqrVq/Z5JDq4bXKBnY0w5kEW8fWH5mw2mqrTfDGnn766XXeakigtbfiiitW8sYAtO6669YtMR9++OFqMCNnrD1YfepTn6pezEk1a+vb3/52Xedjxoypa0cUhXm9995713XH22o9IZPuSQ6stdZadds5fyOWjmF4Ih933XXXsvLKK1dS+rnPfa7KQHJuk002KR/96Edrl9yPLJp33nnrWiYPyCLX+9GPflQNASFrnL/xxhuXddZZpxoN77rrrrLccsvV9a1fyKv12VuExvnnn189yTBcf/31a98QYvjol4KJ7nfHHXfU4+AIB1jC33uA15lMJ3NElFx11VWTgja/TwQGBYEkwUmCB2Wi5U0SgURgaCLQLgn+6le/WpUbiuEVV1xRFSOKHu/Dxz72sUrWEN9ll122PPTQQ5UM77vvvvX4IME+o+ghRYsttlj1MBx//PETkeBTTjmlHHzwwYWSS6mlAIcCxwN9zTXXVMXWtjDf//73K1FDdD/5yU9W0ouoIXCIGg8ID0672yPw7lAyKZwLL7zwhFBs10UkKb+8HRRaiuACCyxQ/4aD+9xzzz09hiEHCeZlXXTRRcvXvva1ihdiT6mkPFJkkXlkGc7G9853vrMSe9eGU0+h2RRrhgDnRfvPf/5T++EeFFrjQVIpqCeeeOIEEoxoI62IsmuE4cGzPvDAAyu+FHLKMAICGx4nhgDPVIQVkmIO7bffftUQAnf3hY1jfvnLX9Yw1mwDh8BwJsEiG8xR7b3vfW8ljQxF5qa/V1lllTonv/vd79ZIBETuqKOOqvPx5ZdfLuSJz3lmGeQ233zzOrfXW2+9ST4Q6wOB5l22zqOdeuqp5cc//nGVccKjkU0k1LWRQZ5g5BX5ZUxjHCI/yDIyBKEkMxieLr744jLrrLNWLzfvN4OTMfDAnnTSSXWcjGxkJoOSz4y/2chY64xBCknnDXYvodEwuOyyy+o1+2qOI2usd+Mmp/WFfEe+yRnyidw79NBDi0gfJPiJJ56oMphRksGQfEGksyUCnYBAkuAkwZ0wD7MPiUAi0KEItEuChSGHN5JihwwiPTwFQYKRKWHSwgApiJTUJglGrnbZZZfqVZXbR8HkTWl6gilgCJvtXhAqodFC7twbCUQQhfEivggvL7Rr8j7Ks6MI8jYjvkL2/G43r1dfhSfyYLsPRQ+hdz4CyeNB4aNUIskUaYqr83hQeat68tgGCYYToi3EE4bOoRDPN9981TPE+4L4wgaph5drU7K/9a1vVa9sa+NxhSEveWujtPqex5bnSl4lz1R4gn3vmkgG75XjeIQo8Lzpni0FfPXVV69h7RRyDWnnjRcVwGBBKUbwjW/JJZespBpxFj5K+WcYyTZwCHQLCRaBITLEGuehNZdFLUjVMDcZzZBJZIwnVC4vgmleI6jWiPVkPbcjE8gi64IBqEmCEWuhxtYE7y8ZwOiDKIq48DkjFqMgOcnohcyTDfruejzWEQ6NWFpvyLN1Y79nco/8ItP0H6m99957axpDaxORI6rjhBNOqMYsaxa5ZgBDSq3B1lSU5jUYzZAFRBsJtu57IsGRemI8rocEk4tk4dFHH12J8HXXXVf/z5YIdAICSYKTBHfCPMw+JAKJQIci0C4JlteL5GnC4nhyKUsUtXZJMKLEKxkkWM4tBbZJgimQwvl4O3hSKK9IGdIbJFh4n3siwTwvPDxIcxRk+exnPztZBZp4uBFbJJRiSKmT40qR5o3lKfE3BZt3hweKAqxfvDRNEhzFvYQ0Bgk2Ft5TCqbrU1wpthRzCrBrCU+ED+/LlltuOWHWIPo95T+7j/BtRoD4HlkXQg4XmPOWUZ55ryZFginvSK3Gu6S/iABPNPKsCSeNfMNvfOMbVckPEnzaaadVUh2E3XPsSXHv0OUwJLs1nElwhEMjmNYiw5QoEVEL1owwYvMTSW0lwXKE99xzz/pMrY3+RiRYlzzKIjyCRAoD5hkms8gvHlbr1rXJK0Yg6yRIsLBmYc8MQ/qANJNd8vDJQuuLN1l4s2gORjiGJWHNQdQZr5BkcgQ5bjYkGem0rhmnNDIFIUaAYYX891W/gaxByhkWNNjCVJ/JeHIDuY0Q7CYJFg6tz/BhuBMFwgCaLRHoBASSBCcJ7oR5mH1IBBKBDkWgXRLMQxght7wVPKKK1VDOKKKIMaIoBJn3lCe16QkeO3ZsVdR4fymGvCJCCCleTRLsHISOp5FHV+gigkXBa5JgpBhZpBy7DuUYsaSQUuoohxQ4Spo+ttMQOOGEwhQpwLxLQn95U3lveGwplV6skyLB+i4c3DWEfQtP1i/eX6GOvqccU+QpxnKahUcLtXR9hWYo9pRr2Bkjcm68zfBu/aTswkIYqMZggWjzHjEqwNg1YIoc9+UJRvx5pFWtZXyQw8hDRKnuiQS7F6Xdc0LaRQcIWacwG79rpCe4ndk3+ccMZxIsAgJ55N1ldELIyAvF5sxJ81OYtHWGuFlf1oG8YEYtMkcUi3Bp9QREqjiW/GinIb1SGOTtf/Ob36zrx99IH4OY+7m+aAkySvQK45H1SyYhxUKg9d+6teZFr4huYaSydq0VHm41F3hWkWseZBEpmvVl7fdEgsnlI444YsJQkGdEGTEW/aG/vM/qJ5C9jJc+i4a4G180XmhGsCiWxbDn/uoXRCOP9Z8nmKy25o0D8WeMDMNDO/jmMYnAQCKQJDhJ8EDOr7x2IpAIDHEE2iHBSCvvalQxRQopkpQrxJPCp3gWpZRCKGcXAQ0STDniTRFGzEtBoaLIIn0UsGZ1aJ7lyCeWk8bjyNOJiCHBctQoic6niPEGI5U8MpRT90AqKaM+o+S1W0HavSmwwpCF+iKhQjD1g5LLY0PhRESRxAiH1i9eKmOLcGjklCJLSTV+yjpPtX75DEEVQggDRgO48XpR2in7SLzzhCcyPoQS2vTUxtSLnEDhjxrlX/+MgUIqNBJ5R5QRJs+Jt50X2Zh4qynIwi5hKN+b0nzuuefW+zJw9OYJhgelGBlmDOHhMhb5iO4t5FqIaraBQ2A4kmAeRWsxGjnhJ7ZH4620DkVgMMqJOJALy+OJmEaqgXVkLoreIEMQU3MfyWu3MYyRMyIsRIMoNhWGKH1wT6HXIi6ERQujtgbVMpDr7xh1CqxTXmTpHK5FJjKykVHkS+Q+C6NGiMmSOJ7BEYl3/2ZDxmP7OtdnEHAdMkstA5gZL9nDSCmUu0mCyazYSsl1eZ3l9Aqpdry+6luzuB054vowJ/9dQ24wIyFvfLtGx3bxz+MSgclFIEnwIJFgCgKBI0wsLIwUDNZIigDBzQpPuekpr6uvB8xjQJmiUBKMPAcUjt7K80/uZMnzEoFEoPsQaIcEdx8qnTtixJ8ynC0RCASGIwnOpzv1EWBc5CVGvLMlAt2AQJLgQSDBwmWQXF4DRU5Y8jXWd4UPWAkRYsJHeAtLGauaanw8CCzx/mdJZIUX9qLcPq8Li1qE1bB8ug+rHyLtHFY4FjnhNCx2Gqslqx+vRlT/dB/WSPdgSWynKEQ3LJAcYyLQ7QgkCR5aM4C8987IlggkCc45kAgkAolA7wgkCR4EEiyXi5dWLoYQN+E3iKbwQQUJVOuTh6FE/84771wUEhEqw3Ms5ES4GAsdT7HcC7kcSC3C6nOhf8J97HknB0XuFTLtPDklChoI1eEd8B2rsNAUYWlIuZAVOWG81cLc9LO3PeNyMSUCiUB3IZAkuLued452+CGQnuDh90xzRIlAIjDlCCQJHgQSrIiKMGV5EgBXJAA5RXLlrSlmwLMrL0UlQARXnoZtQPwt3yL2jVOJ0P5x8mF87pr2ZlR8wN9+I9e2BVCkRJ4XAiyXSx4HgovoCpmWxyWvSw6InDn5Mqr4yRVTpCVbIpAIJAJTkwTLXVW4RnEXhj+yaHIMbvJ6FVNyjf40sjP22O3Pea3Hys2Vt6tQ1pRGzZDRCmKR6QpFMXZOaRN9JP/X+yBbIpAkOOdAIpAIJAJvRCBJ8ACTYIVHKGpygVUAVCEvCh4IXw4SLESZxxYJ5uFVpEHhhij2IudXcRSl55Fd+765nr8pYoqjtJJgnmX5YQiw0Gdh1MrY8zIrZKPYAa9zkODMIU4RkQgkAq0ITC0SbJ9bETGqtkrTUGWU3JL2wehG7tlyQ9qGdA7kUoSLfXHJO/8zFPpM0RoVhlV7ldohsoWsdJ5oGMdKHRF1I2XENdzT1iNqKCgWw8Doe9dqFnVpZwY4D3FlyBRxQ26L7lHEyr2NyfXt/SltRSEaRWlE9vgha30mBcXWRoybzldR25ZOsbema+m3+yG2ClQ5F1ZkurFIgfHuaJJx39l2iHGz2byPYOW3IjXeCYyfivjAWHSQ/npHwTIKnbWDSR7TuQhMCxJsDjPkm6uKQSm+NDkGL+vGPLfO2wnzt344FaJZF6LlIh2s9SlZX/Qi/RQtZw33t1kvHB22NLPuyBNGLYWjFK9SPM/YyQo6mf5xSsDF/Y/T+B0AACAASURBVK1TxQKNj3MjCkdF36xV+JEBHBmMcOSWe7U6LKTWhY5oPL2Nu79jzOMTgeGIQJLgASbBhJuqoPKBKR6IJ6Vy/PjxtWJeTySY8qRsPqFIeePJdQ1VUPtDgoVHq/LnfEoa0qycvS0xhGi3kmAvAcqbe/dXKRyOiyPHlAgkAqXKK7JHNecpabbwURV49913r5ehJCOqyCAldPvtt6/EmLfY3sAiaJwjYsV+mbH9CPmILPLE+pxBTx0EVaGRStuLkGWURtsfiaJB5lSrVoXYdyqpUkhVZiVn+2sAbJJgBk79ZNTkfVUBmezVL0RZqgnvM6VY+ouaD75jvNQX26aIDrKHpgggFaHhof+2IrE1im2Q9JEBk3fX1iMqbzNiivixvYsK2dF6IsEUanhRqCnkcLYtEsOsatAKNKq26z0BL88cllPq6Z6SOZPnTh0EBpsEq16M5NluyLZYtuKxziPSrT+jYqRRmdzasTXXpJq9fxFPaV4ItPXnM9uQ9dQQWOSVQcs2Z/0l6qq5kzMKnipIiuTqp/Uo/Y3RSeX37bbbrhq8/G99WWsMguSPKvW2DiITrFGyTXOMYqlkH0OZde5HxIiK6+RYc91HxXkRNmSSyD4V3LMlAolAzwgkCR5AEoz0Er4KXiHBGkWEwKW4eEEome8lQbARdsiuvwk3HlpV+ljpHS9MTjVpVj5KGGXKnpeEMOFK2BP+vC0EKyUPaWY95Gn2UiJofS+c0Aup6Qk+6aSTKkGmdPb3RZALLBFIBIYnAlOLBEuzUAgQ2WttttmhgNq/EwH0YuLxRZops2ohkGVSP0I+USDJUIY7nhVeZdfnaUV4yVC1EchCUTS8wIyOFEPKpXPcg9Gvv+kfQYJF6FCu7Z1L3ipSqLaCcZDttkhCgPUB0SVXyWJ7gqoFYbsSRgHH6/dGG21UZTpSzyPEUIpQkOvIgHOMCQlGiG0/RKkOItwXCdY/OPB0MYDaj5TCrlCjOhObb7557Uc8C1stqSHR3HN4eM7w4T+qwSbB1pkCbYw9jFYMQHQbRq7ddtutbjGGODL0IHPWAaMOL6f5qGCnbdHIDLoTUkgmMNxI9ULyHEOW8PI2G0MXUol4a+RJpIiJdjDHGcvoZmSCayCKfiOh5r2/rd9JNfocg50xMiSRBdaSLZKMjSeYI4T8GjNmTO0HOcag5TjrzzFILu+u33Qw2OmryBeNUc14RL7wAIuqgQ3519zOyBq3/RvCTa+kezIC2tYoWyKQCLwRgSTBA0iCc8IlAolAIjDUEZhaJJgCR7mkCGqIGAUR6UIOeR0dQ8kdOXJkrX3gWEompfqQQw6pFfWRQKRQVAsCi3gKb+YRQQaRSakgom2QxSbB5bVFKpv7i7b7fBg1eW6RQmHOPLiUUx5gfdCQRnUW/CDAPEJIrftRzI2Dokrhp4QLk0QKGDD1m4fb8Y4R6ogEI9Wxo4DwSeTXuISDwwSZp2QzkPZFginsCAVDgmvzgLkWJZqnTV+/9a1v1XFRmpEBBKXdPZTbxTGPG3wEBpsE92TwQvo++tGPVgJs3Yo04K0U/cC4oyioeWmfXuH9CJ7oDnMRqRSJwoHgb4Z868vfjPmiG6Ihwdao3zyjvLMIN/JJriDXnAbSzcgN4cKcDdYDA5E+ir5w/Uk1RJzM8huB1y9rSAqaNDhygpGKgY/skH6gcT6QHdI/RG0g3IxSMEH0GQysPb+RYqSW95cRizGNsQ+ZF8nR3BeYw8O9yAPKPQwRfM8jWyKQCCQJ7nUOEKSsZkL00guaSyURSAQSgf8iMLVIMO8sTwcFEcmjFPNuUiCF+t1zzz01JPH888+vYcTIHUW2lQTzbFAmw6spZYRnFmFELJHJCy+8sBJiiimlmjcI0URCgwTLM3RPirh8w0k13lmhzjy7vNCUUgUGKbTGJhdPKCNvUk8kGBnn6aXIw9T42yHBlHieY423VirL5JBg3i+KP+MD/BdffPEaRZQkeFJPfuh/Py1IsPB66zhaXyRYoVD6FyMZY42GmPLU8h4juyI9eFBFwAkzlrKFRDLqILZNEux73mUGJmuUcUnqBVLImEXHc661pY/uRS7xsvanBQlmnEI8yQdpHUhrbySYbPI9I5/ifoiyGjCiSXi4jYc+yvstz5hxipEAwWYgc30GKjKTFxkJJjelLcBJRKHvkwT350nmsd2KQHqCX3/ySYK7dQnkuBOBRKAvBKYWCXYP+adCeIUPUu6EE1NseW3lwvLcIGjygXlYkEbeW8oxYmlLOIVvfIa4ypmVPsJ7jMxK6UAQeXSQVF4WpJhiiKD6Xh8QVR5OXk/KaDshv5Rn5yHbjKWUVkozAswjw2MlJ1jaCa8sDzel1PH6jNDzFOub4l3GxjtM6eXlMg5KdKsnWDVte8kj7fCJmhK33HJLHWNvnmD3F1LtHKGVoWDDCiFGynmteJ+ElOo37xKsKfU8Zzxi7WCTK6izERhsEoyoCe+Vv47EMlpZJ9Yw0skTbB4r3MQTjATzYJr/yCqC63O5tGRBkGC5tEiwKAik2pq0npo5/dYZL661QV7wnEolI0+QYP1wL+cqBEc+BAm2hpFw92+nLopr6J/7M7LxuBqTMbsX2SLaRcSG9WoNI77CmSnfsQYjHJpMEa3BWKfviC0PtePIER5ta1N+dIRDk2cR+s3LLoXEcWQRwwIizbOeLRFIBN6IQJLgJMG5LhKBRCAR6BWBqUmCE+ZEIBEYfAQGmwTzbopyUAxLjqqojKjWjhAjpHL95c0iqwxUPJs+QwARPZ5QURwqJSO+iCICjSi7rpxX3mbkspnzyuDFuISIIrSOl4cv9BkhRlx9hyiqjcIgFSRYaHQQZYWu2mmiKRjTGLWkLYguUVmdFxuJ5XE2Nv8j/2oaROPBhYcIFt5eodD6FukVPM1CpXmOXYMRjyHBsYyG+g+zZmPUYlBT4E50Sm8FwdoZWx6TCAx3BJIEJwke7nM8x5cIJAJTgECS4CkAL09NBDoAgcEmwYaM9CKIcmEVeBK6K5+fp1P0glQFWwLxuCKCiKhzHnzwwZoiIT9YFIJIBtfhsZW77jvHSE8QcqxyerOCuXu4Lk+yJk9WpAbPsdxhReoUnvI/DymiaCsnkSkIt/Odazuydpr+STGQZiHFQH804+a9FXptLAg5DKJGgfPkKCPhIjXs4hEkPNIzEHbeZCHP0iiMHYnmUdb3nrZ3E0njGJ54BDpz+tt5inlMtyKQJDhJcLfO/Rx3IpAItIFAkuA2QMpDEoEORmBakOCe4EAE+1uJvYNhza4lAonAEEcgSfAAk2BCn/UuGotlFN5q/c4xvmtaNeMYLw55dK2NlZNFsXme/33Oqhl5LXLjNJ+xfMbxLI3+bx6rv/Gyinuy0Po7LJTNezje/83mWPfWj2bf9cN3zRchy6Wf6ENcWwXYaPqor81jfNZ632YeT2w47xrN8ccxgW2zP/obfXde9K15TJzX7F/rc9G3wLv1uxifz3saYxzf0zOPZ9PsTzzDVvx7wtjzi2cYY2ueZ+7Bze+4bms/Ys41zzOOGFezb3GP1nk9xOVmV3V/sEmwHDgelGYTHslrMjnNfFVlVp6g4jdCNeXttZPz13o/3is5fVNaPJEXS7+ETfJCycftSb73Z7zkkvBKucBTQjRcB068beQADxQPV/RPMTMyhNdKqCevW1+ysD9jyGMHBoFOIcEDM7q8aiKQCCQCk4dAkuDXcRuowlgqmFK+msRW6Xt7Q9ojToGX+A6JUNxFoRRExB6WvhfaQmFTNEG+TLTY11dokZwSRU1URXSegiiKqVBgVBOVc+N7+TIULsUahMlQdlRRVGiCcqcPcm8UW5CXIj9Fk4MCo9haRH6N4hex/6U8mGiu4XpCdeTAxFYiximER96LfKFoClXIb6GoOl7RGXk5wouiwUHujwIy+olcbbzxxjVMqtlsbyD/RxiVMWinn356rdyoUX5VQ4WvAjTyeBTqCVxtXaIvwqw0uTX+VwFW8Q7NPeHd7F/r8pPDQ2lU+Ke1USJDoTc/FOfQFLXw7OEEQ89cVVvbJGhw8szhI7zK+Dxf/VDoozmPkAZFSeROafYw9Fxtw2D+afKJzMPm3BQipvqtOQQzRYZcS4VeBUAcCyv9at7POM0j4Wpyn1Sn1GxFYYyObxol3gBKftCxCAw2CVYIimyxLsNgo8CLtTo5Dakj74Q4Wsu2DBFiODmkUxVqMradatJ99ZUsQ1TJaWtEv4RFTklDqhUQItcmd62RLXBWKEv+JRmkWrdQTfNAU/SLnBW+qrqunM5mYaIpGUOeOzAIJAkeGFzzqolAIjC0EUgS/PrzGygSzJqOtNnTErFBMBSJQAx4FSgayIqcmJdffrkSu1NPPbWSCUUjKEjIF1KJAKmWqFS+vSMRM0UPkBSVP1UBdC33QeLcE1FRVEKlT4UV5J7IWVEdFAk2bkTq7rvvrsfxmCJY+hHKj+MQaoqRTe+Rtv33378S4Isuuqj2ladAJVHN/SlI7k2xMzZKqLwgWwHICUL2o1F2FcFAuilYvCRyd5B7TR8ZEhTCQOooXe6hymnkDvlMoQv3UixDHxWIQPwVq4A5Ah77ehoPLBgEkEzYUeSMBRE1Htf2PUOAPssrovzC1ThavdBNUQA/xzJAtDZE3vfuRZn0PDW/5RbZDsW97QXoGIUwPGvKu2MYEFSHNC6EnJfe2CjW8KYMI/vGGnuyup8+q2Apn4gXR84QDJyHDMuFYjzg2Yk9XfWPgQOOSLr5qvqkQiTw1pBx3iwY2jMVCaaIe47mknnOqJFtaCIwrUhwRLMEamTUKaecUueSeU8WMLSZt+Y9OYJYqsRqbiO55B75RT74nry0dpDgp59+uu7BaX2168lkwEMSyU9rCWlkFIpcRWuSfLAmVYImB31GdiCUZJzPFN3RV9WtGahGjRpV11Dse8w4qW+uI1fRHqqaY+076r6uwRgXrUmCrUUVaEVzqJbLuKcCN7nn2uS894H782oz9mnIuCgWcoB8ZcC0/r0z4Ew2MXbZaomhiyxA5F2HIUy/YM9oZt64Fuy9Y6KRm2QsTNyHcVc/PQfnwld/Nc8MBgyH3oXOc76+N4shDc2VNXi9ThI8eFjnnRKBRGDoIJAk+PVnNdAkGKHz8uZZQx7sM0m5iP3iKAM8mIgo5YK3ASF0fHgsKAsUOMogQoo42jdSc31eAEqK75DgK664opJHykUQ1CDBlEBKmP8pSUGCw6tIiUJgKD68gxRGnhR7dCL1SBLvsB8KoPuF11h/jAMJcm19jIqMvZFgY0T+kXhkuUmCeTAplrbzoJTxRje9OMi279zffRA+Wynw+FIuKQC2C9AoaQigPQfdA8ndcMMN6w9veZMEM2DYfxCJo5zCE2GeUhKsn/DhXUFAGUY8CwQXQWXsMA4Ks3BJBNheqJ4/T67Gu6UCJsJPSUaCeW+N27kURGTA1gmeg/t55j6/5JJLJqooCQsVNB1nHlJmGUB45qPBkuHFfISJ67m3Bpe99tqrKrCa+a0PwlpVBkVEsg1dBKYVCW4ihvxYt4wyjFvmH3nHEylCgYxCEMk+89ncRKSsCzKRYYcMM5YgwQxzyCUDY7vbAFmLrm1dubf15J5jxoypaxgpZ8gSzq0/DEciOKwd64E8Ri4ZixxvmxMVaxmhrGMe7xtvvLEa3dxLv3jFEWJbwSh0Y70xsJFdxhQtSLCoC+fAwTuFzCVrvG8QScV5GBMQevdC5mNPURE3yLv+6ZN3AEOaH/IfZgyuCDhiS8aQW4yODIdINrKPJCPr+uc9ZmupaN4xZBnDmuvBi1FYlBJCzejrHM+bPPNuJrc9b+HXDCDw8RyztYfAYJJg7yHvTEZ9ugKjFSOV5xj72UavfW4uMdAwAqlozPhPV7KtkeJSDC0RJcGowrDMCBXNO9J7ZkqjEdzT2nL/ptFmUgjTiczJZkSVyCzjZgw2t43BmvV+FwFoXVov5jtdhh5gTN7pGnkS0W7N+zMIWbPWgfXIIO66ZJh3rnWsWevu7V1Nl6NvNhs5xHlCl6JLRIVpf0c0Gl0r5KLtmugHxqExpHmW9D+/neea2RKBoYZAkuDXn9hAk2AkhpBFVoX7EfwEEMGh8h8BSujxolGekDqCNULQdNNLH6FAWCkIyBiBrXk5UBIofohShPMSmhQOhFkLEtw6UYMEU4gITESI55WQZXXnmRTCK9+M4uNvghc5RBy9CJrNWAlN47PNgeMJep6LnjzBjifMKYi8EkGCwxvLs0CBoyTqm5detN5IsDBo/fPSpGBqhLX7IJoIMkXSeCmi8GySYPtlwtXm9sbhGXoGU0KCedKNzXPwQ0GVo0jZo0zql7/h4YXpO0olJZ8yHd5XY6HA8ypReCn7PGORy+tcL1rKg2eKvF588cVVqeWFp5RHayXBPFu8Q03F1UuZQcM1kQ7EPV6QvDRehAwjmj7DSjPfp1Q5GWpCdbj1d1qRYLIgjF1kpBQMJJhyTTmmRFKcKYM8leSKSAUECsmzBqyX3kjw5IRDBwnmMeX91BiA3IfS63vyVvN3yGv9JsuQRUoxsogEk68IJnlvrVpzyCD5LurH+IwDmUSC3Qsh1oxVdEi0pidY2LZ3CRlDOUaCyXj3RXI9U1Ez+iVKhtxzH+9B/7uv+yHUPOnIOoz7IsGbbrppNWJqyDRjBfLK6MfAGY0sEa5NhpNzZCyPr/QL8ouMJVv0jXGSAu49xmBMFiMAIpGSBLcvaQaLBDN8ILIikRi/RTMhhJ458kY/McfpOprnzPPvWXqPWefmoUrQ3t3+NpfjfYIo0nP8mB/ejYz8jEPW/OTk+QeK3pPmFSLMkN5uE3Gl/zCmXxiraC/6G11FpJT1BxvriLGdk8NaJh/oUwz9jEF0Fo08Mc/pWNFgRmEn+5xLp0Nera1wNMT6IyNcG37wYXCK1CzGbXKAHkM2en8zbGkM//QeJJrOoL8avY0s8D1HAJ0K/tavZ0ynimiSdnHL4xKBTkAgSfDrT2GgSTDrKIHBCo9ksM7xnFEWkGGCk0CifCA2XhQUFQQy8s8od4QVZQZ5IvTD+kYwejHwUFBGkGBCkDUP8REaR1AGCRYOh+gQzAiWayLULLeEnJcKay7hTZh7uRDyCCMlCikNbzIFikUzlLOY2EgwIS3sbbfddqtKlPFQElvDoWFDsHt5CrFGmhFGpAvBMw4vQrhQhiiN0XojwYQ+TOBGmdLg5MXLCwIjJJgSxqLpxeeFJWQyrLSUVoqqF4AXnBfDlJBg14n9Db3UvPw8f+NGgim7FGzfedZegpQH3nFjhqNGsfUSYkwxB2CkX54Jo4XxUTIp3gwAxszKzEPlWZvv0VpJsHlofvIYR+MZlkvs+VNWzBFWZkSc8o+ANIsF6SevWOQfd4Kwyz5MHgLTigSHjIpeh+LVFwm2bpBHcousQMJ6I8HkqnVEtjW9OH2hFCQYYQt5x2PqnryfrSSYrKesUkKRVKHEjESUUPenZForFPAmCSazGP3IH6RUdFC7JJg8CaOj870r1JUgz/siwWGY4+GOOhQiaMgjcsTYvEf0DcH2nmp6gtslwWSa6yE/npf/ece8F8JASZ6JTmmSYPLGuyFJcP/X8WCQYO9wegGjpzkbhn2Ga/OXnkHfERHRTCWy/pBI84vOENshmXd0JAbbVhKMqJl7mmgL7yrvNfPItaw1a8/8YYShezA+mW/6aB02GyM4Y4+IpyDBZIdoLFF01nZvTT+91xlrNGSWHkXv8Rmdwnqim/kuIjm8S3ld6QCu4TuEFjbkCd2sSYKNyXVh6R18/fXX1+gvf/dGghFcBiZrlj6lIcYM5rBlWPc7SDAdCA6eHSOEZ6IhwYxmPMB0VEbwJglm1DKGbInAUEMgSfDrT2ygSTDFLbyjQm0oIyGoWdcoQIQIAuMl73gEjQKKzPiMsuRlwBrOYuk37whFh1BCTglG14qcYF4SCgthyAJIEPaWE4zkIbNIJtJEUSGkKVWUNQTKtUJAE6COQYKRzfCAgFQfkEskmNA0HiTMi4W1sycSTFlkVXU8SyrCyjNKEHtJ6R+SBzckLRTX3kgwTwRyS3B7MRLuyKH78Fx74QYJFvbtxYi4IeostTy2XraEv2N5XYzDy4piGc/UeHmVosCV/71MPG9ef00fhWQiwLwpSK/PeMeNxcvZy9oLKZRrOPD22NMwqtl6SXqBeSaUQsq++1AaWc95kLw4Lezw5jBu8OI6hpKJ5MM3PLetJJiSwnBywQUXVHy8NL1oWfEpU0KiWPv1l0Lv+kIYKfrRKPCwdHy2oY3AtCLByFgYAGOfTYoXWUY2MMRQNGOvUIYYzZqnlFq75ixPSIRDy89l0CFHyDOyleGp3aJUQYLNdTLPvSnJZAa5pM+UWg1RZiTi6fU3eUQpVkvB2qQEM2JZR5RUfbC+yUnXsM6sL4YkoY3GgHBHwb/wBCOvvMrkjz6RDdY22e09Q56QE0gwgxr5h8yS8e6PsJB9DAIMq0iM60R+teuQy3AjQynM3kP6iaB4Z4iqQZhbPcHeN8bHIIGEMOZp5AVcyMJIt+Hl8y7xHowIqCTBU0d2DAYJpgsgQ+ac5xjNeypC2L3HGHM07y06gznt/WyOmV/mowgif1u75mQrCTZn6BAINMMIfQgRRBKtcaG+fqxJnmjvZ7LCvDdnrb9mBfW4H3kTJJgBXj67+RvFKXt6GuarPoqQoqMg40L+6WK8o0GCpU24Fh2qtUUkRERN6Y+ouyYJhpf3MBlCF7TuvIftZzwpEuz6kZZE9tFvrGOfNUmwNBN6HScA47qxwA4J5vF1f3hb10mCp87azKtMWwSSBA8wCQ6vobwVzYvCi0C+i5cFwYkEU2AQRNa3COlDzCgLFCEKAo8GbynhTbhTxChNQsVc0wuDsEb6EG15Nv4Pcot0sZgiQ5H/yUJJkSPskGQvCJ95mekrsodAUdI0oXpImxcFxQnR9cIzzmZeHUUMCfKicrxGWeTNFDrbJMEUPkpthOYQ0BpiCBfh4REGTAH2QmQUiMrHxhV5z5ET7DwY65+XlHvwVFLWkHDX8DLwgoSllx/FkaeXshbhWwR+VGumkPF2MAhQEoVuhUVb/7zEo/FyMFCEcm1Mrstr6iUfuT8wh69n5nwv0zjHfEBYWbSNS/glS7Vn55l5wRoPJV5uYpBguOkbIu7HfDJHovgPcuAlhggbm2dpXM3QZTmB7ufZwUofeKrhxEPjBUyxMn6Ew2eU+silcnxUj522Ii7vPqUIDDYJpkAKhW42c5AMjZQFMo0iax2SO9Ytxc28N3cZgxj7GKwYcnwvosO1yRDr3vpChMmxdqs9Bwl2T3KbgchaoLzqE7JJhmvWg/XuMx4ba9T9HU+G6xMPk88Ykiib5ACl1hpmqLNmjcNvRjlhilFZPv52DnntPIq+6+sXeeMca1+fvEOM3T31R0MUeJyMB74MCGQlozDM4aL/IoNcj1ePUZDxjgKOhHhPkUPeN56HFn0jfz1L4/OZdw8yz7CH2BsXeUqOuKe+eF5BlMhokSzw8Oxd37vCO4phJFt7CAwmCbb+mp7WJgn2LjIP4r2J6Jp7QYIZXOxa4Pk7lv4T72sjjXBo72rzhpGJAYqxnZ5krZjT5qW5FEUf9YcewXBNRnj/STtqNnPMGuxvODT9goEoIrXMUVFo1gnyGSRYHxi0GJ407/TYGtJx1k/oEMg341aTBDuHjLF2YEjnsB6Nf1IkWKSJ9z1i7V70SPpQkwTTI2AXRkGEmEEB1kgwTzadix7AQ54kuL21l0d1NgJJgl9/PgPlCaYENIs4uB2CFkSWguL/yGUhnAlHioIW51NyeireQpFzPKUvPKP+9zkyFcodq6bPKWv+drx7EsLIj2MpFz5r5nAiXARvvDAc65y4tpdZXLs51fXVveNevkM23cP1m/l4MIhrOk7f3RMu0bemkup7+EU/vRQoU16o4W2HRXMcCGITe38j+a7vhet4/xuv89zD72bVWOGZvtev1meqf01vknEbQzTXd57nG/eLF6F76btnHblSvjOWmAdxHfeN6q2xDYpzms/UsfoKa9fwsmti4fPIT9Qv1zOumBNxr8DD+foXrRV/n8PX3Il5oj+tc6mzRWH2rjcEBpsEd+qTQHqFYPJqtirQndrn/vaL4s0zx9PGOEeuIc7CTBm1KMDtho739955/MAhMBgkWO9jWz1EFgnkZWTEQKbMJeHQYYBpjjZIMMOIqC/GKT+IVk8kmCEXgWNQZrgXgcAIhKSJZPK+o2941zLQMPwwissvjnojrbUqWkkwfcl70Tj6qh+ABDN4i8ZDICnVjMKMyMhnkGBhzIhoGLecJ9KNcUcUC4Nd1OEQsm0cTRIclehdk8GPgZohyjue8YphSKSHhmzz9MK/GQ7NcIiMuy8DQpMEi97Sv/B661cY94MEGxuDmGvwGEdOcIZDD9zazSsPLAJJgl/Hd6BI8MA+vrx6IpAIJAIDi0CS4P/iS9GlELfmEw4s+oN/dco/okKpZ8gS3cHr1m4F7cHvcd5xUggMFglG1HhlGU5FHwgJ5gkW5cWQIpIMYQsDMcOriDZhyggtEiw6DvnkXRVRJRqqr5zg2GFDuL/K7by/SKDIM0RaWC9CKZ1JGLGop9b6JfBrJcEIJEIoWguR7q3xABun6DFNuLJUBoTUuVEYi7E/CDlSLSJO5JcUKWHhSLCxaiKpEHZe3mjWJfIvIgP5dW1j4z1Hvl0bQWWgUz9BmpMIQSkaosYiJ5jBgOeYpxxRZuSKlBGRgrHjCEIs3xquiALvL8OYtA7PVEOCFWLllOgJ00nNy/w+EZjWCCQJThI8redg3j8RSAQ6GIGBJsEiE3ggw8Mo+oLS63+KGo9NpJN0EkzhJYqoHikaQi2bESHIpEgLtRl6aiJRKKHChFu9TRRMuEiloMQ3PbCiSnrChOKuX80tXkR0UJKbfaPww5anLKJNKMkRMePe7tturnQnPZfsbKo+CgAAIABJREFUyxsRGCwS7M6igIToI8SiB3hneQpFbImmaDZGJeHvUgLMXX8717xE5pBYZDqKLkbOrbkp3Uozt60z4fHWItJm/kbVeGG9jDiIsfsIV+5pX3AkE4EWYmytWLe8rVIa+or84ECx5iI839pSAJXHWb/dM1IHyDppErzU1rzwY31GgH3m3hovrNYM+Tcm1+bxJTPIACQ9xkJWSF3QyIa4FjzJJukgmmtIYXB/9/S/vxkgpFrEmkfapclJHUG8yWS4kyc8yppUOOkOsOureFiuyUSgUxFIEpwkuFPnZvYrEUgEOgCBgSbBFF0eDCGElCkeFCGQQiF5NxRQ4j3qpCafVzEe3hgKuFBHSqccVqGGFHQeGIq0MFBEvrmPurFQ1uUACm1EEuQKhuLqe54r3mfhnlFsCxFGFhwbdQUcCzdeJAo2pZg3Ss0J+ZmK81FQKc88TopTCXMU8qy/cBYKqSgjRTs8vkJXU7HtpFk3+X0ZTBI8+b0cmDORYAQwCsoNzF3yqolAIjAUEUgSnCR4KM7b7HMikAgMEgIDTYJVjuVRQCZ5IYRHqnTPE4HoCY/0OS+QUEbeFZ4XxfcUukGUeUSE7so9FHLJo+N/x/Ow8pIILXQdhV54ShTSUdRNVeP+7Bns3sIL3SMq06qcijAqTKVqv7w9+cOIsCa8MSrF+5/3JXYJCI+Wa8iz03jM5OzJp2yGGfLW6q9QxagJ4HiFsIRgCoFEZHmKeNNUX4490oU3K6ijWJ6/g5QrQOQZ85AJleQZVgNgSvZcHaSpmbdpE4FuJsHWKa9pFlJrc7LkYYlAFyGQJDhJcBdN9xxqIpAI9BeBwSDBiKmQXyQVcVWhVeiggiyIHLKJVAotRJp5KZE7247YcsTxKtnzlKoQqzCPnECVkoVBCqmUdyifTRgwDy5CKH8xyHc7uPDs2lZJfxSQQmxtG4L4aoi7frk2b7EcRY0HVn5jNCGFwjVVhEU4FbxTDIf3V3Nt4+UBlisZDZkxruZ2bL6Tb6nwjzBF4agque6xxx71NNeGESPCxRdfXIm2XEJhjprjkHYVnPVdCCRC7HpJhNuZFZ1/TDeT4M5/OtnDRCARmFYIJAkeBBLM4yDXiuW/ab2XBxIegWb1Y5Z8noDmPnbC6eRt9Le5t9ycvva5a+ea8nlaKxW3c55jhOrJVeFtkSMUzecUs/54Ydq9Zx6XCCQCUweBwSDBvDRkHBLJK2zrNzILybUvOdLLq4psIrNeXHLRYgs1x8tpQ9pUVOUN5k2Wc+tY4dTCqhFrYcP9Ib6BIlmFUPPq2o9UQZveSLBcQvdDPniuFZVRwEaxG3JPv/UBIUWGHWP/YFViEVIk2LsCeQ4STAar5io8WhMW7TP94glWoAc5d5572w9YyLPvY99SIdiMBMh/kGCFbXib9UeotHcRYwEvu61Usg19BJIED/1nmCNIBBKBqY9AkuABJsGULkUZbFkjJwspVRHRfm3yt3gBkEuFCoIgU5IQYEUTYtsfxQ2E4FGO+tMoh5QmeXeT24Te8RboQ38bpY9ixQDAiyI/R9VHyqpQR6GPvDXZEoFEoDMRGAwS3PQEN1FAgnlIEU+eUZ5MFVV5NpFgxBmpRU6FPJObQn292HhMhS4L/0UKhQqTO4yMQpfjb97jdrb94VFVuCeORSwRSuHY+kRWI6NybMk4ZB0R15BgfTYG7wRjiiqsziEjEU4hyj53D+RVWLNxuI69R5FanmhNZdfRo0dXzy+iLP/Xsc5VHdaxPOtRlMt9jZsxQdEeXnZN2LVreR/xpmuwdJz85mxDH4FJkWAFkugn5ohCVuYHY4iIBfOiuXUfNEQKOIex3hqM3HFFqswdBqzWaAWh/NYMQxdj+OQUu6MbuQbdqFNajDn6Qw4stthiVZ+j/+hvNGvTd1Foi16oaBVjVmzxFEXAnMMQ5foROeI8cotcE0WiloJr0isZsaRW+N59RXZoZIgoG//rE/nHKcE5wvjofp4vI6K9zD1/Tb85b5xH1pIzzeYZu5ZIHUZBRc7ILIY2120WHxN9Q87R/8wrc8A8CaeI66hPYCxxjHuJqDH21vsak/ln3jkHfgqUmR8x93xuzsXe7VHwi66tUFm06FtzzsKLAdX1m86oZj84sei0PdVN8LmIJfdU8yGaezffNd4ffiLixj09V8eQ3wq0aZ6D9dls1oA5E02fGUZFPcVYrV1YN5s54PnEntPOUwfCmo95SdeHcTTPR4E4z9Q1HRdpPOaa+ef7ppOvU9bnpPqRJPh1hAZqiyQKhoUoV81isVWAsDgT1Z5wfluQwthCaAUJVnKfEmgC2n/PxLzgggtqjwkafV5nnXUmepkIwSNUEW+KlQIzlNhjjjmmHs9DEvvjmfyqGBKkFCULj6Ind45gRFItPuXw3U/IncIthKM8G8KK4CCAhNBZRARlczsBe9T5IaBdS+ggMq8vctiU5qegtu7ZN6mJm98nAonA4CAwGCS4mRPcHFVPJJiX1VYdO+ywQyW7ZBIyaDsQMqyVBJOdFAYkWNQJ+cOjTHkjn3mO29n+hxymUIQSI5cWAVeAihdXTi95ph/6jXyT12Qpo6f8Y4qi5lqIMaWTp9t4EGTHUe40CjAjIdntnjCSsxtKahMnSuyGG25YSSsFBS5Cvu1FSpkiw32H5Oy7775V5jKOwtLzRYJVho3ftmJxjH5lG/oI9EWCzTcGETqI3+azInWMLt7tCA5dwo+GgFlL9BE6CyO2cyjydBt6C4NMcysxirLoA9ewhuge1qlr96fRb6RLNBX0/pw/EMeKwBC9ofiWdY24IT6K2tF9vvGNb9SxwwehDWJGzxNNQnY4nkFBmoI1qNGpjBVpRlg9C/LGtZApkRyIjOfnGSDfsFcrgQGLzqbZ9sg2UkgU0oSgkSX6QWb5IT/ob9I3bIuk0c88K6km5gWSTLeLKtXu4Xs6qKJ6MEDiGD8Qz2ZFfOkZDHX2SKbvGjO5xnioqT6tT8ZJJw2SKgLIuOmk5BPZB08RM+5BDzVvt9566/oeMCZEkJw0N81Tc9kzihoInE6uqcEPmVM/QbSQfdA1aSiRXhIyu3XuwJReC+/WZv6T6/BAliPSkxw3NpW2feeZS93x/MwNWCKw1gm8ObHIdWtFMUTfuxY9HVk29jAIOc46g5nnoXlHOda7jhHCmjQPvZcUZfROwEHgZh55RyHezveOZBT1vBWrNFdxFvgzRodjjVEWF/CuGopRnUmCX5+9A0WCCRjCh2eApcRG8DZRp3xRTgg4kw1JDstokGBKCour/5FngpIC55oWH8WG0BLKZoIKayMYVPq0Hx5hYjHyIhBQSGzkw5nAPBPC8VzPZvW8tSa9kDsWSoLJQrHYKUsEjoVHWBBeFoM+CtO2iBFvHhuLNZrFQkARmCabBUdYW/iOozTyMvssWyKQCHQeAgNNgskyZI3C2KpwkA+UIz+UMS9pypQXOlnoBe/lz7jn5Y5YIsfkmNBg35NJrNcUSEoPTytlgiJOCSCbmt6Xdp+A/lKaeAqERZOp7qvysr5QPFzfPSlE5H+zIbmUClZ0stgYm42SxKNL/vKGUOTI8t48Ezwr5DHZrZgYpZByS7ZTqBAOHmiKGAUdniz7MOONQJD1lzLGAJoEuN2Z0PnH9UWCzWHzAZFlQKG0Izvmt7Vi3lDGN9tss4kGSoG3Bu13Sz8wR52HJJu39AGNEu0a1qk5bD3QUSjO3v0+Y4hHtKx3eggCph/C8q1hRMbaYpxBbOTO06XIDrqTe1h3CAGCxAhl717KPT2JEk83si4Y7in8+s4wTw9BKK1D61GkHhx8Tm8iT8Lr1dOTJrvIJRXZNf/7QfSsR2vKvXnJkDxrDYmFH9mDRCEeyBu5xBim+B0vqbVJr9OMB0YIHJ0SmYI10uO6dEwk0bp2XZ5Vzf/IEDx9jygx1CG7IkfovuQAogkfclHz/OiRHBfuS0Yil80GV9fmeGEUocMicfrX3KbNHCNXODsYV3iWkeAg/OSabaHITX0LEudenqHnSlf1jDXP1D3opHRkfVCtn67MIOp7hhJGEyklrsso6P4wgLVGLtJPzRnPicFA89zJTYUOJ4cEI9zm9xlnnFH75f2kNY20jBEw0leGWkYDf+svMul5ig6ihzMeWDMMI0g8TIybLk5f9y5BcFVAxy2c0/TKws6zCieaZ+X9YN1yzlkP7mVuOSYiihBbDZcII4/1SN83RvPW/IRja+RH50vF//YwSfDrT2qgSDDhjOiaZIQsoWZihfAgfLxsCL1QboIEI8msPpQbQoIgIcBMfpOSUiXkzmKVb+ZzgljIHiXRYucJpqC5nwXkO5OYhRGpdl8vQJPYS0GYBFLsZePFRfDxHCCzFg6B6HxeAvclyL2QLGCft5JZ46eAuoaFSTB5OXhhIsQWYYTgDZVFk/1MBLoJgYEmwd2EZY41EZgWCPRFgnkW6QEITzSkE1njEaMH0BuC1CBnSIp3P+WanoIsI6QUaF4rCnyQYHqDc+hYjm02ehHdgTLPOeB7/aGL0E/oGwgxvYlRC0mheyCvjETIM48dPYPRBjEKssDob9yIG+KM3CEIzqPwI7aMT67Be+saiIGUM+PxOc82g39fOgrCqw8IvGsg0owBoesZC6JOl4MBggoTJIVhDsmOhgxxaiB3PJmuFw1WPkPQOB6QYKSVHoZUR/VrpBeeiCFdEvll4PDbPr9IFj0S0YEB451z6WRIIkcH0olswdM5SDC9LYr7MWQgsPRKzw2RYHyDa28kmMED4aSrGnuTBEuH8b3+8Bobf+jDnrWImVYSbDwIr766dxgyEULXMQfhx1uK3PkMceMNDxLsnsZoXvG+mtO8tFNCgt2LVz3WBwNJ1KtAguGFRDI60rWtF3PDHGMIiPBpzwNOHFmMHYyhjFGilujRdGo4WTPmmDkQjjPzMfaFNn/MKc/KGtJs6ec5Byn2mblpjeMb5rT/yQRzyHGeQxxvPvuOgUA/rLOh2pIEDzAJNqEIL+RQ5U1eCYucNdJEMuG9YEzg2CMySDDLnBeJ41kLkVjeBWSXELWoCXdClaBneZK/G1tiGBoSTOhYLMJjCHZklefYi4lQCkHLE8HiJDyQZYzA9TcCHiSYJc7iZf2xoFmsCBWLpymwY0G4v34KmWC9MlbjQcKTBA9VsZH97iYEkgR309POsQ5HBPoiwbxUvJ7IZTSh/EgBwoQEe2cHqeUpFZoanuAIm+WppB/wGFPC43jRZxT1/pBg0R50I04ChBupo/wjNqGzIGFIAd1JxAO9CFGg6/AE88BxEiAdPI/Inn5L5zI2SjwCBRvH0ZvoR45DzCPsFxnrq0o6wnDCCSdUz7RGF6PvIFLICScHYs354Z48dwwM9Cf6ESIbzXd0Lx5MuPdEgt0PyUKCkUdklY6JTGlIMGJC74MLEihqD2nkrePlRr7hiHh5towDGnLGo8gQAT/kDUFDghkPgug7lsc2SDC9M/RPumBPnmBjRwj9wAI+nqGQasQZMedJRkLpoWEw6YsEI2UMAq4ROchBgkVYGr8+MjSY0/J0EeogwZ6TsTMYIPjWgecxJSSYIwq5di+eZGuCIwj2njnDC8eY1EEknreYN5YhgjEmitjyFCP25jPsGapE8tDJjRfmdGhkmV6t30i1qAbELvaW74kE4wwId+xq4Bjzw7wPEizCwxpmfLAezZfIQWYEYaBC+M33ZmHfoSY/kwQPMAkmSIT+ErQmqL8JWgLegkMQhaV4QUT15yDBhIVFaqKxLHpYFidhj0QKhZZDZpGxOvpcaIzJieTy0CLPPZFgli9WI+FGLJ3uY2EKp3BdC5lV0ssjCtJ46RHaXhiEj8XoJcIj3RsJdm/Cz70sXC8kgo/AtPB5oQndobyIhtqiz/4mAv1BIElwf9DKYxOBzkOgLxJMf6Bw8yhG0SXkCHHw7kbG6AhRyC1GFySYss1zTKeh0DOuNz3B3vucAHQGegkFmhGdQq2gXU+e4Kjgjlgz9CNyCAWPZpBgx1DQGfcRAToFkkB5jzxVUXD6x+sVJFhYLl2LHhOFlZBSpASxNK7+FN5qDYdGAOGnzwhphEPrFyJGL4MDvc+Y6FFBsn2PqMMFMRTxF4VDOT58h5gievoq4g8BRnx49zwv96SzibILUi6yD8kxNroehwvSiPAYu74i+54xXQzpkhKBTGtIMK+kazcbgolg0+PooDCk8/VGghkf3N8zMR/ogrzHiD8jBNLP48xogHAjjb2RYPcwP+it5i5dWBMGjrxxGCGi+ijk3pyTcx3phGGc8ayM3bzw3GHBeDG54dAINT3f3KLLI7b6wGDRDIc2VnPHd+Yp8qufEfKt77y5yKr5GxEOvMAMT8bCmOC5ws5ztM7CmOD8aK2eYEYWodeuHfUwhKnT+YXum0ua/kROOT0A72gabNxL5MNQbkmCB5gEu7xFbiEQhuHtFRpsMXpBWAjNCskWDssOARGfE6AsdgofCHMW1oEk2waDhcjiIoAILZZRQsSiYWkSdkLYEoCEIcFKoHkJsPCwJFq0Qhu8WPRTCAziytLEA80SS2irfErI+U4f/SaQvQQJ59ZmoQvnMFaNZVlukEZoClni8Xa/bIlAItB5CHQiCaYYk0dhPGMoZPBj5c+WCCQCEyPQFwlGrhiikRPvcQozcoRMIKxIMA+r973mnY7EUZaRBYZxBnjeQ0o5Etwajuk9z+NMX+CFo2S7D9KGHCDQ9BUkVkSa73zm2ggKYiCnE7FBAPTZ2ufxVbeEx4zxngzgEXMvHmTkgnfV8UGC6Un0ESG09KUoCmasiCWvHTlCpiBTxmJ8vbXwGtLF6G76ST4hIXQljgVY6SOdjscdeeAZ5BChz/lMPxESuppjkRKYICL0taj/ou+ejb7qMwJNlxPeTMdDqpDgngpjMVLQ+aJYk6hAOPO8em5IkWcd+5yHNx9GCDe9sxk5yHnDsYEEI2euIXS3p8JYnjV9MraVMzbPmd5JRzUu1+bd55wxZ0Qa9kWCeUlFKhoTb7zxcDzBjH7pOZgT5gidmxGBwcR94IUIe7/B0dxCpP02Tz0r+mqEZZunTeNI1Moxl13Pc7B+PFN6NMOEz+Bj/sGeng7DqPXjmYogMEeMWe0I7zX3gQ9DBG8tHTlIMG85YxASbK7Jx7YOAy8GDN50DqzwpsPHvBDRGY1Oj+B6Bp4/Musannk8Z7jBhnHGunVc4GHc5rE1OpRbkuBBIMEhNFq34ejt83jR+N08p3l8M0ymp2Pi3J7O6e2azfv2997u09s2I5PqazvbkwzlRZZ9TwSGMgKdSoIpHKEwwpeBcXIKXA3lZ5N9TwTaQWBSWyRRcIPI8MxS+JE0hIZy3tymJgq9IYmIFgWZ1zG2t0EAkNBm/i9yiIS4ByUagfODJEiT4h31uYg3HjmKKRKJwCBCPGIIjGN5mZEEOcCUcJ5UnmzhrDyN+uveyLR+kRHCU9VkIcsQTv2RH4lgkRtCeyPnkYdMyDdCJWXN+PoyriEkHABNPQaZEiGHNCCWSHxsOYUM8fq5p/47Rr6yz5CjqP4OZ2QU4RXWazz6Cg/H6z8HCww9HyRQSC0Pu3GLCNR4ETlMpOIpWIb0Np0u8OJNhb37xD7kDBKxa4d76Wu0yMH2vznAMKFx1jA2iEiM7X18znnDU4+cMUIg+MaLMIZnPCIhkWleYtcwBz0HmPHuRzVxkYqKgSGQ+qIPnrPnau7FFnjIeOQywxMBdx5Cbp7CQR8037sPHMyzplMnxgunaMKRGQGief6eu/kgiiIqJZvP8PMZwhifu6Z5Zh4HVgi460YVaX2xLowBieXEYijRV55q3nzHiiht7srC+QU760jjiJIGECH7PoOruWl+CZFn5DJnw1vtd5zvWHg5Jgo4IuZSI1sL5rUjjzrpmCTBrz+NgSqM1UkPO/uSCCQCiUB/EehkEuwl3KzeSYGSc8UjIXSPQiHcjcItdJJXhwLB20DBZE2nUOYWbf2dFXn8UEJgUiR4KI0l+5oIJAKJwNRCIElwkuCpNZfyOolAIjAMEehkEhz5TCzVyC1PBis+r4uQLlZ3YW1SOoSnOZ7B076QPAKx12lv2w4Nw8eZQ+pCBJIEd+FDzyEnAonAJBFIEpwkeJKTJA9IBBKB7kWgk0mwkEn5ckiwcEkEV3iWkD9hgkIDhQnKk1JRVR6UIizZEoFuQiBJcDc97RxrIpAItItAkuAkwe3OlTwuEUgEuhCBTibBreHQCnnwAMsNk6cmvw4Jlj8lD00REUVYFOfjMZZrpbJmeoK7cGJ30ZCTBHfRw86hJgKJQNsIJAlOEtz2ZMkDE4FEoPsQ6EQSrBiO6pzCmZs5wbZ+sPWcIiQK8SigowoooqtgiZxgFTUVivE9oqyoSoRVd9/TzRF3AwKdQoIZnmxt47ciVgoYafLyFQVSPViBJEWDVP61/Y+iWLHGY99bn0dTXEjBpCkpiqcAmKrQKkYr/mN7onab4kuqDDcLY6lDoIov+aQgkYq7DG1RjMhvxbZsLelzlXzd23kamQSDKNoUfVEAi+FOITM4KdQk4kV9A4a/qGKtP6JiVM9WCRq+zeY4KSGqSTtvueWWq1+7p22H/HauKJvoD8yjWrT7K6qkIjjcXENRrmyJwFBDIElwkuChNmezv4lAIjCICHQiCba1nGquqo3GHpsgoYypAqtqph95vxRa4dC8wpRIW7o5z9+u4fPmNQYR2rxVIjAoCHQCCUaiVAhWkdfaJFds7WPvUVV5pSqorouEIYkInq2aVCW2XjWfI3C2VIwtaC6//PJafdkWRZOz0wQ5oEIvmYKISqVQsbjda9mOxxY3sQeyqsIqZ9tuxnaTsUUSom3s+q1WgUrNvlPx11Y8yKoKvJpKzsatAm80sk3FZCRYpWTb/zDiHXbYYXV/X9/DQrPtjS2XbGt0xBFH1B/bZmqqKDP6MQba5kYxQftAawwRtuVB3u2Xq6+aLZKM56mnnqrY67vtMpFl+++qwWAbnmyJwFBDIElwkuChNmezv4lAIjCICHQiCR7E4eetEoEhj8C0JsEIGq8nkmvvXA0BRhjtLSxCw962iCKvKEOV/VKRXoXtWkkw4uh4Dfm97LLLavE7JE0VeEXyRIMgzEceeWS9t62I9MO2QraUicZohoAjgoxmPJruj0DaLgi56ytd4uijj66RJbbt0XiGeaZFpYhYQXR5vz0DWwiJSGEEsG0NLFSqt9cw4hlk1J6w/nd+NATdFjbf/OY3y9Zbb133dUVCHdsbCUZwEWApILzvGsPCiBEj6m+pIry6MNbssWwLI4YBe0dLLQkSDFM/iDkCHiTY/r48xnDIlggMNQSSBCcJHmpzNvubCCQCg4hAkuBBBDtvlQgMAALTmgSLxOBhPfDAA8sXvvCFN4xQzr58fh5F5A755TlWxA4xbCXBQpalPYjgQPCQQvv/Cp3++te/XkONkVnh00KK7dUq/cF3iukhra3EFsHjPVU3ADm1fypSaM9d/eqtIX8IPa+qa1x11VU1nBnJRaKDBNtf1fj1u7Uhqt/97ndrnxFbxgEpHE0SjMAbp74bM6Jtr137wU6KBDM08LZrwswZGpB2422SYFvJmSvC1O0pG2PnCeZJdn/jYmxIEjwACzUvOegIJAlOEjzoky5vmAgkAkMHgSTBQ+dZZU8TgZ4QGCokWGgxD6p81U022aTsueee5fTTT38DCRYqjQQizhdddFENqeb15OGUVyuUWZ4s7+/OO+9cyTEy6hjhvDy+yGOz8YryPjsPiUZG/UwqVQIJ1kceWR5dHlT3ch/kNkjwWmutVfbff/+6j3lPJHjcuHGVSGtCnBkOmiTY50K2kXmhzAcffHD5+Mc/Xs4555xJkmDecD+84PrISz7HHHNMRILdT341Dzj81VMYM2ZMzRdGgvfee+/qqUfyPZskwSlrhgMCSYKTBA+HeZxjSAQSgQFCIEnwAAGbl00EBgmBaU2CeUiFJCOrwpU1Xl5htVdccUW54IILKqHlAZXniojee++9lTD2RIKFQyOsiN35559fc2GFGNsGTaEmObcILA+yAk9ykXlC5eoqWCU0+O1vf/sE9JFNBBWhRK7705rh0DyniOmuu+5aQ4l5YIME77vvvmX8+PHVA6t/F154YR0zzy4s5ATzgms77bRTLWbVJMGIu2seeuihdes3pFnOrnHyBKuUH8fLMWZQQGhhFOHQ8q0p/XKeYdv0BDM4xLPRB+QfJoh8kGDnLrzwwtVD7lz3znDo/syWPLbTEEgSnCS40+Zk9icRSAQ6CIEkwR30MLIricBkIDCtSbAuK0LHw4rI8ULus88+lUjpm3BiRA0Jlp/L4ylPeOONN+6VBEdO8Nprr109l0ilrc+QtD322KN6gBFsBE74L68w76kw6NGjR09AUeg1b6cc3GhyghHxddddt7z22muVtPbWeFYRWV5TzTgQVSHRxhCFsYRZCzdGII3/S1/6Us3vFSLtNxKM8GsKfTm+SYKFdivghQwL/RbaLbdZwSoh3qNGjarY8kALOUf6FdL6xje+MVFOMLyFmLsfosw7rs+KZf34xz+uVfc159tW7sYbb6wYuqb78yJHXneQYOHiwrmzJQJDDYEkwUmCh9qczf4mAonAICKQJHgQwc5bJQIDgACvqfBfnr1p2eSSIm28jIsuumj1ZApdVvFYZWKkF3nk6bSFkrBf4cVve9vbarcVbOJJRXRHjhxZP3OeolgIq+vydiKu8mv98AIjiMgnYqk4V9MLzIOKLMu51fyWt4u0u9Y222zTZ2Es/UUkVVXW3BvJNj6YGxsPOKKIXP/yl7+s+c4IbFSKRtD1Q9VnzX2R3rimzxBOhF3VZnm8ri3POMYiTBoO8GRsEALub58xAsjxDQwVEpP3qwiW+yi4BWv3Q6I14dFCnz0TIerGs8gii9S+C0HXeOTlGPP087hnSwSGGgJJgl9/YvZUW3rppauVbUr2mxtqEyD7mwgkAokG3+UFAAAgAElEQVRAXwggwTw2iqJQxLIlAonA0EEAEUK8ELFpTYKnBWpIcOQET4v75z0TgUSgcxFIEpwkuHNnZ/YsEUgEpjkCSLDQO6F12RKBRGDoISBUV95oN5JgIb88mHJ1syUCiUAi0EQgSXCS4FwRiUAikAj0igAS7EcRm2yJQCIw9BDolHDooYdc9jgRSASGMwJJgpMED+f5nWNLBBKBKUQgc4KnEMA8PRGYxgh0QmGsaQxB3j4RSAQSgTcgkCQ4SXAui0QgEUgE+vQE2zrkyiuvTJQSgURgCCLQrSRY0SeFmxSriqaugSJPflqbQlGKQCme1W5tGNdT/MqWRgp22cNYgS576iqaNfPMM9fiXM0K04899lhRJMx9WpvCXApl6fPKK69ci4IpUmUc8rt9FsWr4r6KbC2++OL1+2bTN4XDnnjiibp/soJj/m9Wwp5rrrnKSiutVAuCua/iY+6hWrSCVwpxuX/zvkNwCWSXE4EeEUgSnCQ4l0YikAgkAkmCcw4kAsMUgW4lwSoZ23YIibMlkQrRSy65ZK2qvMYaa7zhaT/44IN1n2D7Cdt2qZ0mUsZeuvbd9fumm26qhFEONgL79NNPl913371WUtaQbN8hufYrbjak3RZRKj7bJ1k/bBu17bbb1irPircq4opc+1816YMOOqjWbHDfVVZZZaLrxbm2PbInMaL+gx/8oO7tG02ovC2dLr744nLyyScXpPi2226rZFkVaAURDzjggGoEve+++9qBJI9JBIYMAkmCkwQPmcmaHU0EEoHBR6DdcGjbj1A655tvvra9KD2NhifCdiKtXo3WYymRzzzzzITjZpllljLPPPPUwyiePDnhMZkUapRk1/NjDM3Gu6O9+OKLdYuSaPYbNVa/Nd4W3pQFFlig9r+12R6Fd8j3PDG8RZpj559//kl1Mb9PBCYbgW4lwQEYmTLDDDNM2AbI59a6PXrtCMJDikgifkGCrWvEee+9967e3Z4a0uq8d7/73XUrJVWobRXkurZnGjt2bL2m6vo8uQ888ED9DvkdP378G0gwEo7I8vAiwLaDsj8vr6x9fRFzP7ZvIuPuvPPOel+EHsneb7/9JnSTLLKfsPHZ/3f11Vcvn/vc5yrJ1vTL/r+ILVlkS6oTTjiheoVtmaQPhx9+ePVuGyOycOSRR1avdrZEYLggkCT49Sc5UFsksebZzy62FhFaEpu3h8LWOpkoWhTPT3/601OkTA6XSZrjSAQSgWmHwKRI8KuvvloVP0qV0L/nn3++eimE3/W38XBQPO1PGSSxt2s8++yzlYRSYBHm5557rtx///1VgRNmSDHkmWmnHXzwwdU7c9JJJ5WzzjqrzD777PU04ZHGwcvCe8KLMuecc9bvKMaq7mq8JZRcijYF1fGrrrrqRET++OOPL/vss08lwgj6HHPMUY+Hn31ML7/88vp/tkRgaiPQ7SQY4bXmyBVKL33MllHWMu8nwrrhhhuWXXfddQIJRiLtPYxAxp7EfT0XZJKsoEsKIyYfyELGMfsB2weYsY3eh4yeffbZbyDB1113Xdloo42q8Q7xVYzQdY477rgql5ZbbrkqL84999wJXXnnO99Z+81byxAYTR/omsgtbziZ6FpnnHFGNdYh9+QWOYlww+KSSy6pJNw+w+TZmWeeWYRuk4sbbLBB9RiHR3tqz9G8XiIwLRBIEjzAJDjCa4IE/+pXv6qCiRWQ0PE5ZY/ACo8CaxtBhUCHUkRoOTaO8XfzXNeYlOdkWkywvGcikAgMbQT6IsHk1lJLLVVlmrC6WWedtVx22WVVKaPw8Z7ec889Zb311quel+uvv76svfbalSxT5m644YZKZCmhvCof+tCH6nmnnnpqDSl86aWXajige7R6SymYFMAXXnihKn9bbbVV4Y0eN25cvQ4FVqjgjTfeWL2vtknhFeGd8R2ivsQSS1TC+8UvfrEcdthhVZF0vdNOO63KV56WLbfcsnpwDjnkkHrONddcU2U2eeu+O+20UyW97kNx9bfwRb95laJRJBFh16CQ/+IXv6hEGZmnJOsrxVSuIIOCPmZLBKYGAkmCJybBZBHCyiNLhvB6Cmcmw4Qc9ycc2vN56KGHamgyAx7P7W9+85seSTC5p+2xxx5FnQX3FyHC+EeeMKCRHcKQySlkl/xjfEOQyTDHOzcao5rtn3hsTzzxxELHJOc0Mg2hbSXB9o3ec889q2x2395IMNJsPPpFLu67775JgqfGgsxrdAwCSYKnIQmmDAllIRB5iEeMGFGVJEoiIUrgEMoskeedd15VFimIxx57bBVyQm+233776gEh1Ch/GVbXMWsrO5IIDAsE+iLB4Y1FFiMfDZnlnRXKpxjM+uuvX8ks2TXbbLNVZcr/iDL5Rw4ixIgvj2j8jYTKZaNY8oSQhzvvvPMETIMEU+BclyfHtYMEI95IOeLNw6GvQgJ32GGH6jGW90ZuUiyF+/FyhAJLeXT/a6+9thJi47PHqnN++MMfVhI800wz1fxCnhbKKrmt6T/lUQjkLrvs0isJ5mkhw92HAo6Mu7b+fvnLX65KcLZEYGogkCT4jSSYd5fXlVxhzGPQoktFOLT1GKkZfUWliNxjzHIde6lLbyCHRKQoNMWgRb7IBY40iSYJlhpx1FFHVTKqP4x59D9RJqJPpHzIEX7kkUeq48QPUsqIRj59//vfLxtvvHGVtZdeemkNaeZ84UARMs1xQockWxnatthii6pzItPnn39+nV6INFnpOOHODAT6QC9l2OMFNkbea97obInAcEEgSfA0JMHCZyiBrIiUOALy5z//ebn55purcGKlo+AhtoQRJVP4CsueAg9yN1j9KHEsjJSnnqoNDpfJmuNIBBKBwUegLxIs1I8HgiyjPEZ0CpkkzFDon5cMwhokmPKlUIxQY0QZaSS/XOP/sXcfUNZW1d3An6iJQEwsQUVU0BA1EmyIhSZY0CgiCCo2bKCCIogoLQqCihQBURAQkSLGRlREBSkCgmIvWBF7r1kmapRo8n3rd3j35LzPe2fm3pnn1tlnrVkzc+9Tztlnn332f7dDGaRAClvk3SD/AGBeWIa/j3zkI3PRMAGCKW8USN5VxV0UvSEH5enxmFAyeXvIToVqeEU091BQKbsAOOAJBAO98u6AZt7YY489tiiG8uuA1MgzBqjf8573FEAMyLvG+BkBvNsYAfhobU9wgGDfM2byTtVhjqOf6XzjrFIgQfDqINg8n3jiic1pp51WdC2yxvoH9IBXcgcAFilC5gCQvZr1zlFx5JFHzn297777liJUO+ywQ5FrQCy5QteLVoPg+rnAOPklMkb0ifsBXd5hkSYAKLnHKEdO8lozzp155pmNOZZCVzfRhLvuumsB58cff3yRaeQVrzWATSZGk46BJgyYdEn95pTRdwCfcVHkTrakwCxRIEHwiEGwsBeeEeHQlD5Ci9UuFDkKp9Acnl8CjOeBAKNkUb5873/3E9g+50FmrUsQPEtLM8eSFJgMCiwEggFZXgrhewCj3GDAUygzL4Tw5ADB4W2gYDLiSfHguQhAyisLoNYgmCIGAAOsDIWU0fDKBAjmsQCAycDI5QWChRXrG+/xnnvu2TzrWc8q9wKyNQjmoaH4Cemm8PFS6weAq9AMAySgDwQLTSRnIxya94XSSpmkVIrS2XHHHcv4AVpj7wcE8/7oP2U2W1KgawqsdBAMXAKz1iWDmAbAWs+8v9Y/8MsQxQnx8Ic/vFwD9HE+RB2A9ryQYXQ0cjCa44o8y2c8wWQTuVXn+9PtyDnRKu3GWAjkejY5RtYwADKaafqjvxpQawzeCRD3OiKJk0VVaJ5vuiJaeJZ7/ESLsTDioROdlIHS+HwnZcNn2ZICs0SBBMGrZnNYhbEIWIJHmIlCDCxrPAKALy+uzwBjAJf3gSIozCU8wRQy1kjCmGASLuM8OF6GBMGztBRzLEmByaTAQiCYIimPlreCpwPoBQR5LBj5KGDklN9yaeXPyhPm1eDBoOz5nKfBNcAqxU74MjkJsJJ9F1xwQVEiGQ1D0QsQTGnk4a0b5XHrrbcuAFW+r/cAr3JuFZsRQqifQgz1D5Cm6ALBPNWK0GiArfsoswCx6By5vlGbwTXy9YyF94dR0rOFSVM0a+W57Qnm4ZbrTEHlPTJG/eYBYkiovUuTyRnZq2mhwEoHwdMyT9nPpEBSYLQUSBA8ZBDs8RSvUKqEPJ9wwglFYQR2FV0R+kKZpNyxViosQ+GSTybUxr0UOSEslDWhgrwprJVAM5Ct8AuvCsUvW1IgKZAU6IoCi1WH9h5yi8zi/RCpIncMiBPGB+wdd9xxBQDz7Mq3VRkZcOalldYhDE+aB+AsjFAFUpWd5enyygo1dk0cV+SdPCkALNDYBsHCG3lj4mgPVZlF4OgXQMBz7V7gWJ6csGwNGOX1AGQ1QJsHBGBmtPSu8847bzUQ7DqgHmBW6MaYhFd7j7znaLy8vNpCsBkyo/HqHHPMMUW+a/YFRk5GgWxJgS4okCC4CyrmM5ICSYFZo0CC4BGAYAAXaNV4MyKkhLLDs0Gxkn8ilI+HwfW8EQCzz/wvlND5lbzFrnF9hCIKl4niMHnExqwt0RxPUmC8FOgHBOthVLCP8D2hwkJ8yS/f+TyMfQx+8bm/68IzwvXis/mu8b76ue0wwPoZ8bfcYDnDjJKOKxFeLVJn3XXXnQO1+qm1++OzeIffvSrxe0/cS16T0cB+tJo+8Z54bv2+9kkA4539fPssUCBB8CzMYo4hKZAU6JoCCYJHAILnmzRhgCqVCo2mkGVLCiQFkgKTRoF+QfCk9btXfxwhIucP0JQD/OxnP3saup19TAosiwIJgpdFvrw5KZAUmFEKJAgeIwieUZ7KYSUFkgIzRIFZAsEzNC05lKRA3xSQVsXQLnd9JTQFrtQnqJujzESnDKOJxBOZJ1JPMT5NgSnpFCL3VMmvoz2kTbheCki7KUYlQkVzj2tElUgl0X/pE3HUkqOSFM0SMRhFAXuNL+6XTiKCRirJH/7wh3KpSJhIJ/EOUS7eod+Mha7VJ+MyvmxJgVmiQILgBMGzxM85lqRAUqBjCgDBcmTlrVKgsiUFkgLTQwGgRo662iMrBQSrLeCs27p961vfajbaaKPOJ8553gqcKvinPouCeMCmVDf1AwBXaRhRCRpwFQEoHQ4Ybjd1FBTG0wBP15C/++yzT6k0rV6A444UBHQeOZCq4rUq9vOBavebe/KbgWDLLbcs9RA0NWe886yzziqFCfELOjlLnexX10B6B2DsSDx9yJYUmBUKJAhOEDwrvJzjSAokBYZAAYqQ824f85jHJAgeAn3zkUmBYVNAdXPHeK0UEAzARcHRNm0dP6nonLO8FSZVR+Xkk08uFd0V6ZMyQd7J8VfUb7fddiuFR3s13l5KtCrvjISOQlKw9LDDDivPAn4dZ/nud7+7/P2d73yn2WWXXYqH1RFubRDMY7vFFluUc8Mf//jHl1cC1qrWA7+XXXZZAavO7HWCiOr2qvM7s9wRdSrU1w3gdvyaMSr+BwSrh6BvgLGz3QFt/fHbM33nRBKedMUO1TVAB8ffOdrOUXPZkgKzQoEEwQmCZ4WXcxxJgaTAECgABPtxtFC2pEBSYPoooAK6gpwrDQQDiYCl0F4glzHA+d+ALc+sqvX+pgjz2AYQVuFecVKnbfDKAoaLNSHMzvB1SoewYRXghUPznqowD3wCwby1hxxySPHAtkGwIzEdl7n22ms366+/fqli73xfTcj15ptvXgCpegbRgG9nnQOwbS8tIKugKi+46vhAsPPbgfp11lmneHd5rt13pzvdqTn11FOL8cBxnI6CcySc6vw+V3HfmcHCyrMlBWaFAgmCEwTPCi/nOJICSYEhUCBzgodA1HxkUmCEFFhphbHCE8xryVvLAMDDCwQ695t31tnkBx10UDm2jNcXSHQf4Mwr6loAEjiuzwXvNW3ALABMoeZh/e53v1tCldsgGLjVXvjCFxZw7T4gXWizMGT/mytHul1yySXNaaedVvq61lprleuEPDs2zpF00QBr4xDC7Fg6ocvGrMkT9tyLLrqoefSjH13G5DQSQJq3Gw0cFceb7Dx2R9M52xwdgGPAeMMNNyzH1jEK+CxbUmCWKJAgeMggmEB13q9zgeVWEE6PfexjGyE5QlrkdrAIKk5w7bXXFuEnpMW5mHVTmEC+hjMo5XNonkV4EVSO/SDgnMHp7GDhLMcee2wRrqyaUZSBIHXOsOepjKo4g/AdQjSKLcR79fH0008vQpQwld+iCINrhRPtuuuuzV577VUuJ1Tf9773FUsq66qjUX7wgx+U/tkICHbvyZYUSApMFwUSBE/XfGVvkwJtCqxUEFzXMBDy6yxv3k3Al+5CN/I3vYi3V16vfGKFrAZpAKaQ5Je97GXFw+o4NroQgOoH6HXOeBTmqkGw00H8T8/SP7m6wpDPP//88r+waWem6y8wLDxamDOg6plyhXfaaacS0vyBD3yg6Fyf//zny7v873cNgt3nf+8wdsWwAHcgmPdazvA973nP8nzno/Nq8zbT3/THu7IlBWaFAgmChwyCCTihJYAq4UogKWLAusc6KRwlLH/bbLNNyVM555xzVuMvYFL4y/XXX1+ElzAexRBOOOGEIpz23nvv5sQTTywhMXI2CDP5G3vssUcB4MJkvFdojc8JavklnguYyxkh8OqiETYPIJdA3HHHHYuAZlUF2uXPANLCdH76058WyyPhSfBvt9125dneu+2225aNAHCX5yIcKM8xnhXRkeNYKRRIELxSZjrHOasUSBDcFG8vB4L8XdWyhTrTfw499NDidNh4443Lb6HDwn9///vfF08px4TvejV6kqJjHBR0Hu+gx9Gp6FoUbHofgFyHotcguH4uvY4D4/DDDy9HZ9LlOBzodb4TqswLDORymshB5jE2DroX0Nqr1SA4APo73vGO4gjhIQdshV8LDQd63/rWtxY6yG3mjT733HOLHkjHNJZsSYFZoUCC4BGAYMBRrofiBltttdUcCOb9ZfXz2dFHH11+WCnlhNQN0AWCVfADfIFgeRryOniACT8g2P3CZRRgIMyF55xxxhnlUQC0QgsqGSqHD5CyHPJCE3S+j9L+rudBJhTlgSieQMAD7QAtayTL4fbbb1883CyJH/vYx5oPfehDBfjKGSE45cEIz9F3gl2ujD5lSwokBaaHArMKgoUsMui95jWv6azi6Re+8IW+8geHOftCFuU9Rkikd1H6yXveHwouGe6IFPLdniI0k1dIo/wDTWQ92a8xejLkUsKzTR8FVhoIlocLnFrbdZMjy8nA0ym8V4QbfcoaoB/Rqeg21oW/fS5EeL6q0kDv2WefXfJsNaBYeDHPMLApOo6+xaFQ61ccEkAmr2270aesR0daKZAlhFo+sDXN4aCfnCUaeeMdm222WQHc8zkZ6JUi+YRS66P76ImAOp3NfWhD1usnMExG0FsV9RLNp9r2zjvvXBwi2ZICs0KBBMEjAMGscyx1BIh8DOXzeYKBYEJUKX3CR/gxYdlulBfhzBSQAMEEmR8hPIQYEOzZADWPLcGsbL9KghrLpLwOwq1uQmyELvMO80pH+/a3v128uID3ddddVzYNwJtFEhgW/iys25gIbeBb4Rx94ekWRm0zOOqoo+ZAMCHMcpktKZAUmB4KzCoI/uIXv1jyAIFhMnC5TWgiDw9D4zgb2UtZ5umKBsxSpnm4GDftDQyV8v9Uq2W4pJQL5RS+ac4pwUCzxhvGmJttOimw0kDwdM5S9jopkBQYNQUSBI8ABAOuQk5Y0lQF5L0NEOz1lA/hxIudwVmDYPcBxzUIFrrMIskKCnxSds4888zi1RXO452h7Mnt1Vj9WPZ4hD1rk002KZ8rp09xohyxjHoeb7H8ExZKoBsIpkAJq5bfHCBYzgorLBDMO03R5AlmefRZtqRAUmB6KDCrIJh3hGwC+oA8hr6LL764nN/JqEfeRl0DxXT23XffUg9BkRzhiAyLPDRkpRBLUS7y94QLOspEZAzjJzmpVgO5yAAqdFKOnzBGxWmcGWpPEEYp546hUVEd3iK1GwBV7xGm2E8je3ltHWnVbrzDD33oQ8v7hXoC7OQ/7zD574fMZixllEUX+4yjZMjvbNNJgQTB0zlv2eukQFJguBRIEDwiEMw6LzdEcQFKRQ2CFc/idV0uCOZxvvTSS4uyAnBT0o444oiSR8wDIBw5muJVLPuUPWE/lD9eZF7faEJshM1Q5k466aSiLCraRSkW/nzXu961XM8T7Iw6OStyf+XdeLZQGyX95QhTMFU+5GnIlhRICkwPBVYKCCbT/DAcyoEjG4Fk0TAidIRFMgiSYWQfeaiYoAgaNRVE4pB7ZLC/1Wrwt+eJrHEvEOweIYzSXgBj8pVxkNFRZA7g6UxXnwHdwjdFC/UrO10vp1DEjuY9CuREZVpFdYRU2hd4ezV7kP0JYCezhVRLZQHSGVbJf9E/2aaTAgmCp3PestdJgaTAcCmQIHjIIJgyxGvKOq8hOI+q8+pY+EMB6QcEK0RFyYoqy21PsErPChzwcFBmAG8FsVj3AdJaiVHQSp4v8Ks4QlR0DnbzbEoQxY23mKcASFY9kULGWyKEWo6JJt9ZuDQviNwVXgtjV32Rp1tucq9Q7+Gydz49KZAUWC4FVgoIJq+AYHIT6AOCRc4oTMPTG00hHQAYUNbkD5LpgCcvquIxKvOfcsopJTdQaDKZqA4DEEw2ez5ZqgotuQ2wAsTAMRlKVsr747EdtJHD0md4fDWeXoZOHmyGVv0XCcRzTZb73v/yhoFe6TS821JqAHGyX9qLPSTbdFIgQfB0zlv2OimQFBguBRIEDxkED3f68ulJgaRAUmC4FFgpIJg396qrrloNBN/mNrcpqR4RGq3egToLji+54IILCthU+A9gtZkGCBaVc/XVV5eiMuo++OF1BYIVFFSQqxcIFsXDExsgWGEfIFpxnTjmbrHZXigcWqqMXGARQvrBOCl0Wpi0Yopymp1moHaDUHA5wejCIBCe5cXen99PHgWmFQQzxotS0KRUWQMKuuHNm9/85mU99Wquweu18cp1Cj0p/ObsW89gGJLytdzG0G+Na/rEsMRQFkWkGJ+i/9EPERnS4NrNcU3SKtyrbxwZIu7qZ7mPI8NYojHYWcvtVkf36Ru6ReoceoaBjAxovzfo793GwFmThbGWyy15/yRRIEFwguBJ4sfsS1IgKTBhFJhVEFwXxhKCHCBY/QZAEfAT0uwoEikd8nUV0RLlAqiqKgsYyp1V5Z8X2bF0omd4YRWm8lverdSSCIeWq+sd0keEUocnGOAGrKWTSGWhqPPMSm3RN5Vs+2k8wbzaqvNrlFfv52nmzZWv7F1AuAJZQp8ptiJ/3Od+odcUZWBYrvJ8R6/005+8ZvwUmFYQDOQxAGmqLVsT1qa8epFx1nCvJrTfummnmInqwPfWgdx70RmOClpOA0Y32GCDuWrsUt2A6zbABcwZwoBv72ZckyJWNzUARO4Bs9IQjJ38kEJRNzJDJB/ZE00UoEiSuklVq4Gx8as34FQP71KXQESL2i6iV6RuRCFW1wLQtSEhxrAceuW9SYFJokCC4ATBk8SP2ZekQFJgwigwqyCYMgwA8oiqfUCxlGrC8wTs+hs4lLri+BBKdyi2oUBS0p2fGfm20kt8J+TZESxXXHFFmU3/u0ZuLjAqzJgC7n+hxo4oUbMBcFXQkEeax4YHmteZghv5u4uxh/xjKTEBAPwW+qxflG7h1uHZAYh5gnh4gAxgW1+jyWkWsg1QZJteCkwrCLZGgDZpVQxPjDZAIn5ksAGCrWMRDTyZwJz6I/jY2gHiRGNYbyI2rGXrW56/qAfeWPLN+rb+RF3I/QccrQcAkSEKqJ2vAbNSypzfy2vLSBYpBrzDnuf4Melk1qZryQYAtQ2CySH9EhEiJUExPt5ZY/NMx1mSDwqskle8xn68A5ivT/jQX30zVnKI15fxC7gls/yW8uBz1zDyKeRHdjgeTd/8zQiG1k4z8dNvRMr0rpbs+UqiQILgBMErid9zrEmBpMCAFJhVEDwgGfLypMDUUmCaQTDDEw8nYChvXXSCPHyg1bFkinGK5PC5UzAAYOAZCAbq5Lgr3AnIqfIuP19RuADBALRTMTwTyOYlVo3d9dISAFfgtldjYFL5XXoBry0jlkJ34bl1YsYrXvGKEikCSHuWEGdpBgB2GwTHOzzXfTy96g0AwEK5AWnAPwxivLbqBjCsqTJfN8+QTgGAO9EDfUSayPF3Goiif56DDlF0Twg3g4MTTVwvegUQVxeGR/iaa67JcOiplQLZ8V4USBCcIDhXRlIgKZAUmJcCCYKTOZIC002BaQbBPMHArpMpAFrgl4fVbwU9gTQeSyAToBOOrBgpEBzREKItVF+XE9sGwdIAVHt3L1CooJ3jyYBEINNz58uD9XweWJ5aHtPtttuuFAzlSeWhVUOA93mjjTZajYG86+1vf3sBwQD7z3/+8/I9TyswbVzqBjiKjWfZeNUdUIhUMbtoIln0k3cbuNafn/3sZ80NN9xQLuEJ5jFWoI+yj1bGpOq89wPjKtEzLmhSIHijeYqFlKM7ejIG7LDDDqVfxpktKTArFEgQnCB4Vng5x5EUSAoMgQKTBIIpi5RSyqImHFmYrzC/YRVsoeDyDMn/jbBn7xaGWeccqvavbxRQYZbCiMcROtjul77qu3w+Y6mb8VCKfR6nFfie4kwhDjovxFZCO6MokDnwnEHHjV79noM8BBaf+UdOOwgGzFRfB2x5W3k0gWAnXgCUvKPWniPGhA8fddRR5VprUaqBc64BXd7M+UCw1ARrVgOW26HFvZjE2uFZxbtxvBhPshx6fQbaAfR2q0EwkOl0DWuH15YX+YADDiihz1GRXd6xPgGmCmxFA0oB4/AohwcZeAboIw2Dl1t9AmAc6EU34dZoKveYx9e71SLg9WV4EPZxagQAACAASURBVEJtXXr2M5/5zHLuuFziGoTP/MLJAc48BRIEDxkEUyTkm0QVQ0KZIsdqR2hTPnxPmAppkQcWzWeKKAjFkQcyLCVv5rk8B5gUSAosmQKTBIIVh3Kcjx8hfnLaFHJSlGpY8pFnhULt/F0elWgURcWtAElg/MADDyweFlWhhV/6rN+zfZc8OT1u5DGyd9hXKPWUaufE8/zINUY7fQYOeIAo6eedd145yk6FWYq0vEU5kZHTvFD/nDkc4Z7eS/GmZLeL+Sz0DDmOPHLZhkOBaQXB1pB1BuRaVzyXwCWQCQT7XNiudSdn3/oEkOlZwDIgqYAdMClMWjg0XhcODTADeECsa61ZfA8MKr7Fu+o+Otx84dBmi4daaDMPsEJ6vK/Aps+FVKsmvxAIrr9jbGNE8uN8bwDVj74bG92xNsQBtIps8UD3asccc0yRkcK1gVf0oksKG0cb9zIKMBIo7oUOfuuz0Ggh6K5xbJyxAcX1+4fDrfnUpMDoKJAgeMggmBCUbxIeA+ElwlcUbAjroQp9LOkKliiuQLnTWCaFpShcQvDXlvrRsUi+KSmQFFjJFJhEECysT96anDnhi1deeWUBwSqp+k1xJl9VeFb0SRGa3/72tyV/kFLJW6TATuTWUfgoxBTpKIJDISWnGSxVVxb2GGe04wfKNw+JojKu42mhNFKYKdTCHCmMvDdRVTUKTFHSVZ32fgA7mn4yfEbfeLl5dRS2qg2k/fCjI4/kUvKA1U0OoXFE9WheKUZanh4ho7zAPGnoKKdQk8tIAfbMNrgV+knJZsRl1AUigH/AVjNOe1p9nE3kbUYf3O/8Ys2cKWQ0qDe5H5qs1GumFQRbJ0AcDyTekmMrZxXQdAQSz6XIBwXc5MwCigAozynDDCOQ3/hdway4D+jjCQ2jDUPX5ZdfXgxEZIC1TUbQwVSGX6gwFt1NgTnF9IQK8zbT98gCERj0vXbTX/0HMOvmncYYBj2/gVfrT+izvN8akJN9xlZ7h+vn6ZtxySsmn6JvAD69E9BWTMyaFr7NQIDOioihnc/IH3QDtMnSbEmBWaJAguAhg+Cvfe1rRbGoQTABIwQGIKZEqdJHWKrwp+w9yyXhrCIopYOljrJHOGdLCiQFkgKjpMCkgeCTTjqpACwGRgpjgGBHfPBeUvwUu+E1oRADlGQnBQ8Y490hl8lcXiMAAYimIALR/gZgyV7AkCIqR9C72iCYvKbIAnWq177rXe8qwDdAMEALUMrz02/Pd8zLtttuW/pBuXW9CtC8LYrhUPIpqJRe+wDjJ0A+aLjwfCCYx9UeU4NgXjFKuUrZ9iYKPcUXbRgc7F8UZQYEx6iEoRYfOhZKSCYQrDE2KEjkOmNRaZc3zdFP/ueBYnRAf9V4efLRyLt8xxOFrtm6o8C0guDuKJBPSgokBZICa1IgQfAYQTDvAOskSyNFgseBBZ3SxbpJKaMcUdQoEccff/zQQv5ycSQFkgJJgV4UmDQQzCj4iU98ongx5AI7cxdwJSOBNEAYyAMwN9100xKmCAQAVkAl0CXMlwdX0RpeY94mETuAobBhHhnhf8CfkGff9fIEi9ABDsls9wKvQo4DBPPeehYQqy/kOc8UUC0MmeeJ50X+oecYG9DuuBLFaPRxqW0QEMyAoP+8tkKkvV9hHqAUYBduypiL5sBr3dog2HfALkDvyKh99tmneJR401XO9RxeOx4tIdsAtdBRYN/fDMPZuqVAguBu6ZlPSwokBWaDAgmCxwiCbfoUNaE0lBDKEOVI6BuPgdA9oWmUJnlWgHHmY8zGwstRJAWmhQKTCIIBV2BRzpt8PCCYjOTBdWRJnMkJeDo+RagtsMZLzEMpN1CYYeTvAWxC/YBZIM33vKNAMI8yECwap+0JVnBG5Vn3SVsBZIUfBghWcEYfnVXq3gDBvNJAcB3aKPxQXyO0kVFUWOZS2yAgmJc6rhf2KDpJiDJa8uwKURZGLWyUEYHXO1obBAvpdh/wC1QD8+huPxOeLR8xCvkwXAg1NW60tA+6JkOhlzrrve9LENwtPfNpSYGkwGxQIEHwkEFwHNpOCbCxUyaE2MkhowQBwZQIuS8Kq1DmfC73gyJGCZIXJldYIQgTli0pkBRICoyKApMIggFKeX1Cd1UwJjd5U4VGO1dU+HN4ghcCwe4XxiuclwcSwON9jWNCgEFhws4PlR/YBsHyYcnvutUgWC4jcK36q4I0QLBiP/7nhWbsFNbN4+oIEkCUJ5Zn2v883YoAuX7QIluDgGBeX8ZW4NVY7T/6oXqsSCX/y13WF8XJfBYNDYAsIJ4hd7fddmv233//Eoq+3377ldB0Hm/eZeeTMvIyAgD57lVEyzUMEX7kTcv1zNYdBRIEd0fLfFJSICkwOxRIEDxkEEwpoDQojiCP7eCDDy6hccL5FCfgseCZUJZerpZQM1VI3QP4UjwAaBU4WdIpIdmSAkmBpMCoKDBJIJiXlmdV7qp8Ul5FRZSAKoWy/ABeqkXz/gJkQKrPHFdCrpKhwqF9J1RZuLPwXYBYtVXAT8QNYOZvgAyw5aWsQTAvs+d6Tt3Idt5P8h2I9kyhwHJi5QYD28A6zyoPMnmvoI5Qbt5T3mn/A8IigYBCxbX0fZBmc1cVui5I5X7vFS6Obpo9yWf2GUW0VJAFvtGPN1j+tOJZjApoqPBV7ak1fkYIzf7l2JYw1poHRgUAXnVfBgtGAO/nMb7wwguL510BLkCN551Hvy4ONMiY89reFJglEMygYl3V1eClHVgnS4kgwPccD1GR2d8MNaqn99MYyURI1E2am7Wgj/Q9lddFfYjyUIFdu+aaa8raZITD9xwmvrMGo5hePNP6YUzTJ0YzaQMiTzTv1gepCirDa+QGGvnf59JA3Od//VDsSiRNFNvjaCEHFRTT9JO8CRozCoraqPsjOsb3im4Zo/9jbGRYFP3zbnJWP61/NRGiuJ5neqfv0EsKoDkUfaNuACeQd9dHu/mekTPmR6QKp5JrGECjgCwaopP3af5XV0GNAsZH0URo0eYlc2EsaIMXPDfoGPRwjZo+xuFav30WBWzjnUEvMjXObo7PGG3NP9qbe+8x972O5sKjIkHVmEBX8xNFHb3XfOMxtFZTwZyjk2KGaIMO9krNvmS+/F/XduiH12fxmgTBq2ZVIRCCi4AdtArnYoyB6d785jcXpmT95h3ApJjXd5QgOVMEr9A6i5XXQR5WhD9bcMr6A9LDOgpksXHk90mBpMDKo8AkgWByUvhsKLv+Jw+jeitFgkIS59aSsa6N4+jMXnxPYYhwZNf7P/J7Y5Y932eeW7/X976LZ9dc4TmeF4qee6O/8U798rm+19WW4954blzX7lc/XBjvbQOD9udBM8/U7zYt4/Ne9PGd++vzktvHycQ46wq7cU9cW/chaJ77XD+z3N81swSCAQ0GKMabAEcAm9z/hY4ymo9SeJ5+BaABJIwygxSiY5Rj1GLsskY8C4hjAALwVKxWDBVQBWIYgwA1/E0vFA3hPg4R4E4KhZNCAET3Wr9y6eXsK54nUsOpIRGBAtQBT/ovlUCLivKOfHIElDWlOrS/OVzWW2+90kfRGwCq1I8oYgdU0kHpqCJANACckcF7yCKGLoZH0SpqJ4gkiaOWGPOAQACWQVCEo7o2Cr1y7IhQYWBEd8ZCdBA1wjgpgkRUDgOgd5sPBkRgEWgjZ0SOMMTRj9V/2HrrrUsqhfoCjHH0ZHRUeJBBzZnLmghMfVAbwjsZ4IBbc4DW6K4IIDnFGOlv7zdujiopLWioMeB5NpCpBgSDhDlEH2k2xlA3/QfA8YHrNCkl5hIegDvo/yKR9MvfdfM8aT+cYcaH3xkKGVUZU1T4Rh/vV5VcFA8DLfozvqIvY6Z34xdnu+NT62iltwTBqzhgmCB4pTNZjj8pkBSYXgpMEgieXipmz5MC46PALIFgXjVezNrwgrLyzBWv4wlTWZ3DQfQcsAb0iWbQAA36HgcDoOM3AAb8AhEBggFqBdtEP7SjKeqZBAjVdXHkksYj5xkACNCncB9nB8AOuHsnTx4gBtQCszUIlp8PQPIwxhnDrgMQAVdgGwgGEgE/gBNAA9yMC0hlKPAMwBioApAAuKjsHiAYiALCRX0oYoeGAJhUDQAPSBP9wkMLfMZxTyJkAFFzIM0BOJPqZ3wq5APhwCEaqI8g6uToo48uUS76430iaziA1A1AC9erEi9lQtqI8fGeMgh4LqCrmWOAFc15TfVDyovmOvMprUI0DTqhmwawG4/xBgiOiBVjFf3Co8ojjY4AMi83jzGAz4jhnGpj5oxiWEB/hQOj6KJ7RMb0AsHejYZ1YzAAoHl5zZX5ZjgxjmgMJyJC0Q7f8NgD2njW3JtD/IFPjYuRhQFAfQxrxZnXeJNHmIGDMcU9UYRxfFJpMt6cIDhB8GRwYvYiKZAUmEgKDBMEt0PEKHALnck5KgKFgl17I3kL2oq3vrbPzR1VHxd7j/5SroUNhjc4POQ1jXk7KPyTQPfFxpTfL40CswiCebjwM3AJAPCGCS3mEQZ8AD1eR0AMKOAJlEYhtUFOO6AKaPFUApx77rln+T5AsGcDjoAa0D1fA4LJSPn07uH15AUGJIEoINKPd/LIAenkymIgmOcQYLZ2eZoBdCAKsAsQDNAbq3BinkkgEuAEgvUdGAQuAZ5eIBjg5p10bjGPKO8qMI0eQC2wxYgABDvCk+eQnAD0eBzRFQhGQ2Af+OO9xm+AHNqrZyAtA3BFR0BOGK4xoIFaN+0GrNcgWPoEUEue8ZxK0xA1KXqTRzNCfevn6Fu/IJhnFAhlBOAp1/ASowOvNCAeXnDpHMagj/7Wj4gKWggEOw0GoDYGoJfXmqHGvAjJRj90jpDwGMuJJ55YvL+MB+0mXBtvme8Ij3eN/qE3Ous/wwZ68JwDw4Axz/JCfL00STN9dyUIThA8fVybPU4KJAVGRoFhguCohByDEb5XW8FHNsjqRcAjb4ujkupq/D7j4agbJbOdEzyOPrffyRtFoQfaKUfCKeWQ8QxQxurqzvLohFFSfLPNJgVmEQRT/KPxCAJUgAsPmHXrfyAMrwPIZA2gCrA5ykwNALJmPhBc5+AvFJoPBAvvFVIMhALnAA1QFdXl9UPIsFoEwld54xYDwQxTiv/xPgIyQCiDWw2CncfNq6cPasoopgowCWcGroTt8iJ6p2cJhwaMGAh4IYFInlgAmqcx6Aag8SR7pxNLADNgi0GNBxLAj5oCQLA+8oaSmcKogX8A2rgBRJ5VXnG5/97JEDEICBaSLHSb95jHWgg04D9MEKzmhLxkYBegZBxwTKk9wPt9BwQDkowe6LwQCAakGRmiAe7oGeHnUdfCPDFaRGP4AIAHAcFkOn7j1dZ/odH6y0uMTxkqEgTfSOEEwQmCZ3PXz1ElBZICnVBgmCCYIig8jfdG4RbWf+FwAJwQNZZ5lnMeFOCUUkcZUoBFWBgvkO8pv/G/nCeWdmAPAAwvqNA1Xs8oHkNZ5gFQtVmoG8+LH6F6wgt5OmoPA0WO0uMIIcB39913L9frD4+2vsU5uvrqLFxKiL/98DDolzHzBvle+J1Qy+hjjNlzKeHGp291MZnFJlUoKNDDw+IZrP7eK0+Moku5i9w2iinFiLfL+JZSWGix/uT346fALILgdlQGULQQCLaWec6sP2BKeCrD1nwg2BrspwGgPKlACu+pQnryUIENsoxsiLxfnmnfM55FPwBIHmRgnceuDocGWhWt8xu4BW4CBAtBJt/IpGgKaAH3ZIswXb+Fyuob+Qj4BAiWC+x+3kHF+gD0CDUHmDxHHilPMxDMI8lrzGMO9Kkm731AMJBF7gDUgKl3K4gHBAN+jJvyiiP8l5xjkOClRjPN+4Vb6w+5VHuCzZH8YbRAO+/mVSW7gb0wRALzPgdW9YH3mNfYHiEsW95znRMc4dBtTzCgC/xbN8ZoL2BI0W9eeeHQdROSrV/2FuDfO+tGxgvHBqbrZuxAvXs177P3MGJE4SteYgYIvGt/QUO8zJCD1j7TV2PXXI/PrAdziHfQwzwyFtnf5EwzWKQnOEHwHD9mTnA/4j6vSQokBVYaBYYNgik4lBtAUXEYyqPwRps6Jcymz7NC0eHBsKkLQePFATJ5JXxOSaSkCJfj+aR8UjABbGf8Ci2kWPDQAIMUDYpwNB4V3iV9oMxRqAHQugHRFFGKXxRc4XWljAhto2jygmiUVfuKsRgDZYqnRh+BWv3zN6s8a728LYoWxQ74F7bG86O/gxTqMWYKj/5rUfSLZ6kGwUAEZQlYRmtK7KAVqFfaWpjW8c4SCI7CWORAFMZiFGPYsXaAQmsNyMTT8oKtK0AOeAMEyA7GLN69AMGAKnkQ4dA8mNY6QMaLN18DqOWnkj+aCvVAEKAG0AHaQKIKwOSQoqfWG2DqfcAg2ceLDAgCJt5X5wQDgMbtGTyFZEt4ZYUDa4xbDG0AESMbejB+MfYpxAUIkil1YSwyVUg1GgFiAB7ZpxI8GauKsvcAsDzAZJXnMTSSa3KmyVUhz3JqyRyyi8ExQDBvNc8yOSws2lj1mVwiB9GAVxm4BlTRhfEgCmPxmgPS5DrDJrrwUrsGaOeVNQdorf88qsCtPjEA6CM+4F0FDBk32jnBAYLJYzKQbGYg8JzYk4TTmz/vRgsh2hrDAl5kCBEyrX8MFFHUEF8B5oAwepsH3+FHhg/zzfgBtBszvsRLngFUx4kH+u8oPe8y12iK5vgTP3i2eZGv7To/jBD2FqHu5lhINH5LEPx/qzk9watokSB4Wrf37HdSICkwTAoMGwRTNmz2wsIoOZQJiiqFhcJGoeNJ4HFRiZWXQpEVGz6FyWcs40LtKDwUJoqa51CwKGQUWyF4QiI9k6JH0aEo+psSTaGIsD3eGFb69tm8vUAw5QzwpWgB8JQ7oB4oBtCF8vEO8HSz5lM2KTTeq0+UP99R2ig2FDseHB5mwNVzKWL95h7LPeRx6JXjW4NgdOFFQTf9ivOQh8lL+ezxUGCWQLDCQVGEKqjJu8lLqSgTcGbdAHc+I1/ICWuZscrfgJD1wYgGiABOZBDQC0QCcJrneUYYlHrNnjXO+BWeODICQAOGgDtFscgScgGYFC4t4gIYAp6tO6AMGIqCXwxT5BFgpAF4DGgiZKxhss99wpejWBVgFUXAjMM4yR3j9LdIFcCKIZBMF+rMgKcPPI2eq28iQ9AMaNJvoEwxKmMB5jTeRgALIOc1ZUwjV70HWAQmAXpAmiwm18gbgBp4DHoy7vGyGr/xoqG548FksBBtA3h6PhmuAazuAV700/sjTUUfATwN2LYH4Be0QVs5zd6FN8h+EUaaPvKMApLhgTWnxhPHnOqbKs4MrIwqcbyQfUsfGSp851nRvBc/4inAtW72LLynf7zB8R4VrGPO0NQ84CljkaNszs1XHKWEj8hvRl08BmwzDNgvePvNMT5CI/fiQXzCS854vNJbguAEwSt9DeT4kwJJgQUoMGwQLEyMt4TSArRShngsKBq8ALwRFCsAV/gwBYCFn0Wep0OIW1T9ZDVXKZTywZrOc8ELS2kUhhigFvCk7FAggWrKA4WDsum+QUCwflL4wqtMwXNsCBAc+YneTRkGcIFgShHFhWLLUwAE8xwJXRYiSGkRwtbrzMjFmNX4ebqEyWmUJGCbYuSdEQ5NqaIMUsb0Ex2E4mWbPQrMEgievdkZ74h4BslRABh41oTa8jyTk8BStqTArFIgQXCC4Fnl7RxXUiAp0AEFhg2ChRXz7NaNYhb5TKz3NiogWANsAWFhd66rj77oBYJZz3kwWPV5CngxeIT87gWCeZmEX/N08BTVrZcnmJcagGVpZ3nnZeLRHhQE83A4o144Ho8Ni70xA848If2egQpYowtvEtCvT2gEAOsjEEyx5alSMCeqoQqV48ESophttiiQIHi25rPr0TAu8iQCvxq5SO6GV7Tr9+XzkgKTQoEEwQmCJ4UXsx9JgaTABFJg2CBYDqucrroJ4QJ2VdyUL+V/uU2aIk6O4hC2x1Mqj0xYnjBgIdNxliMwK3xQCFsAXuHQ7jEmzxSa5xxGnmDgUzi0ED1eU+/mhe4Fgnl65RJq7vFOHmfhfsYiTI/3GeAUau2MSyHTAK0CVcL5gFJeZ/2W+yyUTn6dED3Kp3H6zaMLIPOQ99MiLFIhG15guWfyxPRJeKOcSblrwgH1PSrf8mb7UeQl22xRIEHwbM1njiYpkBTohgIJghMEd8NJ+ZSkQFJgJikwTBAMkMld4gFtNzm7AB0PqHDd8Moq8iGXlfc1vpND5RnukVsFePrt/yiSw4sL7AKWrq+/9+4IXZav528AUrGsuukPL6/31p5Zz/V8INjn7nVd/W73yskS9u3d/vZbAZ44miQqvbaf4/tBKzd7v37U9+qnfvgc+G17l91THws1kwy9AgeVIHgFTnoOOSmQFFiUAgmCEwQvyiR5QVIgKbByKTBMEDwoVcNLKuw5CsIM+oy8Pimw0iiQIHilzXiONymQFOiHAgmCEwT3wyd5TVIgKbBCKTBJIFh+L49oFH1aoVOSw04KDESBBMEDkSsvTgokBVYIBRIEJwheIayew0wKJAWWQgHHYzg+4oMf/OBSbs97kgJJgTFTQEVyR7o4qzVbUiApkBRICtxIAbVHHBklhWpc7S/+nySlMbc4J9j5iv2exzjmLufrkwJJgaTA0CmgmJIqwvvtt1/JJ82WFEgKTA8F5H47l5qS56ixXMPTM3fZ06RAUmB4FFAb5JhjjikFMNv1P4b31jWfPBEg2OHerAG5QYxy6vNdSYGkQFIgKZAUSAokBZICSYGkQFJgtBSA+RxzqBjluNpEgOBxDT7fmxRICiQFkgJJgaRAUiApkBRICiQFkgIriwIJglfWfOdokwJJgaRAUiApkBRICiQFkgJJgaTAiqZAguAVPf05+KRAUiApkBRICiQFkgJJgaRAUiApsLIokCB4Zc13jjYpkBRICiQFkgJJgaRAUiApkBRICqxoCiQIXtHTn4NPCiQFkgJJgaRAUiApkBRICiQFkgIriwITAYJ//vOfNy9/+csbVaL/53/+Z+pnQLlvRyP89re/nfqx5ABmnwK3utWtmpvc5CbNv//7v491sH/5l3/Z/N3f/V3zs5/9bKz9mKSX3/KWt2zQ5Ve/+tUkdWusffmbv/mbIl//8z//c6z9yJevSYG111678GvOzf/R5ra3vW3z3//9381//Md/JMt0SAF6luqyv//97zt86nQ/ar311it69A033DDdA+mo9/Sa29/+9s1Pf/rTjp6Yj+mSAmuttVbz1re+tbFvjKtNBAiOc4I/8YlPlA102tt1113XXH755c2ee+457UPJ/q8AClx00UXNf/3XfzU777zzWEerD7vvvnvzrne9q/nf//3fsfZlUl7+oQ99qLnwwgubk046aVK6NPZ+OHf1Tne6U7P55puPvS/ZgdUp8KMf/aj53Oc+1+y4445JmlUUOPHEE5u//du/LUeBZOuOAl/60peKYeEhD3lIdw+d8ic9//nPb17xilcU+ZitKcaARz/60c1HP/rRJMeEUYAh+3nPe15z8cUX5znBAYIJtJvf/OYTNlWDd+eLX/xi8/73v7955StfOfjNeUdSYMQUADpFLeyxxx4jfvPqr9OHRzziEc2nPvWpsfZjkl7+r//6r83b3/72BhjOdiMF3vzmNzd3vetdm+222y5JMmEU+Pa3v9187GMfS8BXzcu//Mu/NCI6DjjggAmbrenuDqeJ6KXHPvax0z2QDnuPFowuG220UYdPnd5HiRK4293u1vzkJz+Z3kHMcM//+Z//ufm3f/u35q//+q/HNsqJ8gQnCB4bH+SLVzAFEgRP7uQnCF5zbhIETy6/Jghec24SBA+HXxMEr0nXBMGr0yRB8HDWXldPTRC8ipLpCe6KpfI5SYHBKZAgeHCajeqOBMEJgkfFa128J0FwguAu+KifZyQIThC8GJ8kCF6MQuP9PkFwguDxcmC+PSnQNCUHN8OhJ5MVEgQnCJ5MzuzdqwTBCYJHxa8JghMEL8ZrCYIXo9B4v08QvAQQrGDO97///eaTn/xk86c//anZaaedmqgWuth0fu9732vucpe7lMvcL0/A/SrIddlmOSf4ggsumKt6rTLjve997+af/umfBqahCsAqGbbbVVdd1XznO99pdtlll7lkefmQ//iP/9hJnotK5AoNPe5xj2tuc5vbdDntU/usfkDw+eefv1oVTlXcCTCVT7tqg+QE459LL710ju/IBQVSNthgg0W785a3vKV54AMfWPj2rLPOarbZZpvmH/7hH1a7T3G7z372s83Tnva0NZ5nY/3CF77Q/OAHPygFSLbaaqu5fnzkIx8pRXAUbVIRVpTLPe5xj0X7NN8FowbBf/7zn5sf//jHjXUoT2frrbdu1l133bnuRQXxca6dUYZD//GPf2zMwWMe85g5eWX/+fjHP9489alPXXBeP//5zzfXX399KTin4CNeuPOd79zc7GY3W+2+M844Y7XqmPe5z30Kb/Zqv/jFL0ohke2337659a1vvWS+GtaN/YDgT3/606XaOZp22aRTvfe9722e8YxnNDe96U3nHn3FFVf0zAncbLPNmr/6q79qfP/EJz5xaHlpkxAO/c53vrNUUt51111Xk1WbbrppkeHvfve7G2s/mr/xmGr92vve977mD3/4w9z3nnX/+9+/7Mvjal2CYDrbV7/61VJ1Ppo95QlPeEKjgm008uAd73jHGrVr8BvaDtq8QzG5fvatfp49zHBoc37uuecWPiLTVOfWvvGNbzRknfV0xzvesfCKfWPDDTfsp8tDvWbSQXCtTwch0JdOslBxM3xD1sp3nq/h1Q984ANlXv7+7/9+qHRe6sMTBK+i3CDh0CrfqQ5qkan8ds011zSHHnpo8/SnP301AdaelG9+85tFaQewNM/4+te/Xo5mShDcPws/8pGPLMdYevcWVAAAIABJREFUAQ2MEGeffXYBErvttlvfD7HhqJQJSLTbvvvu27zhDW8owjYAiHcqKqJo0nKbd9r4v/Wtb3UCqpfbn0m4vx8QrAjR7373u4aCTkg7hoEyy5jUy5ixlHENAoK9+0EPelDznOc8p4AKmx3QqijIox71qAVfr4ImhQV4VYjP+J/0pCetdo/NQ4VbY60bRZDhx+YD0OBlRjjglyJ0yimnFEWAkcWaoEQtp1LuKEGwTfNZz3pWkYuMBP6nPFvf1iJaGLfK98Y+rjZKEAxYOUIM6N1iiy3KkCnflM3FjhSj4Fx99dXNEUccUcAZGWb/aZ+AQPF++MMfXmQq8IEfX/e61zX4tN1++MMfNscee2xz8MEHN3e4wx3GNQXzvrcfEPymN72p8JA9uMvGeENxtC/VhgZHcCi2p/q8fSVkxjOf+cxmnXXWaU499dTmmGOOKcarYbRJAMGM/4w3xvnSl7606EoKIe6zzz5FnlnP+I/BzjpnLAYKyXdA2J5Jztfr3h7+4Ac/eBgk6+uZXYJghtHDDjusyO04mYCB5KijjlrNOEL+01HojJ/5zGear3zlK0WXQbPTTjutr37XFx1yyCEFBJ9zzjkD39vrhmGCYHRh/CQT9Td0Pg4L8u3MM88s4JhO/ZSnPGUiqvdPOgh+1ateVebfkXL2WgY8Rpf99ttvQQPT2972tiJDybb5mnliqCJv6dCT2BIEr5qVfkAwIcNiftxxx5UjGGxemnvvda97lUW47bbbNtdee20R5BQ5lnIWEGAZWLMB8GixXvIkUbo33njjIsB+85vflGdRaFUetYlSSDzvnve8Z8MzRPCx0Lct+W3mmmVPMKa1UMMLgq4veMELCghBRwvaBmqTtblS+PzPK0YJAaR4mWwYFj2lOuYSHV/84hcXY8XLXvayYl10vwV84IEHFkXRxmxzch9vAqXwfve7X1HYzdHd73735mtf+1p5pnn2bh5/c0i4OFbB9fhDnwn2+973vnOKqf7jDQqRCouAjX6sv/76xfNHURinF2wYgqwfEOyYAUaI/ffff64LO+ywQwHFr371q4viiabWmvXDe/jlL3+5KBBhhaSEAc/uqS3u8cBBQDAFBFCjlISlnkIHjOIDc85rRjYw2liT5IIqrcCy+eQBwUvGzxOk7/iLhZsHz/jaIBgv2FjwM94MxcCGhK+825l3vhdlQuGmJLCK6ytjnHuCHxebz1GCYEqNOaRcooumv/pK2TM/DA8iM8hahqTb3e52RTlGJ3SlbHcZHdCLPuMAwWgSRzIxvFL2nD1pjyBvyApzb88x1/YKPEhGodFBBx3UOIrMqQEPeMADVvNUWgtkYXiS7HEANA+l+cDfeJm3yP6EN/EyPjMn/sdT9jJyz/PINp/7mxwc1akL/YBgoNORJbyP7UaO4Cv9x0sAmDHgL7L+l7/8ZTFKoLF92NrmiXI9PvS5Oak9wfEOcp3hwLWx55BHDBObbLJJoaX5IrNcay/xtwgy1y22T8y3licFBDP0MTxYy8bleJK999677NN4RD9rY7Z9l7fensybRM7bmyeldQmCgQlV+C+77LK+hwc0M7rSHaOR++SA3/Y98gDv0k/QnVwgHxlK8RXjIh73LPvZctswQbBxGA/dzB7AwMcQKAKLXkQm0gvtodaudWpPtT6tSff63NpEH3sLutAXfNe1MwotJx0Ex3yTQfYQcj72T/RGP/xELsIe9gI6LUPDr3/96+a1r31tWbvoS8fRyED6F3nGeMUwP6knKSQIHgAEWzSsjgQz61w0myBhwxoHjGEImxdvEAHF2vmSl7ykKO8UZBYWQv3www8v/2Oc17/+9cVaQhGmXGMoniCLkoCicFCIgWgbAYVmoTbrIJgFnaVPQ2P0oOAT8r4jiCmqFiLQ+cEPfrDMDUu9ZjO+8sory9y86EUvKoeZRzM3zoo1Z94BRNQgWASAOaFMCoflLaF4UVoIEe8E0s0VEEL5Y2XjAY4QVmAFqLOxuw5vvOY1ryleAsda2ZiOP/74Zq+99irfE+aUBkotRXYxT+NyN7JR398vCDYP1o/GysgQQWFHL3NFGbBGTz755AIsbX5+OzJFs74IaJ6srkAwnjPHNg/zbU2bX/P2xje+sQABvMlwgV8YUrzbesd/AYKFH/kOaObtwF/ubYNgSrgN32buenwdG7vnPvnJTy5AEc+w8vM240eKpuvxHF6ibPlZ7CiLUYJgwJYiY03W88P4wWhg7sg/ijNPpLGTkY44AFB8b40M20M5SSCYbEEbygYeOv300+fWBFnif2CP941y6Ox4NAwjg3WB1nU0As8xkAgE80xR9ik8eJb845FmCKaAWnf2JoqSfUeqB4BHuTCfDI+MUXht2PNiLMsFwQxGniF6Ak3szcbCaGrehegyvOJJRnEy2poXCca4imaLgWCG2DiSwzp//OMfX+QHGuF9NGYEZTBnAHrYwx5WPPOL7ROTDoLtqfjGGkffNggWURfGbfRgVOEhJVfJLWClThvhEe0qCmgpe17XINh6ZQRgUCL3AQ/723wNvUStBQgGWNDK/fYg3jqykWzAw9Zr8C/a01UZ9xld6SP2rOW2UYBgBjt6AN3OeuPNJHPIIu+3H5533nkFHNsL7b30AmsZPe2R1i/eoavzKtO36Hpdt2kBwWSetQXgMppq1irdCh0Z/GASofj4i8GKHMNH6OY6dGYYZczBe3SPBMGLc9TUHJEEBFMYX/jCF64BQi06C8smBbBabBRPXj2LzGKlpFHeWO01SoncKouYhYWwJ6Ao96yfmMozWN4JMhvH0UcfXd7dVozbZJ51EEzxpRxQsCh5Fh0vBgs+4EDgU8bQk5GC1ZAyRxmzsX74wx8ulk+LvN2AYCGZ7qMwCnsFOsMTTCBY7JQXSgsQ7L1h5WdRs1lTJL2DpRH4xjs8VayQNqgAsxRTXgBKJIHBIkx42AB5/IRBEuT4iGJKeeoF4BZfapN7Rb8gmNIB3GnCDq01irk1BBTFWbbWiU2QYHcNwxKlEt2F1/HG9mpL8QRbq+YUT+KvyB/vBYLxC4W2DYKBFCCDTCAnWKXxK29ce6373xgA/cgbBjbICHxJiaQwUjh5Dm1WFAPAx1rBT/rqXTx7tUGvF01GCYLxPQMUg2Ld0BhoE22D1uQqTwbjFou0+TU2oETY6WKRMstdCZMEgvEs3iZHyDb7hjnm5aFU66t1QB6Rk/7uFQ6NxpRicocMoixG2D45icbWDc9wgGBKOH70XPsjeQcUMkziTXOimU8ytI7iWO4czHf/ckAwo5l9RUQWfjMuPMZgyvvOG4tOAAPDFnlMYXSd8UUKw3JAMEWeIkqZxOPm0Fq+5JJL5rxcjO7tfUIf58vjnhRPsL0Vncgj/ESXqT3BgC99R6NTUcp5kcwFmUbmR00V1/AIotG4Wtcg2PphhImGB3ja5mttEEwnAQgZT8h4hnVyAGgk6+0N9FdrnD7h+QzLwOA0hEOHJ9j4jFV6h/HS9xiJgLEAwfKC6VX0Lno0g7P7rW/7CGeJ9Ux20tfxmj236zbNIJgeTJaRNdYgOomisR/Qb0Qi2V/I/hNOOKEYpRli7OPWOn5LELw4R00NCDa5NhlWbxMezecWGguezYrSzTIs5EyzSVqwABsrLyVCCxAsPIjyUSu7FFNAFjC2KfBksQ7zFHrPSgfBwIzwCgu0zjXgFeFhtzABDQpiDYKDbsAF5WIhECz0jELy3Oc+txgfCFyetMVAMNDLM0g4h5JIqaK4CGXVL/2nrEWYrs9sqKyTNq86lA6oAuZtXja1WWz9guDwBANKLJKUResD+GGwqA88t+7MLwWQkAYIgWV5Q/O1pYDgmG/PNOeUNsq0zaLtCZ4PBJMBQAy5Agybf8p3r3BoCgy+p8BooguMDW/ilRoEs37zBtvcyRvgpKaRfGEyZqE2ShC85ZZbFu8hwB6hWNaSMD1KCrAB4EoL4C0ne60l8jEMV4xfw26TAIJ5DyOlhiInQkAUCjmBD9ogmFxEv/lygq0TBhp0x08Rrsu4aP1QKjV8GiDYuyiYUTshcmEpo9ZnXdAHOF5Ioe9qzpYDgoFa66g2kjEskM3Skqxn48J3eFVkB4OCeRBNJAoBKFsuCOZhMQ88/BRP9NQ3xgS8TpEnI+p9go5h7fRqkwSCpYzoP12J7KI4Rzg0gxaPun2XswDdQ14BweQrA8SktK5B8Hzh0IxJPG6a9QjUam0QfNJJJxW61uld1qq9RF0F3lO8SRdlLCRXpxUE0/WsPXsa2UQfpBfUINhaZmBmzCObGK4Yk0RvoUXog3REOthKDofu5Qm2D3AuhHHAnsLBQ87Rc4BgvImnGF6tTXNCfnFOWMcJgheXVlMDgg2FgsWCxKMX1fRM/kMf+tAisIXjAcGUOMIdYxH4vJN+bABtT7D7KHgsKxQK1qkQ+JgvQfDqTMTqxxDQrpprIbJusvixLvOyC3+dDwRTCs1ju4UnGAiWc8IDT7FhaSRU63BoFrIjjzxyNU9wvyA4vPs2I2AlcsspPYS5BkwxkPB+Jgh+dKE/MEcJ5ZnnnUE/4JYFHTiiNPkNPFFMfYcngGIKAuA3LBDMSMFDa95sEpQSUQI2DQaPhTzBNnXywUYjJ4diyLPcNngBzMaBdyOM39jRhLLTBsEUS4oBQ47QOX0jU8ghQDI8L/PRZJQgWEga/mcAtMHaVCnwDBw2VqAKCA5PsD4zHPAO8TKKuFlsPItvSYtfMUoQTJ4IkQcizbtG7jDmCL8NT3A/INhcAsFtT3k7J7imwEIg2D4nzx4YjHQhhSN5+Sib9jZzBkDa42rlfHEqL+2KfkEwuRBgIt5EBjNoR9V1ETzWHw+kvcXYGCQBNUBCHj6gChyTK2GkHiYIZkjF7732ifkoNkkg2P6KZyjI5I++BQhmsKMD4XnABf3xlkYnIl8nKRWoaxBsfcZ467m0f8hf1exjDDO9QLDoMrqRPYchJ34DgLzm5L9QVgY0qQn2EiDY30L8u2ijCIfmCbYmGYnpTozgnBNtEExu0tfJa+AMbezDxiwljsyU2oY29k/ruOs2zZ5gOic9AV/Rp6xVDiTy3VrkhJAmwjAHA4li4zHmABTlkSC4P26aKhAcShfrk0VHAaGo8vrw4llUQLCN1G+LFTNgHpsXRqGkAk6YKHKCLVKbmgUdhbB8ZgNm5Rfq5H3i7G0SK9kTjM5o4KduwC7lhHLDKkixYx1XaET4s1yZoBtwKyfJZgAk1CFW8owIThYsm4c5Y+gAqj3X9ebG/RQuoIViGeHQUSgpwqG9M4oOAC76JcyZ8gTQU5yAJR5nIIa133s8R66PMTCuMKrgm1ls/XiCeanQi0deAxoJW/NqLTF8sPr6HzA2PzwH6G0ztDYJ9Pq4nTYtB/EER3XoOA6FFZmXCFDxXoBMGLuN2kYI2Fm/kRMMLAPnNhfKuI0Z39mMhUPzCFOI2mvdsxjHhA4av43ItTYiG5C0DLyLTt5NWbcZCeNkFAJWKFHC3/AbpX6hNkoQrB94nCykTFH8AF45a2hq3BQ2hihzzkBErqIzBWehSpVdrptRgmD9Jv/xs3EziFG+RQuZT+uAwhsFTcgJ8q72BFOG0cZeRJ5ZJxFJ4PnWCN7FO+2GL4FXckjjRQlPMBkF/PEO6AdwQ/7iQ4YZBimyi8HPXqf/w279gGDyNoyasb7s2WFwsS7IGn0mVxjcrB9jB8KsUfS15iLtwefGjx+tyV4h+Qw75D45E8e7tHOCrVXf6xfja3iCyQLzzUge+4S9EGC0TwjxnO/IqkkDwXhA5AbgRS4qVAjcoaXPNfs2fYixW5gwmeaa+tgWnvAIuR82X/V6fpcgmEwxTvI4qkPjAbw33zFQjDKAW+QEk+2iBsIxw+jqfjS1V9BnRDCIkKLDkgWuZ0xjUPV7ualWwwTBUQQSr9OH8Q1vOEOdPc2eF55gMo6c8r89UGi0tcbbLlzXOmPsYoAhXxmt6Q5dt2kDwRHVgg70KHuG/YU8I//oA9YiGcqoYs+AadAUbzE2cE7Qg+g3ruUVniTjVT3HWRhrFTX6qQ5dE86isuEBXhZXtADBNk8bkg2q/t57WIltuJjNAmEhJ3goFL4HekPQu1b4NJDGw0HRscFS6hdqs5wTTDFGi15FVghJCh+lzffy0vxGR3MTFlS0A0zR3/zUgt+8UjQjJM7GwosvbybOLKTMAB5RtdtzzbXr4sxiVmz53b4zt5Qz8+hd3q2ok75SdGrlRfEKvGEswTt4AF+MM/+p682hfl4/INi8U6prGgQAZN3lcUJP82We6mJn5sL8LFYEahAQ7FqWz7rhG0puNMqyPlnP1i5epPwynFHoeHyFlxqTfN4wmOAR4IHXdr48vxi7e+pr8BkQwsuC/4zd8/EznsJ7+sVI10/u7KhBMNpZr9YuA4G5lZ8qdFJfgGJeYZ45hgdjRF8b7SDHpC2Hn0cNgvU1eAlvAJ0BYmOPQA/0wpPkWlSmB5rIGrTCa+RI+0xQ/Ig3exmIgD085p0a2lMeow8Uazzn3XFNzCFe8z0ZuFzlut/56gcEx5Eg9TOtmSi6hIbWN5qEbI5qstZ3hOSHfMaDnolX0cZc9Bpv7BH2jVh77vU+95g3z/G9RubZd8gG+w0ZEt/12ifmo9EkgGCyjLyLPTRohmfs1/Y446zldsg4chsf0rfqBgQv5wz0fnlqvuu6BMH2/F5HntkH6hSWui9kOwDc3iOsO7xGLtbHbgExaGZvCCNM6DfovpCBuF9aDRMEk0MRwWRc1hp+Qh+6l/77O/Sq0OF8Rw7hlTqFgL6NTtZer2ru/Y55oeumBQTbX9DJXlFX8g+dOqpDx1jtO2QtXTxOLiEz8SL+s9/gP3OBtybxTHljSRC8akYHBcHzMX0NgiMnuIuFNOgzZhkED0qLvH7yKdAPCB7FKAYBwaPozyS8YxwguNe4KcBtRYUnTngWrx6QMKqjw8YBgieBF6ahD/2A4GkYR5d9nAQQ3OV4JuVZXYLgSRnTcvsxTBC83L6N4/5pAcHjoM0kvDNBcMcgmHVTiIoCWCwq42oJgsdF+XzvUiiQIHgpVBvNPZMCgnuNVggb70aE+42GIk1Jh+DBmtSzD0dFh0l8T4LgNWclQfBwODVB8Jp0TRC8Ok0SBA9n7XX11ATBHYPgriZmuc9JELxcCub9o6RAguBRUnuwd00yCB5sJN1dnSC4O1p2/aQEwQmCu+ap+Z6XIDhB8GK8liB4MQqN9/sEwQmCx8uB+fakQNM0CYInlw0SBK85NwmCJ5dfEwQnCB4VdyYIThC8GK8lCF6MQuP9PkFwguDxcmC+PSmQIHiieSBBcILgiWbQVucSBCcIHhW/JghOELwYryUIXoxC4/0+QXALBKvOp8T3tDd5cg4Ql5+cLSkwyRRQRfW8884rVWfldi52/Ncwx6KKtzxPR0yMsx/DHOOgz3bUBCDsuLekyY3Uc9yQnGBHjGSbLAqoGKtgmkrhya83Hn/1yle+slRxjXOmJ2vGprc3zkulM07q8S+jpixec+yk897rYydH3Y9Jeh+dQqV+cinl0STNzI2yUQ67I/zmq8A+ih5P1DnBSqiP6iiHYRLXwnNuY33cwDDfl89OCiyHAo55UP03js9YzrOWc28cB0AO5IZ1IyUdsePH8S/ZbqSAStSO1AEssk0WBRz5wqA2qkrhkzX63r1xpJ/K6o5ly9YdBXj57Fv1MUTdPX06n+R4HEfjkI/ZmqJHONZpvqMOk0bjowCs5wgnx5MlCP7ud8v5e4DjLCzea6+9tnGgOAtwtqTApFPgPe95T1Fcn/3sZ4+1q87/ftjDHtZ88pOfHGs/Junl73znO5tzzz23+eAHPzhJ3RprX97ylrcUT/DDH/7wsfYjX74mBZzzfuWVVzbPeMYzkjyrKHDooYcWoPbSl740adIhBT796U8Xg9ijH/3oDp863Y963OMe17z+9a9Po+mqaaRTOH/8Jz/5yXRP7Iz2/jGPeUxD/0wQvAoEO+KoPih6Wuc9q0NP68ytzH5nYazJnffMCV5zbrIw1uTya+YErzk3eUTScPg1c4LXpGsekbQ6TTIneDhrr6unZk7wKkp+N0FwVzyVz0kKDEyBBMEDk2xkNyQIThA8Mmbr4EUJghMEd8BGfT0iQXCC4MUYJUHwYhQa7/cJgscAguXrrr322kOd+fQE9ybvH//4x2attdZa7UtC6iY3ucmic/LnP/+55FXVOePmUh5pHUohRyjm2PV184yb3exmQ537aXx4guAbZw3f4B882uYTfHbDDTcsyqddz/8kgGDrxtqNtYc244zYWa4n+Oc//3mRGbe4xS1Wm64//elPZd571aUw/0Lrat7wGZ5RzDHSeMizunnWOuuss8Z7gpdqGSUlwfvbMtLNvtPn6Jv7yc0oJOl/8+TeeKb8XGPS5MbZ99oysc2v/fR/IR4fNwhu7xPoggZBN3w76j1gWJ5g+XR3vOMdV5NJMd42b8ecxfc1LwVvo027MCm+wfd4uOY9fBR0JBvIzZq2bd5zP37tsi0FBBu/kP273/3uc10xRnzfS+67KHSK9vcxRuuqPTZ86Lk1PYOO8Ux0Q8d6vVvnQef2d/3Qbime4F/84hel/2qCxLv7oUnoc20Z5hm9wluNH4/E9WgUMsvY/G1+anna3nvq7/qhxzBAMH6Q8rjJJpvMzW/QS//m2xv71VdjzS20z+ITdKyxDDmHJ+s9IGiEjlot+2osFLRv81ysbff22sv6mYOFrkkQvIo6o/IEX3311c0JJ5xQqpENsyUI7k3dPffcszn11FPLlxadKoavfvWri9DYddddm2OPPbYnyCB0jjrqqObAAw8si5iQUO1PLtCPfvSj5vDDD2/23Xff5le/+lWpSiqndOutt24uuOCCsnDdf8wxxzTbbrtts/nmmw9z6qfy2QmCm0Z+mWrD+OvBD35wycGtFRjFw573vOc1qjWPsk0CCLbhb7nllnOK3h577NEcd9xxoyTDau9aDgh+29ve1rzgBS8ocuEjH/nInDygEGyzzTYln7VtJP3tb39b5It9Q36ZfQTofe1rX1tk1kYbbVT4wm8FoYCKUHRVaXVaQA1CVHBVAd3pAfriWYcddlhz0kknNbe61a2K/LrDHe6w2pj9f/31188B99NOO61cs8MOOzSf+9znSj4/mSgnEH2MQS7585///DnFh8Lx9re/fUEQqDZHnT93y1vesjy33zZOENzeJ/T57LPPbl70ohfNKfeXXXZZs9lmm/U7nE6u6xoEG+eJJ57YHHzwwSU3/pJLLmnufOc7N7/85S+bTTfdtNRW2X333Zujjz56NRmmmrI9kIyLPdMAX/Oa18zxMZ7ZeOON58ZNqb7f/e7XfPazn51bF2qd4Lv73//+5XPrxjNV9iev8LNrXve6180BHnx5yimnrGF4Wg6BBwXBKknTCxgP6BLWnLVNL7nwwgubLbbYovnQhz60GqC1lq3Rd7zjHYVv8BPDgzVHDlobL3/5y5v99ttvNePZ5z//+eab3/xm8+QnP3luiNtvv315vme6V90Yf3/gAx8o86LZc8Jott5665X1is79FowdBATTo5xioi9AK7lBRkhLfOELX1j2wAc96EFFj6qBHSOikyTQ/4lPfGK5D4gmW91nTJdffnnzgAc8YLXpBbLJPdWaNXKOPnjWWWcVPe7pT39684UvfKHwmzzRddddt/xvPw6ZvMEGGxQZ3W/hva5BMJBOphqrmhRog9/JbnyApt/4xjea9ddff27sPrN3kNFogNeiBtITnvCE5lOf+lTziEc8ojnzzDPLPNCJ6cZ49ZxzzlltrJ6FJ/CkBmsommn/2nnnncuc2F/MSV1fyTvM6yMf+ci5fj3lKU8pfG2+/H3RRReV/pv3hzzkIeU6stNYfe7Hfvfc5z63M4NWguBV0zEKEGxRKlABBAFEw2wJgntTF/2POOKI8uUhhxxShJuNM6rEWYS9iocQOl/+8pebq666qmyqwO5tb3vbsqhtvhRyAMUC3XvvvcsmRXH/8Y9/XJRCm90VV1xRDCCUhGyrUyBBcNMccMABzcte9rICQqzfffbZp7nmmmvmCIXX8BhajbJNAgi2/vbaa6+5CpvW66i9aTXNlwqCgQdzTBmhRAFECjhR9CkBX/rSl4qcaYNgYJcCTNn/4Q9/WBQNiimlR+EyBhLKoOfVVc3f8IY3FAU7vCLeT0k96KCDisJt36OEPPOZzyxAhmIJyFCGAKe6tUEwZZySrJDcVlttVcAHBfG6664rChnlUt94BSjfmv8VFaNEztco8+RoPY4wBn3ve98rsnrDDTec9/5xguD2PqGT+ktpv/Wtb136bP/o2iO5mDzoGgSrdgskAHX2UX/b98w5Xrjb3e5W9kSGZYaZaHj0TW96UynShVb4E0igDwHM+FFRJWA1WoBgoC88lgDuTjvt1Nz3vvct+7Ufyr1rjjzyyOb9739/2ecp9kAUXsJ7PI5dFgcbFAQzclo3aKNf1jMQc+9737sANnKFMYHOEA3IRzPfffSjHy1je+Mb31iMgsArI1EYl2rgYw8BhmoQbO0DGHRRYJAc4L0jk9CdTGXY1yc0I2vMH6NU2yg2H88NAoLJLeuCUU/kgDEyXHg/HeqBD3xgc8YZZxSahAzxXgZBMpQn1BgYRNCS7HjVq15VxsTI4Hl1A/R9Fl54tAUOydf999+/yEb8q9gZmtp/ybOTTz65zIGGx/A6o3U/67hrEEy2oged0ljwtPVEL8BXAKUj/PQxmsgDhibfk6UArPl2jzWimjeQaj3TbY0f+OQ5VzjK/MR+a4+yVslx42cMNR/2Dg4gwNn6tYfRV2o+dsoEfTva0572tAKozTfZbq8yd9Zo0Nuz9Rs/MgAw3ALu+L+LliB4FRVHAYLDwknBIMSG2RIE96ZugGAhFoQe4VY3gtb8tI+SsEAtVMKDEmMjIhRYtm3SFiqFkOAhpDSWRcIDcoTYAAAgAElEQVTK96yyNh3WrVF7AYbJZ109O0HwjSCYcr/LLruUo83wTW39XskgmDLtLE4KCSs+0NaPAtIVf7afs1QQTEGhvJEBFC5eNI18cdwSxbgXCGYQIbt4JiiOPBVkPBlG6SDPKDAUv6AL7wb+Aa6jiX65z33uU7wbrPQUDkoypYkyQ4kG2Bjq2mcgzweCeSPIRUqoOQLuvcfzAQ9epVDqKTHACuU6QGGbtjHW8GZT8Mhan1PgrAveM/tprzZOENzeJyjAlHugnmKJPujUr1etK/7tGgQbpz3PfDKimEtzDpQw/pp714h0AHajuYcHWQPoKOe8ogBteO14eU4//fS5exYDwbzRQDfwZg/G0+EJRu+IvPKce93rXgXEzBeqPSi9BwXBz3nOc0ofyLGISOMRB2g0PAJ0WsuxjgE36zOOqCMHrHP3W/+afgDEotWiLQSCrX9AhvHBXlOHlgM9H/7wh+eeQ8cBpgGcftogIFhILWMc7yAZTy5aGwCbM60BKTQRzWLNRzPuiATiaHjqU59adOqISHEdr64xAtPRFgLB7sfPxkmGRSg50AfUkY8aQyK+cj1v6mKtaxBM9zTX1s/Xv/71QiOGAjSK0wrsMfTYaPhNFI+5MS7r0B7KkKoZ26WXXloMR54vioMOTAa7xrtCXns3Q6lrNHoLYMoYCkjjW2uQd5/BJxqDw3wgGP+iZ/CjZwTormWGZwHpdOyuTr5JELxqhkYBgr0KI2CMBMGLiY7hfB8gWLiWzbbtVbMZU1gIFMLYT+SPsFoLtQkQTPDaxDUeEBsXwcNCBcwQnKzk4dHwXIplguA15zZB8I35wOeff36xhtpcKZf4MNpKBsGiKFjvKblh7bb5jhpMxFwsFQS7n4JAWbXhkxeMHjEOoc69QDDvDYXRhk1JoUxTRHhKKHo8c5QzyjQFAij2HUDSbpQHZ1ZSmIRDin4xHtfzDlCYKDwUqZq+84FgCqFGEaOcAvPmizLfBsGuA0CEcM4XTsgQoA/RLr744tI3dKNQOtPRmGslrx7jOEGwftT7BMVd6CFgwSDBiMELzoM5ytY1CI6+C38UQeCHssyjiecYK+yNDMe1RwqwEWapoQNwFQArIqSAEOGP0RYDwfiCVwrvM5Ax/jAuAZc1CLY+0J3C3dX53oOCYGMCFBjDGXcYg8iCUOiBBH1vg2AhqXQMjQ5D9lmz6KnxSvKcGXu0hUCwa4AihgdAh/c1vHZtEGy9WYP9Hjk2CAiOvpq/F7/4xWXt8CgKxzVGnn80MfYaBPMU6rOmfwA02QWwul/TX2CaIyLaQiDYNcA/2epdgB+50wbBruNxBgIZfRZrXYNg7wtDKF0UP2k84nRMxifzGrUYfEffZexkOLSPoAMPOGOqZh8gp4zdMxlYrNOvfvWrZX+yRkWoafQUBgby3vnjdGa4BghmMNGsNfNQr+OFQLB7vIvujB/Npb5obRDMOw0/MQR10RIEr6JiguAu2Gnyn1F7gnkvWFjrxhNsI4kQaQs7LI5tEEwoRB6NDZcgBlpYvymlBJHnJAhenC9WOghmgWbRDmu/TQf/CEMLhW0lg+Cag9CKN01kxWJFlhbnvKVdsRwQ7I1ydCnBkXsVnqn5QDCFBmigSFDMGPDIL0Y14IHiwEAnFBDQAqQpuUBKu1FQzjvvvKKA88Cw/gtTBVoZ6LyLMgLI1gW1gGBeuwitpph7l3A6fEr2Ra0ESqoQ2TYIBmjcQ3ma71zGGihF343PmCmd6MaTFRE37fFNEghu943Cji5CDUfZhgWCARf8I4eXFw4/Ag1AMEMH5do10Wrw8rGPfaxcay1IdQjDAPCCt6IFCBZNFZExQKPoAlENwHbITYq0z/EHJb7tCeYtBnS6Kqq3FBBsXKIajJOxB7/SSzTgxjpqg2DgRciq5lrhy7x3EdqN9oBBDYLRQE4wvSQa/YZBzf6CZugApEmrEFJM3+nlCeZ96/cs5KWAYOCJ9x6/xBxxIADBaALI1iDY+AE+TTgw+QUUm/8aBJOHdeoEWUnXEDmgoZtwXLxCtpG/GgMjoMtQ6fm1J5gsIoMZI2NOFlrLwwDB3me94GU6ZuR/m1uGKAC31m3JZbzGWCV83roDiuucaUCZIYTx3V5jTkQt0H/Vm6gjd+wt3sEwbQ3gSbxjf9K8jzGrjtbxPDqM/SIaRxL6m7d73OMeRW4A6TzLT3rSk0oURxsEiwwgQzkLumgJgldRMUFwF+w0+c+oc4IJNqEyFgHvCcspwTpfzmUNgi1EFu7wRljMvpczTLEU8udZNhReFy09wfPzx0oHwTZ4ShHFRhhShIABFzYNBTyAEptRnS83ihU3CTnBEaFBebFO5XDZrMcVEr1UEEwRoODbwNUUABB4QQJstkEwZYI3VoQAhUOEAGBp3CzyPL7AIcWBPCKDGOe8g6IWBWBCMfE8tJNThZYUZ6DXdcAG0MzzQnEW9lZXjSW/KF6ULu8NmafvcruAUkCa0heyUV+BXQq2hn/Nm2I487VeINhYKW0Uz+985zsF7NcKf/2sSQLBwIy9AE2Bdx4W805pH2XrGgTz8JJZPJAMwPgHmGVcEd4akSzyK3k2g4/xFT4RBQDIuBe/yOMVJs1IwDBUpykBHUKqd9xxxxLOiResH55PwEm4v3vt5ejNS4XvahDsGZR1cnRcOcFAhvUDeIWXWn+tJQAA3cgCwIreEDQDZoExclj4K9rUOcH4C3CMHP3gK0BOqDivmjUIoKAT7xwvmrUaoeqeSb5Y2zUIxreAElBUhxUvxLuDgGA5t/Z+a1sf7X9ALH1c1A9jnHFJ02DQCJqIODHP6MkDyvDhWjzFKEOmkREBlKO/QCPA5TrNNZ5LVpJnDInmwf3kECDeBsHmDw8JH+7HCNs1CGZA44VGJ0YDsoRXljHIGuEJZiQK+YhmDAnAJmOTv8ljuqp77Qf4j1zFf57BIIAe5sezRAIE7X1nHaG/1Bk0tKYZZe0rHEPmFF+LJoqGjvg+is/KMwZm8aT1LK3HMzXygKHbnNYg2DPJB8acrgrMJggeMQimBBE4823gXW2MmRPcm5L1gorNNUAvxdJCrSva1U8xb3WlUwIiQgFZ2ITx2WgtKgLDZlIDamFPQhDbFQu7mvNpfs5KB8HmDg/ZlHjqAB+bGusrvrPR408W37rQzCjmfBJAMMWXUmTNsnQzCLSPUhkFLeIdSwXB7qeYAqvmE9+TE9GMTXibPC85lpQTShejCC8bpZR1nhdNzhRFjeKCX9wXoJeXh/LM6q9RxISL8pbgIc8io4BVCod3ASwURJEHnlWHEXoGJZ6yKGLB+3gIAHCN3KNYAdLGpX+8dEAvhc313kfBFCmzUOOtoWhFoxzzYvAO8G7wEBiX9/cKhx83CG7vE+gVuYPy8Mz9qMP4uwbB1qF5pVgzlADDeI+HH49QtP0vWsP4Kbf+tm4p2e5Hi/Dmyx+0FvCOayJMM3ig5k+fASGRR+t6RjJy0/3AON7F13WOrEiGLvOBg+8BWcCvnwaYWhc8q+QZsIdWZLr+Cyk3Ho13lsKvMTIxShkfLx5vMXqSHVE9WopA3aw3hgDAw9/uBVrCsCXMFbjRGL8if9P6j/XqHtfQbfptg4Bgz+RIiJB5AF1f0JQs5DkUZQCE6zd9S3VreprP0Yy+BUxp5BEDiP77XcvW6D+gFjKI4TkMLvZbcxP7Lx1dX+jSAFrQBG+h/Xw1Ddp06hoEi4SSx80IhaeBV2CcAQO+8LexkJF4yY/1D1AyovjcemVYYDxVHNb1nml9kOEMpOhAVxUWrqET2Qx8RhqEd3mmfghTtubtUe6nH9cRF3iQDCf//M3YL2LSNaEvA8Ya3gyMZK3XBc5EUQDeXcnQBMGrOHZUnmAWJgI9zwnuV6R2e12vM5otXq19lmb7zYQPgFwvPgKufXaZz2xM7byjOM9znFVtu6Vmd09LEHwjLeM8yPqsVp/F+bDjAH6TAILRhuyMcyHHQYea25cDgj0HQOUR5F2p5Ul9Fi/FQDV5YIPiQn7YO2q5Euerts+G9Jz6XFTPQrvYd/ztWe2zUylWntXrnOB6DuIczrrvlCcyklIThkT/+zwUyH5yMfW93QDhGKsxWBNtWRz3jBsE99ongt5dFWQaVPJ2DYLj/XIuhY2ak+CFmHNjjeMBjT/C3/1tLcf3nmVu7Zs177THiI/84OU2H4XcrNdBnEcczxkG7ZcSDm38ADzahS4Q47fuQrbVukrsAehc6w8xxoXOQI711D6DGR3ju5qeZEDM5UJnzs7Hg4OCYM8ByoydgS/e3YsmeCTOiya/0Mj/tUc2+j/ffActvRdP1tFEwUf1+bfxnpBhNd/2sw67BsGhJzAG2psDaMb+WNPDZ/gscs7RhtyswWkvOvbit5DjeCLuafNjrNGFzoMPnmufeT0fP5pj/dHa5xL3Q//FrkkQPGIQvNiEdPV9eoK7omQ+ZxQUSBA8Ciov7R2TAoKX1vvh3LVcENxPrygFQhgzcqQfav3fNeMGwYP1djRXDwsEj6b3k/uWpYDgyR1NNz1bCgju5s2T+ZRhgOB+RyrigNEkilr1e99Kui5BcILglcTvOdYJpUCC4AmdmKYp1mZhj8LQst1IgVGA4KT10iiQIHhNuiUIXhovLXZXguA1KZQgeHWajBMEL8a/+X1TwukV+ZqvUOMoaPQX/y/K547ibfO8Y1Th0KMaYnqCR0XpfE8XFEgQ3AUVh/OMBMFr0jVB8HB4rYunJghOENwFH/XzjATBCYIX45MEwYtRaLzfJwheRf8AwYp/zFcYabxTNdjbFU9QgbOrA6UHe3tenRQYjAIKW8hXibPhBru7u6ttWIqXqX6Y7UYKqObLE+z4hWw3UuD0008vVW/r4x6SNpNBAXu5wlwKL2W7kQIK0qhOHVVxky7dUMA+oYhTrwJM3bxh+p6iQJ6Kv3Fs1fSNoNseq+eh6r+THrJNHgVUVlfVPj3B3/1uqeDoOJsJcEwvm1MsPAq94ivZkgKTTAGFKVS/VVRBlUEFMcbVFL9gQFKlsz5sflz9mYT32rwVc7GRj3NuJoEW0QdVVuVaOZ4k22RRQNEWBjXH8MzCXr5c6pJpqn6rxkofSJosl6I33o+u9CxFexSWSro2pciUon+qBHd1FnM3szW+p+CTa6+9thznFAWextebfHNNAXu4iticnwmCV4Fg5cbHXXm0CzZVelwOX1p+u6BmPmPYFHD8A6ONMx/H2VQifPzjH1+OUEil5saZEFHCUsobnO1GCpx77rnNBhts0DzkIQ9JkkwYBX74wx+WI5ucSZvtRgo4KghQcw5qtu4o4LgxR8KIHsp2IwUch6Ui8YYbbpgkaZpiQFbc8Mtf/nLSY8IowEBhn6B/JgheBYKdSzYLFqzMCZ6w1ZbdWZACmRM8uQySOcFrzk3mBE8uv2ZO8Jpzk4WxhsOvmRO8Jl2zMNbqNMmc4OGsva6emjnBqyiZhbG6Yql8TlJgcAokCB6cZqO6I0FwguBR8VoX70kQnCC4Cz7q5xkJghMEL8YnCYIXo9B4v08QnCB4vByYb08KNE2TIHhy2SBBcPcgOELthWNl65YCCYJHB4LVTZiF9LGlcuBSQfAs020pnmC1JsjCWZSHwwLBN9xww0xErS517XV1X4LgEYFgSs9ll11Wqs76W0WyzTbbrKt5XOM5GQ7dm7RnnXVW86xnPat8qYCK/7///e83a6+9dimk8uxnP3teweIssR133LEUxNEUDDr77LNLcQz5LyobK8hy8sknl2ff/va3b57//OeXawl5nz/qUY9q7n73uw9t3qf1wQmCm1KQS9Xh9dZbr/DiXnvttZpS8Lvf/a58v99++410micBBAM2p5xySnPrW9+6rCWFy8ZZkXU54dAf/ehHS07xne50p+Zxj3vc3D4gH/1Nb3pTs/fee68hg3x35plnNr/61a+addZZp+R2OsXgne98ZyOK6aY3vWmphrz++us3xx13XMlD0xSbu+Utb9m85CUvmeMZ8up1r3tdKWKj2BmZBsioAu5ZZOEznvGMIr/q9rznPa9UffW9Jm8en8p3+9a3vlXup8Te6la3KrJQP6+44orm/e9//1xBJn15wQteUPo7XxO6Kz/LPulHVeN99tmnb54fJwi2H/zgBz8otN1tt91K3rg5O+mkkwrf+h9tfD/K1nU4tAI/ZLY1qRowfiG3jBX/4SfVgeWHxn5pvPIi8az5f+ADH9gATJqaA4p3oZE9+C53ucsceQDGAw88sHnta187ty6cJnCf+9yn7KXycvVFzjPes+d6v1oGn/70p5tb3OIWpSAR2fHc5z63WWuttToj/aAg+De/+U3z1re+tXnve9/b7LHHHoVHrG3yhHxHq4MOOmgN/jj11FMLbX3vvnXXXXduzRnMve51r2annXZabVzW5M9+9rNmq622mvv8yCOPbA455JBC5+OPP77ICc/cfPPNm2222aZch370GWsP3eRM3uMe9+ibZoOC4Msvv7zQxDyZn0033bTUB7HXSU8kR1784hevZmyRh+178s339kSy59JLL20+/OEPFz1s3333bTbZZJPV+o2PyNc73/nO5fNvfOMbzTXXXFN4Dn0905jJOJ+Rb+iIp8lrNEEz7+u3KGLXIBj4PeOMM5pXvepVZS6Dp53e8KlPfarsC3hEkdFo+k0OKwKF/83p3e52tzIWeqk+oj+dw9pBh1/84hdlzVjD6FA3c3bxxReXe572tKeV9YqP8RT6+Ryd65N20Frfrdtor3/968vcuseeRG8mGx/60Ic2D37wg8tleAMfB+312zsX2kP6ZtYmzwmeo9Www6EtMJsfRjThG2+8cVEahgWEEwT3XgaHHnpoc8QRR5QvLTrKFoFh4TlWwybdS+GitLqOsLD4HItAyFiccsj97V7X7bzzzqU6orneaKONiiC2kAkFm+b97ne/Qdboirg2QfCNBUXwJGXykksuKUXtrONoFAJABK1G2SYBBDNcHXDAAUVuTkJbKgimfJIjlBcKO6WBYupzCghDKTkSQDPGes455xTFgmyh9F9//fWFFuhCsfnlL39ZivOozForB295y1vKNQFEKBLkEODCAg4kAOVPfvKTmwsvvLD0wV6Fx9pFlMg479UPDeDDq9679dZbNxR1Cs7HP/7xYlykSAE8wMn2229f7qGEUpj23HPPeb0+L33pS8s6aLdQgnxO5s4HJMcFgj/72c82ClIChPZ4oOKqq64qyjO5rzKzH5Vi7QujbF2DYPoS/YWibF0CHICpeae82v/wj720BlCU1ze+8Y1FqQaWyBbKM4WeoeDqq68uvOeaaICOPTMUeJ87+hHoU3GX8eewww4roNv6ASLx9eGHH174jpFGO+aYY8pcPPWpT+2M9IOC4P33378o/UCVdcAoroApmgGrL3/5ywvfbLfddnN9ZBy1Ht72trc1DPEAtL+33HLLomOgpXuA/tpwZe8APKztaGgeYInsib2EU0Y/rKm4xj3ut6bNMwNWP20QEAysMnKRacCZcV933XVlLHe84x0LGEIr81wXH2M8QEufP+lJTyp/M6q8+tWvLjIGT+2+++6FJ2vv8rbbblsMDuGIsGbRlIGF7EMHhkn8jVeBva9//evlHgZKDd9feeWVxQDUj+e6axBsTOQ5/n7DG95QjOdofvTRRxcZTE762zqIRl8ll9xrf8B3QKy1gF5wiDGhG+B6wQUXFJ6zFwDM6BBjtdcwZL773e8un7kO/f02B/YCe4v1z8AaDa0ZL2reRmMFNz0fXdFZ/x09aC1r1guwrOEX68a6G8QwsxDfpid4FXWGDYJZXAhzC15TrdGCDGtHP8JlkGsSBPemVoBg88EoYROu2y677FIESftoKQsYSLbZEyIsjqxWgIny6hRNn7/oRS8qljWNsHDs1k9/+tNinSTcH/awhw3N8DEIf0zatQmCm2J5trHxFuEtlerrqIGVDIJt4JSd733ve2WTra3J4+Dl5YBgm655ZtG2H1A6eBsoS+RPLxAMTDjrlVziMaIwUxwoesCDaBYAgjIS4PArX/lKMabUkQP4Cu3IswDaT3ziExtgmbJJfqExb6a+1G0+EEymmRMACPjRRMnwSgPBPDUUS40XmqL+ox/9aF6lej4QDPhQ/njTeCsorr3auEAwOQ+QRGFN4AOYM157v77bA3ieIhppVLzbNQhmDDE+ABMYMD77H+X1oosuKoDGWPEkHo0GMAOj2vnnn1942bPwc5y5TQ6Keoi2GAjmCWNUohwzPqgO7m9rjLLPy6nZ84FF6wZPdtEGBcEMnfQO1WgjGkM/zQ85gIf0mf4W6xhQMD7HdxofGjLkWw/HHntsGYbnAf5AYLSFQDDjDCOWda8BOzybQI0IG/pKNLqOvactD+aj3yAgmO4EXAO9xsdDa/0YB/DDgMbRgCbAXjRyCognB6x39GMIAeQY2DTGEWCQoS7aQiDYffYYwBsd8BEgzmiFx0877bTyGDL0CU94QuHjfqL6ugbBDKIiSs0hmugPowjaPfKRjyx9BFIDtPvfWmSgc/KFZi8xn/RTfOfIPydzuMe6xKcMRpp1KVKD0VYDkH/84x/P0RndGewZKdDf2reuzVG9jhcCwaKK/JjT4EfRDhqdWwRSNH1Fg65OvkkQvIqywwbBtcCgZLD4YZBh5dMkCO4togMEE742z7ZXjXV5PuHG6sa6ZbNngbV5UU55cQhxFkWCkiCiABKcrHGR/2fDImCH5f2fb1Oahs8TBDcFyATQwT82qToscCWDYICH5xNw48l40IMeVKzY/Vjih8H/SwXB+kKpIhcAWgChPmZJeHIvEEzJocwZNyXEfYxslGEKCUWG3KHIoAng4H+0Cs+td5NVABijAjkEpFJy7UVoDPy6hhJVh1G6dz4QTEGlRLuHN47ywmPt7zYI9hz98Z52iF3ME8AsvJPCT8HjOec5pfj5nBJk3PMd2TUuEBz9J+9F/jBwoKG1HHsAhZ43hoI4ytY1CNZ3oZd4iZJs7hl1zA/+pteQZ3hV5EE0Yfmh6FKYeRr98OwJg9X8jd+jLQaC8b/xAXEMDow6d73rXQtIrEEwfuI5ZISo18Ry5mFQECy0W18ZCvC10GPrTl81njJ957kLEAy4UfoZRzU6DCBMBkWaAwAMwDBERVsIBLsGjwJGZCpPuzWrtUEwnuU1JDP6aYOAYM+zXu17xgt8mTORAcYIUKGJsfMCRqsNZfrHW8lbCBSGgUl/HdUUoc/uXQgEM9BFGDFZ61oy0jNrEOw5DItkcDvcuhd9ugbBZAl9yZrzoy+MjiIE/A1fmEuG1WiMK/RauAMdGYPosBGVyNACuKK79cgAYHz2InrIN7/5zTkQ7Pl0X8DUc+051jJj6Gc+85nySmvNPNTreCEQ7B7OIzhMdKZ1GoC9DYLNE+MiD3YXLUHwKiqOCgRjVpMrZKzOleliMutnJAjuTdEAwQAFAdJWpIRvsNDylhAUcmN4hrUaBLOWUeJ4QDSWS4IHaGEZEwrIykqoR35eguD5uXylg2DAA5+Eh8JmQrkELigHDC8rGQTbVCPMl1Js3VFAu8oLGlT+LhUEm2dNiB2FnQyKfDifzweCKc82fuCPPKKEUPwoKICHxjJOMQBCKZa8wOEVaY+PsgcgW3eUj0jhoHyEt5hiXZ+dCARTrOIzniRjALb1LzygrqGMAUBtEGz8wCGANF9OXS9PMMWPQks23/ve9y5Awft7tXGCYOMT1qd/W2yxRVESgeAo/ON/xtIaGA7Ke0u5vmsQHOMxz+YlcnPJLKGtQDBlGQ/UgL+eW/niPFTWAuArz1+jPNdgbj4QbK/Gr+RmRDVQtHmS/QYu2yCY55rCzsPYRRsEBEeOLb2Pl9PatQ5E/ACBjFcAH2OC8OMAwWgqBzTydOkw1jk5gJ6atUrn8BNtPhBsTgAze413hGGMbKG/tEEwnVXKBF2mnzYICA55iGfIFWMzJkYCINi8ogkjGMNAtAi/RTMgGIijXwGs5l/DU3gzjAc+s2+gZR0OzSjFY4yPIl/cvss4aX7xcQ2CzWOA4JC9C9GlaxAceyHeN5d4XBoMvubJxlsibcLLH31DG8CezGZoFMlBltpD0RE4Nsd0WzThJGKksT4ZYcIT7HkMYN7L246f6bw8wfjQswYBwVIIAXCGqbjXfDKWkZ1tEIyedPGDDz64H3Zc9JoEwatINAoQLKSABxKj1Qnji87SEi5IENybaHVOMMsYg4RNR2NhEuYiN4ZgtUGYJ8UBtBoE4xebO0VSI1AoaEC1DYpw9xy/Iy8iQfD8jLzSQTDBzoMRYWiAiE2Hx4wyYEOzGftbLs4o2yTkBFOMGJooKTygIjaEg426wFDQfakgmNIvHJOCxRMMnJAbkSYzHwimEFDqAEfKjNQMYYSUVooNxYxCQkbhG7JHKB9FqW6UExZ+z3Md5ZbSQ6G53e1uV3K6FC9hAKRUBbD1DF4EShbFiVzjASBDPYdCLxomwAWZ57lAMOUmCiDJO+Z1XoiHKbhCs+smV43nn7fDu42hBkr1teMEwTwpaIiemnUMEDJgmWPzw+PZ9rIPez13DYLxsHlniMC/4akHzCitDMR4yzXh4TVGcxgpSAAKXQjIkf9n3jW5mUBHNPMt4opiHKHNIrKklAFy5CZ+ooyHtxfAZjSS4yl6QrNnu64rD5JnDgKC6Rf4wlgjj1oUBnAH+AMn1hwgQd5FlAueB5R9BiwYOyAn31kIqaZWBH2kBmXk5AknnFBqDsT4rWGgA60ZBKxhzTyiHxp7LvkR/CvFAT0jPHYxXh0EBJOH+ERfyA56gLVhrswdEIRGgFhtTOHl5fnFZ/jJOmMUtP4iJNw1DIy1s8n/DHZRsBQP4Q8ReuQnnoxxohVjofQLfB3OEAAT3+pXP46srkGw9ab/AL09UP+BeEYEewFaALC1kZAeIaeeXDZ+9BYRYR8zFnuRdSi1xh5k35BzywAi9xz/hcGZA7LQzD8AACAASURBVM/8WMv2HeH9ZDoa4kv3M+IzBkbUB54RwYOGALPG40weMsLif+s49gn6jj7pbxsEu94eFA6oxfhxse8TBK+i0LBBMGYSf29CMaFG4PQTTrHYJPb6PkFwb6rxlkQeza9//euy+GwcFBVCweKrLYf1U4R/2IBC8LnXfRRTIVmEDgumRSrMxKKvLbMs06xllKRsq1NgpYNg1KD4AbpReM2GxrhCAQR4bCyMODxMo2yTAIIphoARZZv3JHLkRkmH+l1LBcGewftLWafkUjBZ7qPVINg1ZIaQR2GLlDLheULTKBNkD8AQlTkp0eSb5wK0ci2jmA1gS7Hl8WWMBQZ4QyhH+A7QoAQKOacMMTLUBUz0j8KKHynJFHfPlP7BEMGLBHwKPSQfea0AVYoQzydDo+t4LHgVIt+r1/x5PiUsvETGKXwccACqKE/eEdWo288YFwgG8NHDnm7u9J9yal+hsJsT9Eb72rgwCh7uGgQDBviY159CbU/DP3gEwKJAW6fmGggQFomPGS7sk/ZHyjolOHQhvANcA3sU4rqpHI23AWq6FFoCMJq1QN8BiHhQGXAo9qIlKO+MQeZDjrz3WWP/n737ALKvKvIHfv0LK1KygCQlrCgSCiSD5KCuUGIJSE7CguSclFCulASRKBksJWoVlhFwyckA5SoKCkguQEAJ6ops1cIa1n99zu/X45k37828N3Pve29mTldN/eY37757z+3Tp7u/3X361EW9gGDPtAZVaCjtJ8MCRTJwfAn9Yaxz8iHYZ5+vjB058q81IcNtreG3d3Eve2mVrQZwjXfDX2sGGAbsvD+e4KGKBPNkywIgA9gFaKJjrXN/dx0dAsx0G3DsBQTzhQX3BIgAfERmzDEQiyd4bG0BeUAanUceBDNUD3h3mUsJC/bRu5BP7yBol5NnAFbui6/kRpBBxpmeEiCgk90L//Baeb8gn/vRrWQMyOzWj6sbBNN/7B++8CetK2MW0AAO6VhA0/iitFlggYxZC95NgME64W+EDrdGZNHJpaCK7+OXjKtghMCrf+l2ySPyyA7Q137wnU5gQ8gaecqrffBTIIPdYKvMmyCq6+lFOsq9kfkXsEAwE/nwfTJpzD6ra19/AcFzV0jTILgupdvtfQoI7pZT5bph4EABwcMwC+3HMAwgeNi4MxUQ7F04JxyE1gZ8re9pn5+Ie16KNmy8GLbxDAoEDxsf8vHUDYLj3oAIoD9bqVcQPBv41gsIDn4oh5YJjqq8mSRPdYPg4I1gOPkbj2IbiQBqofYcKCC4gOCyNgoHBs6BAoIHPgUdB1BA8FjWTBUEx3mI42VXZCpk/2Xaus3CDK8U9W9kBQSP5XVTIFiZeutxXv2b6cE/abIgeCbzbTIgWEZYlrWb8uLBz3pvI2gKBKsgmGhvu73NbE3eIbu30c/8qwsILiB45kt5ecOh50ABwcM7RQUE1w+Ch3e2p//ICgjuHwie/tIytTeYLAie2lOH+9uTAcHD/UZTG11TIHhqoyrfDg4UEFxAcFkNhQMD50ABwQOfgo4DKCC4gODhlc6xIysguIDgfslrAcFjOV1A8GieFBDcr9U4uecUEDxDQbAOorp1xvlzkxOP8q3Cgf5wQDMQ5T2a6QySNILQbMIRAIXmcEADIl3PoxN64UuVGt45BsfxJYWGiwOaIWniEueFDtfoBjMaR/BoLqO5VKH6OKDpWTQHqu+u0/tOQLCmXZpuFZpz6ohmbJo9FRo+DmgSpllkfhxgv0f5pr/HSfL9fnL2vGiMpXveTNiXoFuxtvLFSRugUJVHd80BHQ2dBxnHWXT9xZov1LlQt1HnAEZ32pofMe1uZ240Lhl0gGKYGKdbtWZVcd7kMI1tto/FPjhAuNvurbOBX7rr6kj9wQ9+cDa8bt/eUadaIEeH20JV2tfrhA3dg3XrLlSl02AcUxVHAxWeDA8H9NrQHdvxUQUEP/NMOsIIeGz6DN+mRYAi0tad4dMiv1DhwDBzgCJyxIGyIdmbQYJPmeCPfexj6fw9DSUKVSlKqlzdv0MQrxyKKXHkiyNdnI1YeDIUU5IGwfYph1am6uiVMjfVyBFWnDzHqRSe1COvZM1RR44Uk00qfJ0ja463cgxlp6Mm6+H+9LmLwLpj0+ilQfo204dj/RuphKfjx6677roCgssRSf0TvPKkwoFWDgBZAOigs41KslVPlHLof8xQ2RM8dr1OtTt00QDNcYCzKYhVyqH/wWNHpCiHLkHxeuVOOfQf/vCHSglwoTkcKHuCR0tC2RM83Cuj7AmeOz8FBA+3oJbRzWwOlMZYwzu/BQQXEDy80jl2ZKUx1lieNHVE0nSSiybGWhpjjeVqAcEFBDex1pq6ZwHBBQQ3JVvlvoUDXXOggOCuWdX3CwsI7j8IjrK5cj5w7+JeQHD/QPDf/va36s1vfnPvkzRDvjFZEDyT+TYZEDyT9V1TmWB7jeedd94ZspIG9xoFBPcRBL/00kuVxltvvPFGdcYZZ1SLL754YzP/i1/8ItW5l+7Qo1l8ySWXVAcffPDIHx955JHqxBNPTIeJ20O20UYbdZyTu+++u9pkk01GGqfZA3TMMcekJixf+MIXqpVWWik1QbC/VbfjffbZJ+03CLL5/q1vfWtpotGGwwUEV6msLsrB99hjj2qHHXYYxSnl4pdeemnfO7wOGgTbc6c5VzT1+d3vfpfWG7Bz7rnnDqQLaZPl0OzEZz/72bRH3vstscQSFaf5tttuS008tt1221Tq+/Wvfz39BGnU9cUvfrFaeOGFq7vuuit1aN10003TPtBW8plr6Lztt98+2aTDDz+8euWVV9Kl9BzdltPee+9d0Z90GLrpppuqRRZZJDWze+2116pzzjmncipBLrt05vnnnz9ym1ad2E7Z7rfffpU5DrKXVXfybmnQILjVTtxzzz3V2WefPTL8M888s+8N1ZrIBLOdhx56aNrvaA+oxlv2P3o/tu7YY49N9tTe2aBXX301ySg5Ofnkk6vVVlstfXTfffdVp512WrX55ptX++67b/W2t71t5Dt6M2hUSL6iXwu5X2eddVLXXfqBX6VJFZ1J/lDr+th///2rLbfcslbQ3isI9i7WlZ4t1vaaa66Z1vb3vve96qqrrho1/lzeYz1vtdVW1V577ZV4bc1Zx3ip+3fwMr5nHehIbC0HnXLKKeladMMNN1RXXHFFteSSSyb+LbbYYunv9EsQ/vqsl6ZBvYJg+o4PJuCngRS/GJ/0tLn88surnXfeOf3kAUGfX3311YlvBxxwQNqTjfhioe+8W2tzrt133z353ksvvXS6/rHHHkt+8vHHH59k98orr6xuueWWarPNNksyh5566qkky0EbbLBBeka3ALQJEOy9vQd5P/LII9PQHn744cq2B3uxzzvvvFH8euGFF9Jazcn3V1xxxeqhhx5KMsF+8C/od9vBTj/99Gr11VdPn7U2C7be77333nQ7fi97jC6++OLq9ttvTzKqOVpOjz/+ePX6669Xa6yxxsifremwM/psfPvb3072nL5iWxBby9YgPPes5ZZbbtS9p/KfAoLncq/pcmgLneNC8XF2TfIdd9zRWBOuAoLbLwvOJeOLHPlCyfq/RU4BMwCcwla6/vrrk8PI4Ip86wi54YYbJmXD6WR4OT8WMqPEcLg/EKyBjiM7GDB71Ri+QqM5UEBwlfbrbbzxxslIMMwCKjkQ+dOf/lRx5PCqnzRIEMywWzfWaOzx9K91qjMz5+U73/lO3zv6NwWCdUhn4NmJBRZYIIELziCHldPH6QUYOIocFDKBOMSCbxwWzj/nnGPpKCeOLKckyH1efvnl5FhyKBwJRpd5jv3wgnuc7He+852jxMz/n3zyyRGA4j6Ch75jjji/msp5pms5XbHX3zPozSOOOKLiiLbTsfGwQw45JM0rcIB8jw5F1kQ4Q53WwCBBcKudMEZdqvFkwQUXTEMW1IhAQr/Wcd0gWANRwQrzzPbxZYBYa9FnHEvOuU7BuRwJgmgmt/7666egi2Mczek222yTbDG5n2+++ZLcB1kTbCZg7TMkuE8H0JUACR4DJ4LPgLJ7s8HWyFprrZVkSfD7wAMPHAXypsr/XkEwubZerAs+IdAhwGfcAVAdY5UD2ueffz6tX+sNaFhqqaWSXdhiiy3SmvvoRz+aAoSCEnRGEB8QyNtll11G/uZ6fglA4jlACx1i7gSaAE3z41n0AKBjvQrAdguEewHBgm/WAn6YWzoD6BQ4smYAMXrsuOOOS3MZdOGFF1bPPfdcmme8ERxcfvnlk07zXt4JUOSf5STIQndHV/+f/exnCXh5jmDdr3/963RPQFjTM/LLBpkbsimgI1ghc63bcx7g6SRLdYNgwVBNKsmeAICj+qwPa8gcApquyff/W0NxRJMAwkUXXZTeCTi2lgTp3O/FF19Ma9c84L9359eSu3jXCEoJDJARvrOgAr4KRNELPrPe6P0gvOY/f/jDHx75G9kyZj6z4Bl75Mgx8xEBXnrE/TxX53+JAv6R966DCgiey8WmQXBMFoVvkkXPCVge8axjQnMFWDLBYzkaINji9TtFkBNjIpLVWuIVxt3C9hnjwIiJdJtThokBOeywwyoKGsmqcHgoegt5lVVWScZfBLvQaA4UEFwlQ88gASAUPmdex/qg2QiCOXucbEYyOoczlpxJxHgLHFhX/aSmQDAwy5kDekXmReoR8AjgLrrooskh5fxzFlGrLuPQAgayqZxiQbqcOHYcCLpLUE6WSfbNsU94KdpOb7U6eJ1AMKdZ5oTjFfaM4y4jwZGZf/75RypiOEHvete7kkPWyfYZO6cruu3GOOhlmQ9/9w4c3nY0SBDcaic4y+yF4IF1ja+DOH2ibhBsPQJTbKDAjDnyroIhgC1g44jGX/3qV6MqWvIgNP/EdWSBrITDTM5zuzwRCOYgux5/gV1ARiAJCJb5BY6RdSNrDRgGmJ6qzugVBFvPt956awJnAdAE+E444YS07qwbcs2/CLkHylRhADp47FrvRg/iJ6IvvN9uu+028krjgeAbb7wxARZBAX4LX0VgzTPNYWTe3Azow68cTI/Ht15AsISQDLT3padkFRGZEjChIyLgko/poIMOSn4WAEbO8ILt9F5R6bfTTjul4w7zbPB4INj32GABN3yQVV522WVTplSwAtBG5JFdBg676YBdNwiWrOFLmntzbKyy3vRqrCH8MeZWojvpUTaGDRAw4JvyN+glQU38NOfk0voW2FS5EPIoYy4Yf+qppybdRqe5r4oD9zZn9DwQDkgHjQeCr7322iTbu+66a3qOIK2xhO3Lq4lgNQHfupr8FRA8d4b6BYJNnqipxR7lFlNVxO2+XzLB7bkaRrgToBBdbleuZoGKnslSWPgMuOs46LLCFj8lLTrISImaiiYq0/FdPyKJHMYCgsfOTQHBVYo8MwZPPPFEisRy4PIypNkIghlnDjdHBAj2f2VcnHqk8sJa22677ZpQox3v2RQI5kwAFxxlTqrSUQ4Lh1lps6wWfsjccq6QYCpdEyV7HCGOPwcOyAUogecg4JiDIzPpXpw79sLfBfT867sckpw6gWAZKY6TsYrUK4PjyAMlrSDY/ThJsjidzhGVKfDd2Cco0CFzw9HnsNC3nFWZw3Y0SBDcaicEvGU7VBHpPG/M3iMcvH4Jbd0gmJwAu+QSIPAvoCSDyWEG6IBR7yowHCTAwQ6iH/zgB0lugNI999wzyTbCK+s6aCIQLHjD2ZbVAurYXA49UJSDYABZ8AhwzTOmU5mDXkGwTJssK/0B6MniArSxbQ14AE7ITZT/Am7XXHPNCODiwwAA1m1UCuGBrQrAS9B4IBiQMWd33nln0ivWKz2DWkEwICTAZY66oV5AMH0HuMra0h10e5RgW+NkCk+ATesniK6LLQbGZ/z0D9mLiiHjFRCMKhLfHQ8Eu48AjH/xhCyRE3zMQbD7kGOBiVVXXXVCltQNggU7yAO5Adz5nMqXv//97ye9KOkiYGJttRKcA/jyt/ixeE2nWnt4h2fWM3kERs0JXyQvYean8HXNCV1Mpl0vqAroImvNPOTreDwQLHtt/ugElRLseZQ8CwDnINgzBUC8ax1UQPBcLvYLBIeAAFsmUeS9CSoguD1XAwRTqJSYspKclJQwDiL6lAAlEft6Ga0cBItQ+n8oRb8zvqJwa6+9dopmMVSR0VDiVUBw+3mZ7SCY88wxYfTJpkyXUjUOYuw9mo0gmLQog8xBsOCTEjnEyMo0jlde24R+bQoEx1iBU84FJ46DL9ouYg+cyhYBvTJo4djL5saePrxQ4ofcR8Re8BWRMw5G7KUGVADiHFACOEoPOS14GwQEyz5HWSRn3riAYLILuHJYlbcp2TY3rSCYLuRYAiwy3e2I0yOzF+XQnkevemdlktaEz4CwdjRIEGw8uZ1o54QqO8/7UjQhn633rBsEx/3JJHnjy5gfFW45CFYeLpMZBLQJyiAOr0wxZ50t7hUEs9Wcc04/2YueCQCCEmMZsxwEC6CRa4Cx29LeieamVxAc9wMQZD75gcALIIPsmbbGewXB1ht7kYNgPBBQzSsmAFSAE+hgawAK1yhhFXyzxltBsGCcYJrgRDfUCwiO+91///1JJwDB9MrXvva1VO3TDQjmZ8n60mlhJ9wXoKP78mwtf9u+3wD8dBzd6Ll4oTKBnTUnQJkgDmyQg2A6jI9H9iNzPR5f6gbB8Syybxzewfi8g4CR8UbgonVcggfGHXuiAU3vKlCgCgmYFUC1PsgBX0TA1ZrptIXDPAkeqAYKEMzOKFPvBgSb6+A9Xinr9170ieqEVhDsGva3riRiAcFzpaRpEMxwK4mK8+RE7QAsSroJKiC4PVfzcizONAPNgCLOn5IOUTXOHBAsExdle7lzw3kURWW8kfsqRRK9pWD9C2BzIikTVEBwZ0mf7SBYxJVx4sCRHUbEuZ4AD2eO7JBJ0enZtCeYxOQg2P8BYM6N9alEj/OXZzqb0Ket92wKBIedsL2CI0LH0CdK3TgqHBHAllMqQk9u6B72JAig5WSL9AMZHET/IkBAgE40373oPHrLPiulmrJQrll33XXTM/KSZZlhAcIofzMHAoQyukCWkjz6kpPIcaEvgWDvoaQOyVoDzbE/rd1c5dnC+JyTZJyALwDM8cqbTeX3GSYQLKuON8oyrWuOPmAYwdN+yKpn1A2CZe9WXnnllKGJgAqZAmCU1pMJ2UPrkrwFAcF0GV6YQ3wA/GJPrLkFXvJGaOTRnl8gTRMn8kUH+K7ADwAH2JB3epPsk1Pyl4NgwAAAz/cbT5X/vYBg+ls5v6oxMu4dAFKlyN7ZuwnyWN95EyPvLeBu/ydeeV8VQ3gCdNCDwHSUycY7Kec1T/jkGiDH3OC1wAXAE3uPjcMaA5hzEIyf/matx9aMiXjWCwgG3o2LraNrnLvML6avZPQFBPwNMIqmkZ5PF5E98x8BPnqOLpQhRfgkmJwTnWHrTCSfIiDgu+SGXhdwI2PsinfB8xwEK+EWsBEQ7KY5Vt0g2DzL5tLR+CewAzAKGERTMTxo3ernncx58AdfgHyViWTPPPAv/B8/AGXzT1/jcWyr0d8GTyI5JIAjCEYG8cz8GZfv5GsNv8xlNK4T6PE9PJf9pSNjrzZg7HkqJXIQ7B0EEekP4LUOKiB4LhebBsEiNMrECBZgROFQ0gHA6pjM/B4FBLfnaF5GIyhhISsfZHw52xzITiUulC6DwtHjPCrzYnijkYwFr0xDKSNFIsIdmSqjsdnfsxivQqM5MNtBMG6QJ4ZChFd0m5Gz94YxZ6Rk+wRtut2bVZeMDbIxlnfg6AFPUeYmAgxMcICsQ9UW/T5KqCkQHHaC0+r9OGSCdbbQcOD1LMAPz5fhkHXjMOaly/QPYAJ8+Bww4WByLDiSHHdOLeeJsxKdZYHMcO44NK3l0O7FETcGDgzecw7x3v1kcwAjzreMIEefsw7Q2ItJVwLWxjHeXjrVMrIPkQkGXjhXyorthQMI6O7oTtoq54MGwbmdYBvMn/HKgAM0xt3kyRDt1n3dIFiVwo477pgqAMy1+bQuyRMgYp40XxIEAWJVNMisceBllQRbzCv7yNGm0zjA1rlKBftBcyLzrgHIojmboEsAfP4OQEcvyGTFnsWQSWOQGSWv4WjXoR97AcGeZ0uVdzReZH1YS/Q6YGZ9CJJY+/SuNSkbx28ARvAXkAWm8RJgls2TAVW9lu83tz5l5/Ca3ynjxwexfvm7nH9zSEatGbwBPATcrDV/lwVWus+3ae0Q3Il/vYBgWXwBMoEyQTnjxyPjwxOAVXCFDhEY1P0YiBNgoQ/JHn0nsGDseAN0+qFHWrOFsrx0Gxnxfnw09/Z8oI3exDP2l16jd1wjSOG96GXr13oyH91Q3SCYDCiHNy4yQ0a8j3Jkv1srgk22lcjyS9j4HeZQ9ROdnI1dMNJa4XNYH+SDbsI7QQiyyQ9RuUJ3WdeCsTK15MI8CXjxe8kg+xB7gwUsyVIQeWRf/Kg4YNNgILqersDPAMjkkY0THAGC6U5rGPj2PevaZ3VQAcF9AsExWQQlys2aPF+vgOD2y4MBjVIYV1CEjJJ/OWrjOdP2sTEm+TUUh2ig7wb5G+VOQefXejbj1qkMsI4FPV3vUUDwHFlkdABhBj2cNWV+ZJSjCQz3mwYNggNwyUAGcQAYRMGmbqLxdfOsKRAc44xtGoJ04dhyFPBCEC1sh+i90sacN+HccH7opXAggNOQKQCEgwu0hjMBgAsEOpqiE1DwPff1fI5T7hjHZ8Yig4MAVsCE8xgZvYmcaQ6Oa4OsC46T95QRkmmwJjhj7WzooEFwOzth7oCZQfWDqBsEx9wASxxyznHMa5Rjkg/ABghQ4RAZYfpNhty+xWhQxUEH6ACdTgGSkC/BEU5/NOrJ9Sb76ogVRO6i4oCckKFuuvn2oit6BcHuDZjIngmWRDDEOhbMItuxrSH3VciOz4GKvNs2WVcNIqDVqdmXNW09uXccO2Mc/FCACk9yPSpbF8F99ibfU9sNb3oBwXE/wQDPlKGONQ2wWu9AfvCJb+Vd+VWAKlnLdRhZMH46s9NaC1661r3yLR8+iy7b7ovYGes3mr8JtpDrbmWpbhBsTPQfebY317wia4o8yNhH1lbWGkCVATbfdHdcH7wnP2SNzg/5YAusR/eJ660n7+2akB22I/d9BcfoP/uKO4FUMifwpZQ8OuYbi4AaWUVsXOgTY1NFgdgy3+uW993IawHBc7nUdCa4m8mo85oCguvkZrlX0xwoILhpDk/+/oMGwZMfeXPfbBoENzfymX/nQYPgYeRwUyB4GN+1n2OaDAju5/gG8azJgOBBjLNfz2wCBHc7dtupANYIDHX7vdl0XQHBBQTPJnkv7zqkHCggeEgnpqpSWZ6SMfvLCs3hQAHBwysJBQSPnZsCgpuR1wKCx/K1gODRPBkkCG5G6mfWXQsILiB4Zkl0eZtpyYECgod32goIHjs3BQQPr7wWEFxAcL+ks4DgAoInkrUCgifi0GA/LyC4gODBSmB5euFAVaWOx/a55B0gB8EYe4J0KtQhvNAcDhQQXEDwdFoLQLAGQ9FIbTqNvamxaihkj579u4Xq44D9p/Zdxqkf9d15+t6pZIJHz10BwcMtywUEt4BgZX9NNqzqhzjYNG6Psy6MWp0XKhwYZg6QV0dDaHyji2Gcq9zvMRuHhmYcRl0iozttv8cxbM9zJIIfXYQHNTfDxhMdSXXH1Pyn8GR4Zsca1jBHEyFdcMvcVKmJjC7MOoQ7oaLwpB55xde84Vnha5UaVrETTtHodwf0ema1/rvYk6trsmO8iozUz9+p3JG86mav43ddZ4dPZjxv+vsQSEY0xtJ2f7qDYJOgC5xW6brtFSocGHYOiKgDoIN2XHVF1EnRMQI6GBaqUoBC2V/JIv1DGhzRoUtrp+PUitwMjgO6pOrw6qiTQnM4oPsuEBznNRe+1MMBna5VMAmGFZoTcHGEkfNmCwieIxF8Csc9OcpvCKBOEdOMA+TV8X78zwKCn3kmtfXWlr2ps3v7KX2lO3Q/uV2eNVUOlD3BU+Vgc98v5dBjeVv2BDcnb1O9c9kTPJaDpTHWVKWq/ffLnuCxfCnl0KN5Usqhm1l7dd21lEPP5WQ5IqkukSr3KRzonQMFBPfOs359o4DgAoL7JWt1PKeA4AKC65Cjbu5RQHABwRPJSQHBE3FosJ8XEFxA8GAlsDy9cGBuYyxNqfbdd9+B8qM0xhrL/gKCCwge6KLs8eEFBBcQ3KPITPryAoILCJ5IeAoInohDg/28gOABgGD7Ah5++OFG95OVcuj2C+vRRx9NZe85/ed//mcqgV9zzTXHXY3/9V//VS200EKp+UOQebQnaP311x/522uvvVbh/2qrrZauD/rrX/+ayu0XWWSRwa76IXx6yQTPmRRyA4ivssoq1dvf/vZRM/W///u/qRELueonDQMIfumll1IjqiB7Pu393GSTTUatx37xpely6G9/+9vpVTQyCn3zP//zP6nPA/212GKLVc8++2z129/+duSV7W+iw+abb760v/7nP/95tfTSS1fvete7xrDlxRdfrIBFexntFaWb3Ns+ePbJ31ZfffVR39McbYMNNqjmnXfe9HfVU55lbzR68sknU1Oq973vfSN677nnnqv8eAeN5ny28MILjztN9HHsxzeWf/qnf6rWXXfdrqd2kCDYGtVZ/j3veU/ifdBjjz1Wvfrqq6PsRNcvVMOFTZVD77bbbtXxxx8/SieRi+eff77aeOON265N+2jJ7YYbbljNM8886e068c1n5EaTTzIQ1z/99NOp2/Wiiy6avk8fsM/WRthXfVFeeOGFtE+VPK299trVW9/61hq4+Y9bTAYEkwV9J77+9a+P3Mi+UXKz0korpbXdSnyMBx54IL1fvLNr8MFaXmeddcZs48MPfI316Xo6AR8QX+Shhx5K65G9CbLOkb5hwgAAIABJREFUg8/8l5VXXrknnk2mHBovzM3WW2+d5gvRYeY99F3rILyfBnj0FFkI+sEPfpB4kftk8dl9991XrbjiiiPX//73v092JHzCV155JekxOjPWbzxHryBy9C//8i/pp1tqAgSTB7reXMX8WicaPLGTK6ywwqjhGQPfInjrPcxr+Bjus8ACC4z4wOSRrJDF9773vWNe9Ze//GXlngivQ6Z+85vfJLtEzy+44IKjvofXnp/7v+4TdkaXdf65Z5qjIGub7kTk8v3vf3+3rO/qugKC57Kpn+XQxx57bPXHP/6xuvzyy7uapMlcVEBwe64dd9xx1RlnnJE+vP3226szzzwzHctDwd1www3VXnvtlY7IaSULkYJmwCxECtr/d9xxx6S8jzrqqOqJJ56o7r777uRMWqgMjIYIlIHvbb755tWNN944ojAmM68z9TsFBFfVCSecUC2xxBLVsssum4wZQ0IegxgCXSbxqp80SBAMVG277bbpvePIG78Db4w958n4+t3MsCkQDIxqDuedORff/e53q5tvvjnpFCcX0E2cjE033bSaf/75k14Jct15552X5MPvu+66a3XVVVcl/ZY3RNIpmLNBR33/+99PzROXW2656itf+coImFlqqaXGAE/OFgcRQEa6nZqDLbfcstpvv/2Scw4ke7ZAjQ6xGjLRneEksXknnXRScto70Sc+8YlRDR2B7o9+9KNdi/ygQDBnWkM9gRkBC6Dm/PPPT/bGO2gUxE4IZLUGuLp+uUleWDcIBgzMOWfZ3JDbQw89tLrlllsScKG7Tj755OrOO+8c5fTSceQIiCBv3/nOd9J399577ySv7CMgeMwxx4y8qWdw+K2BALFA5DbbbJP+rhuxv3Pq/+M//iOBa/fToImshhN/zjnnVH7qdKJ7BcHf+ta3KkDLGhEYokesYetcI7evfe1r1dlnn129+93vHnl/crXnnnsmHXj11Ven92YXVE1pzLfkkktWX/ziFxOv6YQgoJms7bLLLiN/A1DxCFjZY489qiOOOCLx31yYOyTYQF4QH8bf+TWCUd1QLyBY52QgaJ999kn3p7voJGD1m9/8ZuIJ/X7aaadVyy+//Mjj6RUAmB6xxvCNziI3a621VgJodNVZZ501asjkxTMCJHoOG0Iu6MXvfe97lcAO/cj2+PuDDz6Y+LH//vune5k7eq7bI9jqBsHGc8EFF6T5dvqL9eed6Xlzjafml64JElh3fRB5IzPWsYaX5As/BRO22GKLCkZxP/chH+QkyP3JngAtosvYI8EH/MObE088Ma3tPLiC13CP+wftvvvuya7BXwcddFBqqOb+7BZdgI488sjkOyM+kHVNx7QLFnUjn63XFBA8lyP9AsHXXXddOsNQ1IbD0hQVENyes9qhM874b8F9+ctfHnUhQ0PBtDZHoxQ4MjrJcbgpIg6Po3REW30masoR0GEcMXYUCYXzqU99Khmo7bbbroDgNlNTQHCVDA+ZEmRhtARsLrnkkhFuidwzxLMJBJ9yyikJoHGEOR0i2BzpCGRZVxyo1uqOpvRq3LcpEKyKhLPHmYgqEg7xYYcdlo5y4PDKAnAYOG1Bp59+egIRAiiu5eDIgtFjABkeBtF5Mh2OI+MYicbTS0Dbeuutl7pktuvs2gqCOeRA8Ac+8IFqo402Sk5QOOGXXXZZ0q8cTH8TMESywhx3DqYscjviyHI+W8n4vLNsAgdMsKAdDQoEX3PNNRWHKnjHOeXIy7CYV3wFggAz1/WT6gbBZOb6669PTjSgwX8CNg8++OC0NgV+ZfTpMXIWxNnGJ3TxxRcnECMr7D5xRrx1zgkOChAsMxUyAwQLFAmGkXfyAkQBHHQoG89ZFqDhlCMOtHt/4xvf6BrQTTRHvYJgIMzaBnQDvFur1jMwAbjSLfR+ZO34GNY9gOMYQYDkwgsvrASLvAsSWAImreMgPiCA3Q4EA8KCU9HxH+Agk3ybrbbaqrrppptG7iPT72+ATjfUCwiW/RM8w0fvT7+TI+9v3ILCwBNdc9FFF408XgAGD8mZTv1kAzDDuwDwrsHbCNr5MjDlmgDBAiuqbuhP15MZvEaOSqRz8enSSy9N3Z0R/SuQQt91A8TqBsFkH+iNo32sHTzAix122CGNkd0kX+3IaQ+ALV6Yfz4vWePD+jsZw2s/1qZ1KRAS8sjfDV6xL/jFnyYf5FEwQkIIn81REF4Dwbk+CBAsqOG+EViwRiJwS94FOoLYAYCd3a+DCgiey8V+gGAL3MISoRHZKiC4DhHu7R4BggEKiz8vSXInhpURz8sx4gnAsewGQyGYQfFa9Er2KKYoDWOEESPE6EVbfM4Ch3G8LEhvbzNzri4guEqRT5UFHBxR+tZAzGwEwSTcOpORYCAZW+srHB0ONZARUel+rYimQLDxAwAyWeQAkBQU8b6cAQBLdJ5eEWRDnCBOXGQ9OAcyI5xi33X8QytxMK05zxG08yx8vv/++xOvlcfJaObUCQQDGp5hfjhf/h+lcK0g2P04pcBwp2wox4gjba7ZTM4aZ1PGOpzzHEy1vtugQHDrOMyZoCgnMWyAsn7AGHDrJ9UNgs1LBJFlxsy5+RLgECDmUCtH5sziQdDRRx+dAscIiADS/AB0HHvk9zzAMxEIFsjxHQCGDY6jTtjkHAQbH9BMVnNgNJV56BUEKwkFwJTq4g1fwjj9ICBB0Muajm0Q5J+eixJcPgzwQgfhJ5IZAxzz4MF4INh3OP+ycv6VfY/ntYJgegYIsua6oV5AsPupKKGzgMyoyhPE8I6CHnji3QVUggSMA2BZUzvvvHPypwVnAkgZLz97mWWWGfneeCCYvKpgcB88AeYQPuYg2N8E6uhO109EdYNg60HQVyk8MKgCgi6Xxf3IRz6ShuNf67KVBILYBd8le9ar+SVzqgasRYEH92MjZHJt+cuJ/vr85z+fALOqJPwWhFKBAegia83f83U8Hgj2HdsnZLbJn+0kIY+tIFhQF0Cv68jGAoLnzm7TIFhExeKS3RFp4ciJUsX+qokWUq+fl0xwe451C4IpFyBElFJ2BLWCYMaUkkXhAEaWhoNnIYtgFRA8sfQWEFwlOQF0RVFVDzA+HKWgAoL/LRleQaoAwYysTGO/z0NvEgSbb9FuWSFg1jsCs7ZWcC44LCLnnBdgRPaHnom9vxwJ5Y2cojvuuKOSlZWBRK6XMQZMOEOcZ8CSHuMUyabZ6sGJ8vd8D+V4INi9ZXXI7F133ZVK2jhKnUAwh7NTbwSOsEyD9RDACqiWkWE/rQNjVaLZjgYNgvkS5gfQZQ9mIggOvgsKC+pyjOlwGbIcBNtilAP+VhCs7NSP8t7JguCQPfMuOy1IpOw+AjKRCQ4QDLgKnNVBvYJgz+T/CXbyD4A3a1QmF/UCgoHGKBuXLZVZ7wUEA1P2Z1uzQLY5tN77DYK9t+0/9J2AnDn0r7XeCwjmT5O9HASr3Mv3744Hgo1DxQZ+4KdAoFJdwLAdCCaz3fTnqBsEB8gUCBX8UfYtiKlCynwCsXQlnraSQKn5jTJlukkQCagWTLBmBD+BZXaCPLIF5iaqMGRsraWo+lH67AdvAwSzM/jTCwh2X74P/vueRBN71A4Es3fetw4qILhPIJhhjMgFBwHIkhXO9/zVMaFxjwKCxwfBHCzlIhZvLGZ/+9CHPpRKSxgYhpJCEU1uBcFKSpQbRqmR+4gMukdEcjWssJ/FvmNUMsGdJXy2g2DGlxMTip0ckT8ZM8ZYhQKQodxwNpVDk5g8E8y4KoGOclnOoxIwEe1+UlMg2P4/AVNOhmwVB5mzrJxZZkI2hP2QKTEGgFBGjrMWkfM8s8TOkBlZNySIAPxy8ug9ckaHcX40yJFxbb0m+EoP0mfAq+/hPQdJJoKTaF5ib3Zk84BgmbkobWMHgRJApdM+7hwoxbM5SPZDc4wEJ2X9Wvf7xbWDBMHKTK1ZPEdAsHUssGDcsjOc4ihb7JfM1p0Jjn3NgifAB5snKGy7BhnxzhxnjnVkp7wrf0dpKwLYlP67hrwL3qBWp5c8clTdN0rN6UmBElk+GcHcIXat9QAY5JlgWVjrhgMdpZ1T5X8vIJgMeGc8IuP8P4DPmhcosE6sV5WCt95668gY7YlUQWYvMOBqnfEp3IPNQDJjwF5sO/A34IjtiDJzsig7qvwXH1RcxH5p/MITmfQcBNO3AmaCHfn+zvH41ksm2Fph+wQGyAx+kiV8MBbJBKDIu/LLgpSPqygA2m0vpGf4c94jAgPelQzkDZq8s+/KOiLAn74lcxJTeB1gj06kxwDCHATTwSoFAc58D3YnntQNggUZAU5BI3ocEKdX2AvrCM9k1nMAGmOjN/EpbIX/W0fAcGzBiuBMZNDtEWeHgo8CmOYtKoX4vvSLqgL6OZo2stH4HyTYZS4FgBDbhd8R8CBnEbBQHcDOkOdWfQDc863r0qEFBM+doaYzwfkCoYzDeExVCXf6fgHB7TkTmWCfRoduJTQy8hSeeQnQ23qHPBPMERWlsu9JlkY0nIHimDEsFIQFTKlHtr+A4M7SPttBMM6IvJI9zj6HknMp2CIDJ8JNnjg00aCjKd3Ret9BNsYylhwE+z/QpvxZKRqHFhjsNzUFgjmD9IeqIU4NRw7gUCrP8eDckBPOBeAv8i7qn5cqAqd0EadCNkWpNACtxFJlC4eRXhKUdS2nM5rkcPbcT4aYc5OTzDCn255iAUBOubI6+s1+MGDY/TiHMtEcUuta+RqZBnrJruyMstROZNyezaFDALdgJPCMD5xVZduc33Y0KBAsayLrLhjKPgAQsvPWMcfavmkBCPMwUYfsuuW5bhCsDFImikNrLSrF5QDLKnHMAVqyQF4ABT4PGRQc8D0NjwAxlQ74xBENmbEGfJYTmbX1iNxzwoHeCOyQfY66QKFney4AHnKmKRsgTd5VU7SW+U+F172AYM8BdgXalRdz9MkxubHurFMAjk4DSvDMegUSIwDk/ZVTy3YCxnQh3vlcFi0/uQLo5pcAyIANGVCyCgTik+CZoI31xffRyAjQcV9r1/pjh2Sr6ZNuqxZ7AcERJDK/1gjgK0BGh/C3zCHQBpACSD7DG5UtfC/8UgWk4gD4AnLpDzwlH9E7IuaYDrUGgWzvZ6wAnu+STbbGva1RcuUZ9K+5EWzBX+CbrovgwkTyUzcINj7gFfEXrCvVQOYToLSO6FxjBmy9p/4S1pVgAlkLoiutF76p9cv26CsBZJNtOAIItd6BVr6u9UyuyA4+0dWCOcBpND4kM+Q779VBHv2fP6HzNn6zO641V3xzFTTI380pGwgo25dOpwqYGZvxdLMfe6K58XkBwXO51E8QTBgttohGdTNRvV5TQHB7jlFqeet8ShGvGEmRTgamU5SYc5jvnbGoLX7K22Z/yoHyoUwYdsYk9pUYDcPs/+2azvQ6vzPt+gKCq2SwODLKr0RBRVYZXTLK4QdWOHSte4WbloVBg2CZEo5gNHdijHV2t/7waBDrqSkQbC45FjJGdAhnlyPMCeU44wMwxVGhpzjKnKz8GCROD3DMkSQvdBYHgv6JzrgcFo4EpySOhgNoOb0yUpo6tXaDjaNqAvhqTBXHtRiD+wMommVxtmVpOFl0boBZNs/YxyP6M47fcB3HC9DijAoGAdBRJt1OVw8KBBub/dRBwAVnDu852hxzwYL86KSm127cv24Q7L4CIfpqaEgk28sOelfBErqMrMn0+p3+IlNAj+wkGQeEI9vE/yKT7CP73O4oo5BZfOW4huy5P9nwI1jivgBbPh/kxH2tkzo7yfcKgsmtjCYwC9gFQBeQB8ysDesb5ccZ8T2sLzYAAIkmYJ5PB/hOu2N76E66Es/MhWBBrJnguWflcyEwEdcAGtZsNxnPkLVeQHDoO+DNGAFLmUz+mHe2ngAz42YLZcj5WviIP9Y6vy2CahrueV/jFzRuV/bOxgoCeF6uj+hY8yBjSQfy3wQF8NdzQ4fhvzHFMVITreG6QbBx44v3AzoFVRDdTTfLUtPp5BxoFJhTHeT9rIm8J4178X/xOv9e2ALzT897V3wxN9ZY8NnfrX18ci9rlA0wJ4INrfrZeKJLtUCCeYtrzGX0rwB0Q08KyKpqQMC8d4vmZRPxvpvPCwiey6V+guBuJmaq1xQQPFUOlu/3kwMFBPeT2709a9AguLfR9ufqJkFwOIacmNazFvvzdtP7KYMCwcPMtSZAsPcFKFrPJB1mPtQ9tl5BcDxfoFNwaiZSryAYDwBNgCo64s8kvtQNgoM30c1/PF4JOql0jMDKTOJrXe9SQHABwXXJUrlP4cCkOVBA8KRZ1/gXCwgey+KmQXDjkzqDH1BA8NjJbQoEz2Ax6urVJguCu7r5NL1oMiB4mr5qV8NuCgR39fBy0YQcKCC4gOAJhaRcUDjQNAcKCG6aw5O/fwHBBQRPXnr6/80CggsI7pfUFRA8ltMFBI/mSQHB/VqNk3tOAcEFBE9Ocsq3Cgdq5AAQrHSn22YTNT561K3sL9NkRKlRoTkcKCC4gODptBYKCB47WzoROzKrrrM1p5M8NDlWexh17Qf8Cs3hQAHBBQRPp7VQQHALCNawobUhyHSa0BirfQDOGGX8ChUODDMHNEbQHVJTMSBYQ6BBERCs4yIQHN1pBzWWYXmuAIVuobpBDnJuhoUfxqHzpUY00ZRkmMY228cCBOuqrqlYnNE+m3lCv+qwCwQfe+yxs5kVtb87EMxnBPyKrFWpyZEu3TqiT9QAr/bJGNIbOt5NIy2N5IqMDNckabamsZfO6JqhDYre9PchkIxojKWteJ3dAwfBVIrIgtNtUPfUQoUDw8wB8uqoCMZCV9lBAi1jcKSEjEkBwXOkxtzopulojUHOzTDJsI7HjrnR3GYIzNcwsWagY6FLdMQFhHUDLnMzB5gIiOu4rMql8KQeEcVXfqNyV8e1Fb5WqYOzI3gcnaWTcKE5Z7M70sjxm8V+DpdEwHr8PacpFBD8zDPpuAjHb/T7CJImxEIm+Lvf/W5qjV6ocGDYOeAMSOXQzkEdJBmD7F4ph/7HLDi7LzLBg5ybYXq2s3JlOhzXUWi4OACYOHdSJrjQHA6UcuhmJEEwTDm0458KzeHAxz72sXTOeRxpN9v5osJNJvi3v/3tbGfFUL6/TLCzlwsInmEguByRNJTrrQyqAwdKY6zhFY2yJ3js3JTu0MMrr2VP8Ni5Kd2hm5HX0hhrLF/LnuDRPCmNsZpZe3XdtewJnsvJck5wXSJV7lM40DsHCgjunWf9+kYBwQUE90vW6nhOAcEFBNchR93co4DgAoInkpMCgifi0GA/LyC4jyD49ttvH5ltDXhEzJpqwlUywe0XVush9cpff/rTn1bzzjtv2tdjn18neumll6rFF1887XsJ0oDlz3/+c7Xeeuulcgr7gp577rm0H3v11VevllpqqZFr//jHP6bfx3vGYNXB4J5eQHBV/eUvf6l+/vOfV+Rk1VVXrZZeeulRE0LONGLZbLPN+jpRgwbB9lT95je/qd71rnel937ggQeq3//+9+l3DoZSROu3n9RkJtg8sxVsxHbbbZdsBL1C/3h323bwgh6yfcd+poUWWqhaa6210v5P+86eeuqp9LPuuutWiy222BjWkDEOvOZe7jfPPPOka1555ZWkx9qVhlmj22+//ci1v/71r6v55puvWmKJJdL+eTZHaah90u6L9KZ49NFH0++uWW211aoll1xy3Km69957U5M85L3nn3/+auONN+56egcJgu1HZk/e8573VCussMJIfxF/Y2vCTnT9MjVd2EQm2Pt885vfTGWv5oc8kj02lmy8//3vT/tCyWSQtcw2Ws8bbbRRteCCC6aPyCPd9u53v3sU33zmnjfccEMqs41+LWTNGmBL6c0HH3ww7QVfZZVVqmWWWSbdkxw8++yz6ftkjz1+xzveMWo8U2VvryCYPOuvYLvazjvvnJqV+ZtSWe9g/LF28rF5N+scr5dffvn0Dt7poYceSnpBLw33yglPX3311cTToDvvvHOkmZ/v4aM5WmONNUZ80ZtuumlEn77tbW9LMpv7PBPxrNdMMH134403ptv6Ll2OJy+++GLi08orr5x4ksuRz80vHbfmmmsmHYToje9///tJZ5CvVrtgm5P7LbDAAiNyhw90IDl58sknk+y+853vTDYY4aH1G7rVNhhz0C1P6gLBb7zxRtriaM3YhhPvRg6sObITpFmbUn1rhD7O+xzh3csvv5x6fay44opJPryL++AdW8Bu4CFia9mdRRZZJNmYdkTPL7rooskeoFyHt7PR5J1d8x1EBsg3OUbW7RNPPJHWq/cyfrrjjjvuGHkXfKBjpkoFBM/lYNOZYBPIMJ555plpsWnAs8suu6RmFU1QAcHtuXriiSdWn//859OHDAtQqxkaZX/YYYclxWqeWsn8UQwWaigUc+kejIj7mlNG8QMf+EDaQ/nVr361uvnmm9OtOLSMlO+vvfbaTUz5tL5nAcFVdeqppybDtccee1RXXXVV6pgN3AQBPPvvv3+FV/2kQYJghnmdddapjjjiiJE9noDYTjvtlIw2B5gzGca3X3xpEgRzsnRYBURff/316txzz01Akn7ad999q+uuu646/vjjR4AW/cVxBTB1AT7rrLOS8wg0+Ay4yO0MXaZh4gEHHFAdd9xx6Vn28CH7o770pS+1dcQ5hpxEuhLpkM1J8R29J8junnvumeSYzHCsyeqPfvSj5NzQm2weB4ze7USuMSZ2ksNm7IIB3dKgQDBZpPsPPfTQBHTYkUMOOaS65ZZbEk816jJvnNl+9x2pGwSTS0AAUNhggw2STROMAhaAJu+rERDAG/Ji/o488sjq+uuvr0444YRKHwhOLfJ9nx1zzDHVwQcfPKqXCQcZ0BEgjHVO3rbZZpv0dzLP1pL1r3zlK0l3AsKuIUNAgLkxF9ZFnXtVewXB5EKXfe/ywx/+MAE9QXPgQp+BT3ziE23lAwCzluztvvjiixMI8n533XVXOlHhU5/6VApg5cQHBI6spyAg0/P5KvwWa/j5559Pa1dAAwkWmB+8u/XWWxNYMZ/dgr5eQbB3O/zww5N+EES7+uqrEwAyjuAJQJ/bQiBrr732Sr4c/e99jHPrrbdOesc7AbatR4JZg9dcc00KtCDzQQ7pTLIYssd/23vvvasddtghBQp23333yhrCA2Ol3zSZ64bqAsH0NSAaQN+4kKZ3fAVjRvTL5ptvXh111FGpSz6/01oMInMf//jHq6OPPjrxDsDFM7rJ/YFefUCefvrpFMSUHGKDyDo5y8G2e+I1+X344YdTMIJ92XTTTROfyJD16zm5DRLUMi7jRHwbnevNtwCZ75tbQQty/bWvfS0FEfVr4QuQGfP2wQ9+MNnFqVABwXO51zQIfu2119LCE3XqBxUQ3J7Ln/3sZ6uTTz45fch4WkDhkFEujNC3v/3tMV9mcEQIGVnKmjP4hS98oeIMU4wMuwXKSJ1zzjkpmuZ6TqHoK4XNqaXICggeOzcFBFcJkFD85AtQ0LXwlFNOGWHWbATBGqWJVjOu0eiIo3LJJZf0Q412fEZTIJidAC44nyLx7BJDL5gGcIp80+2cVo4LR0Jmg7OhezfdxvERKEAcnN12220kGwtUAtIAAceFwwQYcDjpLb+fffbZXYFgzqoxAX6yLpx6jg49SofSpZwzeg8gRwA5nevfTtl7QMhYWokzJAiEfN4JzAwKBN99990JfGmCgzjJMlyAmyAoPgg2AG7h/PVLiOsGweSEg/rII49UZ5xxRgJjgiGCwfSYLA3nnHzmlSscXfKF6DrBDcAHWDa3wDVb655BnUCwQIk1ADwDMeRJUBrI4eDryMvBBXzQ448/nu7L0a7rBJBeQbDxqvIASoxbgOD8889PgEHFBhmSjTP2IACfjwGIWQOACD+EbrQGAYKTTjopZVHzzNh4IBgQ5p/QA8gRMYIK+LLVVluloBoyH9Yxv8bYu6FeQLC5lw2M7rzWrgDdFVdckXSGqhFyhifkKoh+wwOVAACp9SV4DKzx6xDZAubygJN1R3cHCPZcukoAZb/99ksBPLZG0IT9xR8yruO1QAAStPCOATAn4kkdIFhmlx2gT60H/kEkWwBVuOLCCy9MQ8ErPAVeESCv8VOQAIwAHd4JkpBHgF9gQXCFrJEtMnrZZZelzwRmPdf3zFHwVHDCmgasBVTwjv4XCFOl0InoBtn4HASTa3PjX8dURpBBUIvtj8apwC9iK9kf1QATVReNN0cFBM/lTtMgWFTF4qT0LHyACSDqNro20UJr/byA4PYcCxAMUOA/pZITw8pQcrxzEmm0QDngDIVsjEUu+iVyxtGkODgBFCpi2CkikTHfF8GluGS2Co3mQAHBVTJiIuCCJBQzBZ/TbATB3pmRs9YYQmCPsyMrKTvKGbLu8lK5fqytpkAwXcEh9i+n0zsDwww+kMAZ4fBw+vMyZyV7+MLZybPinEmlhOFQuC/AKzing7JsOucOeMNb53vKHLUryWzNBAcI5jhxHjljAI+sb5Rg0q/GL0MTxAZywGUd2pH3yLMsnHJZK7pXdoPjxTkDdtrRoEBwPhbBBZVCHGsOWhyfw3nlxE01e9GrjNcNgq1L80FfAUiywN5RNYKyXoDUHAsOk+egPMBB/thIIMMajlJLoAvwC5oIBAMo7kNvAlCxBQmY5kzLVCOybk0BrlEO2ysfW6/vFQQLZvkBPsgvHQ/ABugl29YO0BO+IaCAH1HmzYeR4bRu8RMBc0AbwBA0HggGWswLOyObz0+J8tccBLsXmRWUozO6oV5AMLDpvoJnghXm3u/mTmaSLsMT+gjQDcqDKcanMggADjvhuqhKyXXZeCBYqTF9RWaAuMh44mMOgt0b3+nmKJkejy91gGB84q+yc8YWfBKkAA75nN6/lQBSn+XB9LgGyGVHrL8AkSo5LrjggnQJmTMPMq/0L/7ziyWAYruM51vrAjS+BwSgc/bSAAAgAElEQVSbD3oaEJclhnXoihzrjAeCzSGsxBfnKwsKA93eEyCPigVjBPjRVIKKBQTPlYimQXCrcB544IEpEqhUpwkqILg9VwMEcyo5KK2lpRYexSCaT+Ew7OFgW+QigwGCXSd6hiwkBohh54hSkCKZvh8OkOsLCG4/LwUEz+ELkGLtKr1nfKJM1WezEQR7b5Hr3LnJJYgzCDRxvvtJTYHgeAfBNU4ynQFQKakFUpWxyUDIxEUWx3fYE9nx3NHg6NJZEZQL+QKClZfJSHIsyNnll1+eHg249QqCOY3IOIECehUwBlQ7gWDZlE7niMpUuwfQEuWsHCqOoOAjh06GER/a0aBBsIAn553za83mIFgAgxM33UFw8J0Pwx6aG044UJCDYM6u8vAgGdpw1tlKYNAPp36yIDhkz5qJAApAOIwgOPgAGFgrstMyaIAw6gSC6YIAcwGC6SD8RMCL9d8tCI5xRJZTeaqgBWoFwWT2tttuawQExzjoM7pK0I4ekYig27sBwcan3JatdJ+oGAKCAb0IHnjWeCDY53SOEmkgjG60lYNctYJgIE8ZemRbx7M9dYDguL+AsIy4NaPKRwm46od2IDgCnvb+dtp+IXhEnlqrH2XR8UCwSFBT1t26FfTKQXCMC/8DBLfywjyaExVLQeOB4LhGtRDdwf8W5GkHglWgsHkFBNfg/TQNghlDwCsWJKHS+AZ4aoIKCG7P1QDBjLboOKcvJ5kMpUAcOMZd+UdkMXIQTFGKUCsDRDIhFAfwTClTPOaXgZMBRgUEd5b02Q6C6QeR13AYKXyZN9k1hgco7hS4aUJ/5Pcc5J5g48hBcDQviUoNYI6B33HHHZtmw6j7NwWCw05wbGRMZY0ESjmpskXAINkAYDkjqlA40MCIiHnuZGguEpUr8Xf8Y3OAycj80FvKIdF4IFjWyjMjiwY4y0xzBI0PcEX0IlDOoW0FwcarjNn7dWoKmQOlGDdgyamVCbB9hUxGWW3rxA8SBOMPh5TOl9GyZpUGxz5gJeOyfIKt/aS6M8FkSyWC+3KO2UlOq+wdwEC2OK4yQQI3QRzryEq5jmzbA+j62PfdOv+RCXa/2FcI4KoCoQfIoa0ACOBQlaVKASjKM8EyWfSr66MR3FTnoJdMsKwZUCVbbb3ad6tcHi8BG9k1sounyngj+G7dA82aj+EF8KWk23eUUiN+Bj3o3YMEIwC4/G8C89Yqf0UQLQJR+KUyQxa3FQQLKMiyR0Z9Ip71kglW3s0XIwMCWwIj5hSo957GxDen4/LKD8EOPCAPfC2BJcE8+gZvEXnCl2i+Fn9Thh/JJ6XWAD65lFmXbUX0pGwzWaSzchBsLW+yySapjDjfp9yJL3WAYPzBJ7rf2PDJGFQ2tAPBAhqAundqbYyIXwCpAAO9KnDFnwWsZZmRa9giz1BlRM4Fmv2fjLbq7hwEyz4LwMZ2FX4NOcvP0mbXzF2AVzqR7uB3K4e21TC2ywiIKNXnT7dmgpWIW89587eJ5LP185IJnsuRpkGwCJ8INwNAiO0RFd1v17mz10lsd30Bwe25qHSLAUBKtWRylXIwIJShhRcGtfUOQDCnkgGNPd4Ws+jhrrvumiJzFCeFoCsfxen6WKAcTIu2lEOPnZvZDoLpBMEWJa/KsBg9ARsBGU4FRU9eGZd8v1wdumKiewwTCDZWTg7AxYgynJy08RotTfR+k/m8KRAcdoLjCgRz5O1/tZ2GTMiwyopzzDgGwL/359BwmgVZNUgRHRfB9zcOi2wkh1NghRPMkfF9TrnytWggMx4IJn/2IuM9QMFBFNEXLCS7/g6cG5sgLyeVU8qJMm5jYf/Ic+xZbsd7+pcjFBU0/lXiGtkeDhtdHFU4rfcYFAjmNAKEbAE7Yk0LTAAvAI+54Wzb9tCu3Hwyctjtd+oGweZA4ETAl43zfv5PX3GCvbMAFSAjeEJ2AWUZX/wRLKbHzCNQQf5sJZKZIpMCxjnJcAIs5ILsATJRxUWeBEgANYDSHESzIw4+oECGBH40S8qd8W751+m6XkAwP0GZvyAJ/YEf9vACMUAA8GnNWJcAJ95G4ElQyZoSaMAj68heT6AN2PA5fuRbDIBuQQD6Awix7oEoMmjd4n8ASzqEH4SHqtXYGzwTxPAMgci8wdl4fOsFBHtH80GPC4QAQZFxtI59hld4Qp+ZX76VIAj+AWV4QReZ62geSAb51/neamPm55NV8uP9yFxkMMkg/UiX4Z3PzAeby2fELzrMfmoyaE11Q3WAYGOg641dhpdvKfOPB+TH+9jKguhbMgYw0kPGzAfFOzoIgJYxF4jDD9lleISs4EXMA19WcAH4FshS4ehd8DRkM96fLJIh8oo3bLQ5yRuJ5VgnTj4QxGGf/OseGmLhO1sV/CUP3lswI8C2d1LFwF7JBk8lqFVAcJ9AsMdYmCaUAHBw2x1D0c2i6uaaAoLbc4lDn0dGOYCUbAQmZDY6ESNCKedNNYBqDqiFa8Ez6BQSJUE5R+t+92SkOInRlKGbeZwt18x2EGyeGRgRcKVJnMSIaHMGZL1kEDgDTfUR6CRrgwbB9v5aT5yz0KMi3IwgYx/HLPRzrTQFguP9OIVAFedAtoHDJhPGOeWQAJX2sHGKOSmIwxOZOUE6FADS/j9ZEYAF2UvFweH4xrEU/u6eHPDW/eg+oyMFCjnQdB5nOjIhMlQAkCaAqhboWI4JhyuyzBxL38nLE9vNGQc3jpPzuXtz5GUqAAEgCmjgbLdrcDQoEEwmyGSAd3OA58g8AoIc7UHIa90g2DtxVNlDTiQnlfMM6Al8ALIyUbJ6ASJkx2WeAC+ybEwRDOCI03EyQwIk7ZqmCTiTMfIgUxRHDZIrpfHss2xVVCS4VraO3JJXa0AwqM7+Ab2A4FhDgAZQzxcUFEcAvmysva2RHbPWBRGQjC7+4TWQ5h2se/cBaGSF260r6wiv8EgWmN4Iki0E7tgT6zKO5AOoJQXMJZAJnPTSSKwXEGwsxsbW+Re4i6MmBVpUkwA+eOKdATNg1Hhk0f0IHEfTLv12yBW9xMeOapdczwQvrVPrMU4DISfAPvkEtGXKBVrJpjnzfLKnmqD12KHxbE8dINj9gVt8EsiQXY2qCH8X9ImmgXSkQIn3QXhlbfE9NV6zbmR66SuBl9Cj3g3PvKdgk8AJGbCOgs+xZYFeA7KD6Gf/j8oCcynYx267Z7uMOX1I/tgJazbf0mT8eG7sStqNGX4y/3SDQIB1EFtxpmL7Cwiey72mM8FTmaTJfLeA4MlwrXxnUBwoIHhQnJ/4uYMGwROPsP9XNAmCA2CIkHdTbtf/tx/uJw4KBA8zV5oAwQHeooRymN+/qbH1CoJjHCoqomt1U2Mb1H17BcHGKRlB30VgY1Bjb+K5dYFgYxP8A257DaQB/ICzIEu/jxNsgqd13rOA4AKC65Sncq/CgUlxoIDgSbGtL18qIHgsm5sGwX2Z2Bn6kAKCx05sUyB4hopQ1681WRDc9QOm4YWTAcHT8DW7HnKdILjrh7ZcCAQbR7cl7ZN9znT8XgHBBQRPR7ktY55hHCggeHgntIDgAoKHVzrHjqyA4AKC+yWvBQSP5XQBwaN5MgwguF/rYTo+p4DgAoKno9yWMc8wDhQQPLwTWkBwAcHDK50FBHczNyUT3A2Xer+mgOACgieSmgKCJ+LQYD8vILgFBLdr/z3YKZrc020st6HdBvdChQPDzgGdZ+N4i0GOVfMFRyvceuutIw1uBjmeYXi2xkaadek6XGgOB3S+1dRHN8tCw8UBZxADJ847LjSHA5ojKYXMz+wtvJk6BzRS0nxK1+dCczig2Z7moJpLFZrT+EsXcF39Cw0XBzQB03hNU70mGxVP9NZv+nu0U5zoygY/j8ZYuhcWKhwoHCgcKBwoHCgcKBwoHCgcKBwoHCgcmLkc0HG7gOBnnklnyDmWQnv46U7a5jvuwnEThQoHhp0DWvxTRPvss89Ah2oMovq6dxaaw4Frr702ZYGdj1hoDgecH+nsxZIBGj6JEND+4Q9/mM6+LDSHA47A+ed//udSGVazQLATjuWp8+zhmofY99s5ismRYHH0UN8HMGQPVF3myMPf/va3QzayMhwc+MhHPpLOQC4geIaB4HJEUlng04kDZU/w8M5W2RM8dm5Kd+jhldfSGGvs3JQ9wc3Ia9kTPJavpTHWaJ6UPcHNrL267lr2BM/lZDknuC6RKvcpHOidAwUE986zfn2jgOACgvsla3U8p4DgAoLrkKNu7lFAcAHBE8lJAcETcWiwnxcQ3GcQrNzyz3/+c7XQQgtV/+///b/GZr9kgtuz9rXXXktlYTk5gNxcmJPxyLzNO++8lc30Qe7317/+tXr7298+8jf/f/XVV6sFF1wwXR9k6/tf/vKXdCh8odEcKCB4Dj/IDfkho61y8re//S2VjJOrftIwgOA33nijmm+++dJr//d//3daR8iaWnjhhRvVpe143XQmWFAWLbvssiP6xvxrwrPAAguMbNn5v//7v5EtPPPPP//IUPW2wCc6bZ555hnzCr5H7/lO/j06jn7L9VZ8WdlnzmvOHb351re+NV1CNj2X7Mb3lQJqDOOe5srYJ9J/xpXrTM/w3G5pkCA4+Kq0LviSy2xuJ7p9nzquayoTfO+991arrrrqKJtKLqzXRRZZpO3QfU4mfB62tBPfYo2T+9xncg9yHVvXyDrZzeWrVfaa0BOTAcHWyf333z+qqZ73946al7Xbjscm2KrXun6C1+3eDT/cN/Rm2Jfwc+hQ/ou1mvtEv//970f0qc88sxeaTCb4qaeeSvOpmVYuE+PxJMaf6xvjjPG3W2txv9BP9FXIje/63fxYu7F+/Y18hQ7z91xnTsSbukAw/fn000+P8Cl/bqtfG7aiVQ/Fd2K9kbdcPvAH5frWvfgl5LLTOcN4RE+HrSGrvtfJRlv/ro15cC0+hRyal5iH4HWskZCPychmu7kqIHguV5rOBBNgHcg4lARk8cUXry677LKeFtNEiy3/vIDg9tw6/PDDqwsuuCB9aGEfc8wx1fPPP58U3FJLLZX2UOv62koWpM6aX/nKV9LitSDN5XXXXZfus9xyy1UXXnhhRZl/9rOfTUaeEr7qqquqN7/5zWmB+/6BBx5Yrbfeer1M5ay4toDgqtIh+/TTT0/OIeNlX9U73/nOkfknZwcccECFV/2kQYJgxtC6WnTRRat/+7d/S69t3/grr7ySQJUf+3l6cUrq4F1TINj7nHHGGUkWOBzbbLNNdcghh1S/+c1vqtNOO63S+Rh96UtfSvrl2GOPrZ599tnkPGy77bbVjjvumPbDsi101tJLL506teaAhEN36qmnVk4Q4Dw5QcA+Po4MHrse+G4lsvjkk0+OOEL2Rfub/ZBk5Morr0yOEgfqc5/7XNKJ9pKfd955yd6F8/LVr351XFC78cYbJ8AT/TKtBT0DuqVBgWB2nf3Ao5deeqm65JJLUlfYn/3sZ9XJJ5+cbIJ9kuR5okBAt+/a7XV1g2Dr8jOf+UzqGr/GGmtUJ5xwQrXuuusm+7f33nsnGSGT7F8eDGAv6Tiyu/LKK1dnn312mmd2+PHHH08yi4cf/OAHR16NXK655pqJj3Ev15DZtddeO/lV5O0d73hHChCeddZZI7b8tttuS7LmGRxtMrrkkkt2y7YJr+sVBJON448/vnrggQeqLbbYovriF7+YQBv+ASDt9Jn3x1PyZb3yX1ZfffW05qwLAFl/An/PEyuA9hNPPDGqS7q1euONNyZZtGdeoMD96Y399tsvva+1Sm6NxXVOSzj44IO7DjT2AoI946STTqrME3kx78cdd1zaP3viiScm3gioOKEgD/4+8sgjaU1FQ6Orr746gTlri4x5J3pt6623HjWHQLZnrbjiiunvP/nJT6orrrgi6VN9dOhaz/HDznzoQx9Kc0W3CvYgz7z00kuT/HZDdYBgfCIrMXe77rpr8ifpVPvS2SPvgfCLPJl78nDQQQdVW2211chQ2RI6/te//nXyXckR39facH8yts466yR7QybNwwsvvJBsCT3Saht+97vfVfvuu2+yOeyBdebUhFh3xk5OcwBtjuj4zTffPI3LOMwXm2LOP/nJTya5Nv499tgjdXBmt1ZYYYVqrbXWSt+hg/bff/9qp5126mYaOl5TQPBc1jQNggmWCWQc0V133ZWU8UorrTSlCez05QKC23MGQKU80Sc+8YkENPKIoc9c00qbbbZZWrSUMVD74osvpvkLR40hZjh8l0JCFAelArh4lkXLAMYibmTip+lNCwiukmw4ygQJzDC6jEMQJ4jSn00g+JRTTkmAl7MbIPiwww5Lzs4gqSkQbI7ZiVtuuSUFQm6//fb03uwFJx/QoNs53/jC4eSwoCOPPHJEhgBP5FgOYAFQDsLTTTbZZMQBAWSAbWCG4wK4tgsEtoJgjqcxfeADH6g22mij6sc//nEKEHJeOC5f//rX04/3MAZ0zz33pDHnct06j0cffXR17rnntp3ehx9+OP39fe97X8fpHxQI1ohygw02SDxBRxxxRLIvHFVZdHaG7HLw8LqfVDcIBgwcD2Q+OMsCGwK85s3cA1KCU+Yp93GAErYSmWdAmm/EAQdkEf5cfvnlI+wJEOx5kbUCggETfPz0pz9dnXnmmel6dplTa3xsud/XX3/99Bng5GgzAKAu6hUEAxDAvCAUEIpPQAgn35rDM8CTvxD0gx/8IP2dzgMOBb7wm6z99Kc/TT7Ixz/+8QSSgOEgeuKxxx4bBYKtPQ0OzQHwgtdI4zS+i+wawOR4TcRnEWAU3MjvPR7/egHBAM9iiy1W3XfffQkk3XzzzcnGeV8+F34BTHgC+AXhj2CHtSZoSM4AfMGUc845J10GxAYwjO8BXXQ3HYvMBf0nMCMIwP5GwNA9gWSBC6AXUEbmYLXVVqtefvnl5AtORHWAYNUxAgRkhX41746iMsfee7fddqsuuuiikXUlqEE+0Pbbb5/eMYieci9An13AX7y944470j0RfpBPwJZsCUKRM/MBK0WwxVjc37r73ve+Vy2xxBIpsCLRM96RUK5VYRAgmN0Dgs0NO2Ztx2ehD6JxagRE6Q3gnZ89leq4AoLnSkbTIJiw/uhHP0oKSBkHhc8RaYoKCG7P2QDBFBOHpFVJctYuvvjiMU4gJcQ5FBGl+CLaKDMs8iXqL7roc78jCobhoChE3yxeCzuc1qbmfjret4DgOY4IZ4ODx0iTq7yUdTaCYPwQARalBwZVYDCKjC4HTZR7qpHgyayXpkAw2+B9zDVdxREEogBezi+HlDPAWROE85kfQIEzRC8BCuGcAROcEroO0UWySM7QBaxd6zucGjrRe/msFxD84Q9/OAEh3weEZAyMyRiAYGOOjIznCybKaHcqDaZDOURRTsexkjnloPnhEAMz4ai3zt+gQHCMQ5BB8BMglPkVPIhgKTvACe33eb11g2DgBdghi85U54ySXeDAWjVfMk34YD6DjjrqqATW0N133530nYwVEBh20TqXQQ6aCARHVsu92WA6guzRo1tuueUIGDA+sg/Y9Fri20lH9AqC+RYCQTLa4XvwBWVDET+DzMQWLX/jM+BHZODoBdlSAAXoQ7KB1kQAIX8bDwRbf4ATYL388sunNRrAJgfB7iNDj2d77rlnV6qyFxBMhwM8speCFqpA6A6/0wH4hBcyuOxAEF2oigABpUCcgJN3jmApoEw2lllmmZHvjQeCAUVrE3/pPwEBPCHPOQgmX/SQAM4qq6wyIU/qAMHWAFtnTfET2AXEDhon0Brgn9407qi8AWYFLFtJhpf8shGqdpBgBFn0/mQDLwRsrCdzxZ8VFIhOymxL2GH8p6uNyVqURabvyWieifac8UCw9eE7/G02TnWR59M1KiK++c1vjryK3wVRAjBPOBltLiggeC5T+gGCKXpAWNmHttwUW1MHihcQ3H45BAgWRRL5a82qUciiyjIisTcuokzKjZTLBAh2L/OJRJspFJkbSluEkpNJkYQDJHIpa1JA8Ni5KSB4zn4kMiSLxylgzAGSoNkIgr27DJCocoBg0XsZUcQocnbble9OxiB2+52mQHA8HzAFojbccMPk9NDnIvXsBp3jfUXggzggSvfyDCmbpnIlHGXXBgjGM9kCQFLpdWQ56L5eQTCggYAhAUDABtBR7tkKgl0n4zMeCHa/vIQW4JdN5EzSr7KqSho7VUQMGgSTVzzwL2cwrxhSCcZxi6BEt/I21evqBsExHkAKCBG4iQz3gw8+mBxzDjtnNwf8eZZfhlOm0g/AEhVSfpfpDJoIBHP6VU7wp9h1gRh2HLjMQbDrZI7p2EGBYO8EVBoX4HnnnXemtRdHWQIOgEYrCL7mmmtGAlP8Dtlv34u1LTNo7eXBg/FAsHGYNwEK4AKYo0NQKwgms9ZbEyA45liCgH8le2ne+EqAviAdngBlnUCw8fGt2c0Ilrqv8QrOdQuCfQcI9GyyS47cg+3JQbDryDHbEyXS463POkBw6O6wC4IFgm0Aoow+ENxaPSPoE3q4XeUJO0pH4augAhKkoz/dW3UGwCtYw9bIuAoq5CA43hv/zR8QzHdRicEnNgYBCmPLsc54INg9JZBkhK0Ddg0wbweC+dgAfwHBU7UQVZVS/E2eE0whWVjKzlDTTlQBwe2FIkCwxck4h/MXV3MyOW7RPMLiV5qDWkEwRzSUi8glR4CzZuGKzCqPFqUqIHjiBTrbQbDsloyITAUSXVWWlYOFAoLn7AnOiXMIVNm31k9qWn/bz+e9RMWBKBVEHGV7ozkDytM4I4iOEq1nv4KUGwM+Mk85BQjmpMS+1LxcbiIQDNxFFgBQkc3lpPh7DsCV0MmqtIJgDhJHSSlh3pAlH2O7cmgARgCRnsUD+oKj1o4GDYJjTDLz9rjJjMseIQ4rnswUEMxRBT7YQk2yVAUAIkAw3SUI45qgPINn77prlVTLcoUtbc1cBQi2JqJpVOwJpi/tbQ+9ya7LavF/2OscBJM9gR9y2a5Z3GT0R6+Z4HgGnngHY7H1JbZgWbd42QqCrbUAc66N0tEAwcCMgHsOgq1xOiKvlCGTdInMLp5FsElWWbAfYGkFwTL2yPrrhnrJBMf9gHjJIXOscgK4ob/oCDzx7jkI9v7AKlIlY15lhslCZILJEX2Rgy+gFc+d24vwDW/JsGfnW9WsUfz1/BwE00Wy9QCzcvaJqC4Q7DnWCl1i3GyANdMJBMtU24qXBwFax8rPwBO+R04AMn6bc+vGWuXPsjG5DYjv5CC49Rmy0HS+jGtQ655gwSu85o8L8tpTHJlsGW7l2yoWWjPB1jh5jfmcaC7afV4ywXO50jQIJkgUsiiwKKSJIxztys4mM5Gt3ykguD0X8z3BnBHKlzMlu3vttdemYEjsGW69Qw6CLVpZGoYfRSZY9Ezpn0UJZIvYxhyXTHBnyZ7tIJgx2mGHHVIVgpI+csjIAQuMFGeGk6PUSNS3nzTIxljhqOSZYJlKzp5MCodnJmWCZTVkH+ggYDMa+XFoORJsCOeLIydToiGJ6HyUs3Ec8EZ0nPMboMH/OU/+BUw4OJxE5ar2B3aTCXYNkKEaRkCGQy2LzJH2u2i9iDynzDVsXYBgjrGxkW9BQfvfOxEQzPGJ4KHromxSxu/73/9+ynDE3tLW+wwKBMvqCXTbiwjEcEJl59gD2S1bHDjrHOqmKsA68bTuTDC7J5vDrwFIlEHH/kKgn20UKBIMUSptLsmeLK/KBu8PEJMH9wAKZZw4+eQ3Sqa9j+/ipcC0Z8kMuk/05yDn3g8gMAZ7klUMsLeqEdhmss/GuJfP66JeQDAZtnfeuGXGrOfY9oI3eEW3c/jxL9Yr3c+P8D1gRFY29vUrZeVr+I61mHf1tUYFB/k1Akd0hmv4neYGr6NSTWks+6P3QoBgvCLP7JCuxN12aO8FBHs3c2m90yP0nS1m1jDwKEBnjPaYyhLjCT1C56kGEnQBjOgMMkiv4BWZ8o6RYY/51reAHuOnIfuPVWtocuU+qvRkx5X54p0Sc9lRQQJr2bPxkN50n25OeKkDBAOp3lGwkw7W+Mo7ALitINjYrReZ7ACHuf6nl/HaPKnCcB9rkg3xHHZHJYXKAPLmfnhC1sgD2SMb+SkpOQgWNGBbyJ1gk8CK9ZxjHX4NvRhbcuzr9nxrWfCBrIUfrtrEeoGbzFHsCSa/MuLefyqNBgsI7hMI9hiKRGSGAFmcJrApKiC4PWcp24iemgcKljH3u8yLrG+nKDHlwVDF5xRIdOizFwd48TcOIGUtQ0IZBVE2omnd7CNpSi6G9b6zHQSbF0BHkIbRlEmxR4lMipoySEAfByHvGN2P+Rw0CNbQRlYpIsmyGIw2Z2Cm7Qk2n8qevR+dJLvBTqgU0GiJ08jxoW8AkciG+B6QwPHjSJOlIFszODA+cw+ZNd8D2jg8dF6AZXMt+t9OxjhD7BenkAOU7/WKbq2yMu4lAy1bwmGPZm/eByCZKIgjCKD0Lkg2iO4FkgABgNszQvcOCwg2Dk44+TRm/DZX9s/aQygLDwRzvLtxnutc23WDYPaN7WRP2T3yxckF/m0z8i9gQW9xeAVI6C6l0kAKQAhkREbcfWQo8Y1sR1AneCD7BiA9+uijaV0INETzKPf0fvQmuVAdogILmPY7Iq/GJwDRqQJhMvzuBQS7P2AqcCeTZy0IEhk3YC6wLjsbTe2MlX5DQB9gb73iNQBtzQFG1jOgEd2d4z3wie3AT78DwkBdAAZgBghBKuDMC7L+A+DgJwDTSwPXXkCw53kvfpJnkgOBAkE6AT76xLPJkXGTF/wJoIV3xhuZdGCVL2F9AVbttp4JSAmkIf4cuULklE5TJs7H46MLRihfj3lwHb1mDJ2OC2qVozpAsHvabmIdWXv4FD2FBIVUnMT8AeixPzjGEltpAFPjxkeA1zrxXVUA3pPvGusL+MR/a43uNy9AOPJv7tviobFFUzHZXIbDNNsAACAASURBVPJl3bbbE+wZAi8qJs27zK85NG/sumCXKhGfWS9sgjHQ/SGbgHxUI01m7cZ3Cgiey4mmM8FTmaTJfLeA4MlwrXxnUBwoIHhQnJ/4uYMGwROPsP9XNF0OzdkX9Oh3xrD/nKz/iYPKBNf/JvXdsW4QHCPLgVp9o50+d+oVBMebAWgqOWYi9QqC8UBWD8DvtgP1dOJbXSDYO9NtgGV0t+6FDwIuAF9s9evluzP52gKCCwieyfJd3m2acKCA4OGdqAKCx85N0yB4eKVh+EdWQPDYOWoKBA+/NDQ7wsmC4GZHNdi7TwYED3bEzT69ThA82ZHKvMaxnpO9x0z9XgHBBQTPVNku7zWNOFBA8PBOVgHBBQQPr3SOHVkBwQUE90teCwgey+kCgkfzZBhAcL/Ww3R8TgHBBQRPR7ktY55hHCggeHgntIDgAoKHVzoLCO5mbkomuBsu9X5NAcEFBE8kNQUET8ShwX5eQHALCNacYCqdxgY7nf94um6qGuu0dscblvGVcRQO5BzQnMfRL3G8waC4o/mCTpsaNhSawwF7iRxcr4FcoTkc0OTH/jXN7woNFwd0MHUGbbfnmg7X6JsZjaYzjqCJ80Cbecrsu6vTJZxbrbFUoTkccAyoZloaSBWqUkMnXZo13Co0fBzQDV3jxTj6bxAjfNPf87MQBjGC7JxgRzzEmX4DGsqUH6t7mu56OjQ2dQTTlAdZblA4MJcDOgLar6JjKGCh8cMgKLoO6rqr46TxFKpSN2Adbh2VMd11Y13ziSeOVdNFeQjMV12vNe3vYw1bt2yf85WLvFap46rGQ44Y0Wit8KQeMSdrkia6fjsvu+iBKulE2XHHFcUZxPVwe/rehZzoRi1gSlYKDQ8HJDx1shagKCD4mWfSQdAlEzw8AlpGMns4IBKnbKhkgodvzmWCHa3hCJNCczhQMsHDKwklEzx2bkomuBl5LZngsXwtmeDRPCmZ4GbWXl13LZnguZwsRyTVJVLlPoUDvXOg7AnunWf9+kbZEzyW06U7dL+kr/fnlMZYY3lW9gT3LkfdfKPsCR7LpdIYazRPyp7gblbS4K4pe4ILCB6c9JUnFw7M5UABwcMrCgUEFxA8vNI5dmQFBBcQ3C95LSC4gOCJZK2A4Ik4NNjPCwguIHiwElieXjhQVVUBwcMrBgUE9x8E2xdvf12h3jlQQHD/QLD91295y1t6n6QZ8o3JguCZzLfJZILpO3vXoy/HDBGP9Bp1gmD7zv3gVaF6OFBAcJ9A8PPPP19deOGFybGx0H/84x9XZ599drX22mvXM5Mtd/nFL35RXXfddaU7dAtfzj333Oroo49Of2WI9ttvv2r++edPm+Jfeuml6ktf+lL1tre9re2cnHnmmem788wzT/pcs5Evf/nL6T72fVx55ZXVK6+8Uh100EHVSiutlJSfOUcaIuyxxx7VZz7zmep973tfI3M+nW9aQHCVui+fd9551fvf//7Um4Ds5MbO3z7/+c9XX/jCF/o61YMEwfihaYXGaTvttFP1sY99LK25W265JTU+Wmeddaq99tqrr/zwsCbLoemoe+65JzWW8c722P3lL39JuoPtsOf1U5/6VGo+o9uv5h6vvvpqddhhh1Wrrrpqde2111YPPPBAsjV//vOfqwMPPLBafvnlR3jk+8cff3y17LLLpr+tscYa1c4775x+P//886vtt9++WnrppcfwdIsttkg2hb5ETh9YbLHFqk033bT64Q9/mPTfO97xjqQD2baFF164uvHGG6urr766Wm655dLYzSPezTvvvB3n7JOf/GS6jwZOHD73Oe6447qe40GC4KOOOqqab775ki059NBDk31/+umnkx1mY9gEfOp3gKPucmj27Jhjjkld9DfZZJNkR1dcccXKtjL2T38V15xzzjmjTtsgD5dffnlq0LXUUkuNdKs++eST0+kATz75ZHXCCSckHRhE9nfbbbfqq1/9auItYqc33njjapVVVqm+853vJBlbeeWVU6fmCy64IF1n3/5PfvKTatFFF01jIZd0qi7ZdVGvIFhDPTrNerF+L7nkkupPf/pTdcghh6T1+Pjjj6d11Sofe++9d2rC9+yzz1annnpq6rzsHt6RHtT0zBzn9Mgjj1TPPfdcxckPOvzwwxN/gE5r3pyRSf4KPYG23HLLJLfWnoaIu+66azoxoVvqFQQbzx133JGCKZ613XbbpXmkz+gh72DN5I22+NN0GDkiM/wHttK9fv7zn1e/+93vqiOOOCK9S07emf3UgBM9+OCD1a233pr0KdnFQ/fUWO/EE09Mv+MjWacn6TC+tXkL/TkRX+oCwewwH4G/qRu5NYfIDPnnGwR5D/rzqaeeSu+hqWWQ9Ydn3sWPRqC66SPvesMNNyTeIs/Sp4U+prsvvvjiapFFFhm5F5/k05/+dNLRdB7eLrHEEkkuyae1Rj+EfYkv3nnnndVCCy00gn/ch+3593//95FTQsim8ZNLjUrx0X3YOON+4YUX0jit+6lQAcFzudfPPcEWuEXd5HEFBQS3XxYahDC46LTTTkuKjaKMDprXX399WoitZPFTsJQEA8Wgrr/++kmJcugobsrFdQcccEBS3joCUqYf//jHq8997nNJUTtqZq211prKmp2R3y0guKr23Xff6qyzzkoG5b777kuOkcYrQZyl/fffP8lRP2lQIJgOs14Enxh068j/OSyAIjC22WabpYZdnMB+UlMgmKF3nMbNN9+c3o/e4FDcfffdFcePbvEvR5h8+NHdkp7BCzzjPHLSOpF7agay7rrrjlzCKfacM844I+mtdqcKcMI5TxEk5HhxjjjIHB3gm3NJR9KFAJCmaq7nGCMghK31WaesD7sIRLcSQM/h8z2gulP32UGBYHMkGPrRj340gQx88TeO4BNPPJGcx4022qi65pprpuy49SrrdYNg78MhJ4uCM+bz9NNPry699NIEusjBKaecktZsHvSl44BAMgHwkAfgl221pskO2b3oootGXtG8c+KBmwDBggrbbrttst/WBJkmiz/72c8qNh7YDjkPQE0+gSNAsC7qFQQLhNNnfjbccMME9ulzASbviB9ArUBUkISJxpH4A1jgsUaFG2ywQXXbbbclXpI5OgloC6ILHnvssWqXXXYZ+Zt1SF+6j3tGkB4P3Zcf5F74hwANwQZjsP67oV5AMJsGDJlb65mc0vH0Brmho6666qpkEwUDg3bfffc0z4DSkUcemYKjgBK9CPSRGeANb3M94/QXfFphhRXSrciLoAPZBbYcq2ZeXn755fR/43j00UdT0AV/EMBORr/xjW+MJETG40sdIBhIpDs8k25xBJUx0IfGLBhMfyPv/MYbb6Tg8B//+MfE00724K677kpgXlBFsE7gDoiFTxD54usKQgkWCESZHzwVJDnppJOqHXfcMQFTwVWA2HxZmwKmrllvvfUS0M6DT3QHm20+EDlg180NXUAnmEcBMPd3L38TIA3/x7y4N3A+lc7OBQTPld5+gmAK/hOf+ES14IILdqNTJnVNAcHt2RYgmGIyB6LIOVm8DMMyyywz6u8iohSiKDcQbFFyxBgUQY1w2iLS6ssM7uKLL56iaaKZADZHlcIqNJoDBQRXyVkhn50im7MNBLeuEY6K6D4jGZFqBlkQSsa0n9QUCH799dcTCBYMEWSLszYBW9kIuinAMQcBkABcgVMAbIcddkjBPTIkW04fyZYFcUpUs8jUsRGcG04uHeV+l112WeJlLyDY0R9AsEh+nsHzTDrTeLfeeus0BM/n/HCY8oxCPnedQLB3pTs5qOw1J74dDQoEt46FE0pm2ZI49o1NwBPz2U+qGwTLSAJtwFo43+Rn9dVXr375y1+mNcnmsa9ASlA+t4I3ZPChhx6qDj744ARoEb4JsARNBILZcc430JQDHkBZgBtYRLLBsq+yw3UFzXoFwXhhrXh3wQAESADsSEUHUCKoFVVAgALQG9UZbATAAJhFIgWIpBsAkKDxQLAgq2RAu7PfBchuuummkfvQLd6z24qbXkAwYGMugCv6ju5DEhFkVtADT6whx34GeX86EgFpgBIf7Fe/+tXICRPG6x3zwMB4IJhv53P6L5cjfASA8TtIMIduJU8TUR0g2D3odDoWgA8fgR4FAOkZgaic6EgAWRVNBCHzz61PayeywPfff39aQwIiAYJVZQhmRfWjQIjsbDvQaX0JPAhEAM8C9ojsCnTkYxgPBFv7fOVW35ysqIjI9b5rHE8WYHqiuWj3eQHBc7nSLxBMAX/3u99NQtvk/ocCgtsvhwDBImvKSVqzakCwKG1ECvO7cL5lXgIEi5qJzMlSiRqaWwue4yoyJkIuIxLnB1LaopUFBI+dmwKCqxRM+da3vpWMOkeSg8MxCJrNIBg4E0mOcrYo/ZNV40TJOPWTmgLB3kHA7Yorrqg4JQAqnbPPPvukTBenxTYMYFlJHDAlsOb/wKFyNI6wCDknWpBABiWyvnQVnaU8GjiVCQBeAqjQfYIxvYBgQIODAgxxWDlJQI2MSisI9n4yVxwwzks7UlVjvICjH0CdTgW8lEzKftDFHKV2NGgQjMecQU6gQKnMXtgAJYOcuOkOgvHdfLCh3g/gUBbP7kV1FAeds8tOBgnAyGgizrdMpR9yHRVSfgeKgiYCwWROlpf+tGYAYnqzFQSTJUBbVrPTlqdedUivINgY+H9Ar4ABvQa8GSuSuZNFbwXB9FysST6Md6SDYmuXiiHZvm5BsGfZcoEXghCAd1TItYJgMgvUAFTdUC8gOPSdLS6AvHkT7AO8vCMQjCfePQfBeTDF+NgFQQV2M45ZNF4BwTyhMR4IJmf8NYEqGXB6VeCNPLeCYNseZCW72dpWBwjGJ36B8anUsVa8Gx1vvPBErKuYI7JFjvir7baTALiCCbkeZkfo7gDB7Cx5i33/1rqgSCsIxjv3s3YBXpVMggooKoby0vTxQLDvkDcy7VlK9d27HQhmv/CggOBuVuYE1/QLBDN+0vzdlpZM9tUKCG7PuTwTLKsUUey4WimQiB/HUbbEviWZFpSDYFkWmfyIMot+cd44PQy4Rc55Nd+cNlRAcGdpnu0gmBFR3sMxQpS/fVmADZACAM5GEOzdrSVZTqWEnEjrKDLBDD0HLt/3Nlmd2cv3mgLBoul+lIVyNDjIQKCyWrrEHlzOgCyckkAZkMj0cnQ4hxzHyHQpW1VqCbAgYAxo4KhEEJbeiqj7RCA4zwJwzI1H2a9927HPzu90K7DXCoJlnO3RtDey095MTnBrVsO8ezd2mo7Fgzwzk8/dIEEwJ5KdYD84bxxX5YXR+EfJoXLKyJL0InNTubbuTLD3tBfdXAm8CKrILpIlssppJit+j72Lxm/dRk8D5ZX44zrrN2wp5zlKT32nEwhWXUBfWivAd+hN4AeP6Yk8E+w+AB590qmUvlce9wKCyQAdDnQIOgFrAJa1aX5im5WyVz5DZIKtcYBHYF6ARXDd9TK/oQcFFPAz3xeqL4D1n+/H5N+oXhOwB6TMIZ1Ad9AzggStIFhgQdl7Xo48Hp96AcHmxDsB4nSW7WSAJ6CHRwJ1QJ7suWBJkCyskmA8E2xxLR/MfIS8eR96JPe16c0IAroX4G27j+vY3OidIEmiqkYQka7KQbB5BPYAdbpoIqoDBCtvNk/0h3+BYYEn89UKggUL2IDou2D+W5M97KkKhMimxzu0gmAZeUCZrmaXZNWt13z94BWdpyqEz0xWrDFg2ljxTuY6B6oCmPznvByafmdXleoLqLFPeB3bJtjD1kywe6s+mkpvpZIJnjv7/QLB9i60K0GZaCH1+nkBweODYJ9SohZbLCCLmXLrlGHIQTBHjwGmgBBjyynkFMgGIwpUBJMCRwUEd5bi2Q6CGTnKmPEPx4+zJGPG+VA+xzFilBjxftKg9gTHGv3whz88KuKuXCsAEAPPIagrs9MtX5sCweyQtUAWOIXK3/zOUZQJVkUCOHDaZEs5iZxWzgYAQgfJCoQzrAEJRzii8u7DcRJpdz9gEmDFQzQeCJadBuxkeN0n9mNz1o1LkyR795A5u/3228fsCTY+jqf36kTtQDDnLPb4hWPUaR0MEgQrk5TVyxuLceZkZPBGBpAP0O++EHWDYM1zOMa2BbFrwID5pys454IjAsWcZo5xUO7/yO6Ya8BQ4DiyoaoeyFpOAA576/tIFo7MkkPrwx5WTj9HXdUAAAgkqpZQFYGAKGPKy7O7Xe+drusFBAMeAJnAJvCqeozDz+9QfUFmZNDsccSDINkua8m6xivf42PImgo8IBVsdEIOyoAv/BUoRCpIBNVk+cgh3SHbimRi/V9gLd8TLAgJKMu2CuZ0Q72AYOBXFh+Aou/oVfMJSNlmwX+K/aCCoEF+l/m03cz7yVAKiuRl0u3kiF9MdiVDEFkQXMQ3PJTwsM8Y4Z3PBA3zPcH0i0ywcXXTpbkOECzDbd7MvTmRXcWDdiCY38keRtDCXAO8Ocl045t1lVMrCGaLAGr3Emyg8yOg6ntRAh0+r795X2uOvIWdsD7zoCeeCiJEsNO+bLz0HD65IEdscZLh9zdBoHxPsHuQD7IZzRq7kc/WawoInsuRfoHgTvudJjN5432ngOD23KH0Yi+OxcooiAAiBoph7lSmx3GT3Y39EUqPKHB722RDLFBRU06AxSkDkxtcjum//uu/jtk3V/fcT8f7zXYQbM5E8pWnidJzmJW6AReCL5w32TsGLe/024+5HhQI5mQAvIJUjClSLs5xVPpn/fo8b/zSD354RlMg2HsCAOZbBkI2gsPlXWWDOPecX9kOGVW6jLzQWZwGOsf/BfLYAJF2Osh9gQalqZxs2SSBPICB4xidTjmB+Jnvowue+h7nxFgAUU4j/gN5Sjw5OsYs6s+Z4TDRj0ASZ5WTYy5lncYLWnB4fB5zzgnj2AlaAh2cIc6XddHOCR0UCI5sEYc8Oltb03wLgQZZLwFR7x82pF/yWjcIBuj0NrEOZWH5NeabTJERDio5BTaU9yu15XQL8oXjTUaiLJxsC/QBXMYawDX4477kWNBGeSwwEHtUBXTw2X5Q6wCvfR+oDr1pPmSMjI0s1kW9gGDPlPn1rko98UvmE/BQHSjgad35G/mgY1QMCHDhr0ohdgF4sG69N56qrmAnYl9xvJs1ykdxH99T1QYM8U2AaUEC43d/gDP2FwtguJ+/y9bZaiLY2O32vV5AsDF6X8E6cywJQUdFQyeAy5zSifQAXchno4vwjGwJstBbeCbIhichn7aT5IRXAhACIt6PPiInAih8N5WBsq0CEgJ5svAAKL9N0BEPyLVxRr+GiWSpDhCMT95LAs07Wwsy3fSfoKh3iOZXQDK7IHiiSkhw1JitGbwDRvFRwKN1ax6+8XGjHFpwnq3AA0EKwQDy4f7WrsCk4DwfGD/xiHyqAhJYwS+2ih3Lif42FkEfWWXBVbJJTtkQMhtNQQVIBBdluPk+0ema3ol3m2gOxvu8gOA+g+CpTFYv3y0guBdulWsHzYECggc9A52fPygQPLwcaQ4Exztz0pR/tTboG2aeDMvYBgWCh+X9242jbhAczxCIqLPb8jDzsN3YegXBs4FvvYDg4Eds/2gXfJtuMtE63jpAcNxTQA2AnEwgXEBSZYRgeqF/cKCA4AKCy3ooHBg4BwoIHvgUdBxAAcFjWdNUJnh4pWD6jKyA4LFz1RQInj5S0cxIJwuCmxnNcNx1MiB4OEbezCjqBMGTHaEsrcBqvjVhsveaad8rILiA4Jkm0+V9piEHCgge3kkrILiA4OGVzrEjKyC4gOB+yWsBwWM5XUDwaJ4MAwju13qYjs8pILiA4Okot2XMM4wDBQQP74QWEFxA8PBKZwHB3cxNyQR3w6XerykguIDgiaSmgOCJODTYzwsIbgHBOvVpzjDdyUZ2zUqi4+J0f58y/pnNAZ1eNT3Ju2IO4o0ZLE1CdDotNIcD9hJpTORojUJzOKDphyOBNEwpNFwcsG9O87RonDRcoxvMaHSV1xBHE7RC9XGAndD5W4f2QnM4oIO3JqLdNo6a6XzTbOq9731vavxVaPg4YJ+0hputZx/3c6Rv+nucJN/Pp7Y8K7pDU2bdtD0f4FC7erTujDrolT0AXbGrXDRgDjgSIY63GKQ6MAYONCA8yHEMeDpGPd7c6Fzq/MpCcziga6mult0eG1L41j8OCKbpoBodr/v35OF9ks7JuufG8S/DO9LpNbI//OEPqet3fhbt9HqD+kd77733pqN7Bgkq6n+ryd9RZ2ddyh09VWi4OKB7ta70ttAMUl6HCgQ7w226Z4JNrFb8jqyIw9SHS/TKaAoH/sEB8qqlviysw9DjaJRB8IgDLRCmzA0gLlSluZENdmTRIOdmmObCOY2OGnE0WgmWDM/M0CWOOLnnnnuqPffcs8xNVaVjSlSEOeLE2adFXuuRV3zNM8GFr1VKIDlSyRm+M7HT82Qkx7FMklECp8V+ToaDzX3nzW9+c2UPu6rZAoKfeSYJqvPT3vKWtzTH9T7duRyR1CdGl8fUwoGyJ7gWNjZyk7IneCxbS3foRkStlpuWxlhj2Vj2BNciWmNuUvYEj+VraYw1midlT3Aza6+uu5Y9wXM5GeXQBQTXJVrlPoUD3XOggODuedXvKwsILiC43zI3lecVEFxA8FTkp5fvFhBcQPBE8lJA8EQcGuznBQQXEDxYCSxPLxyoqqqA4OEVgwKC+w+C33jjjVTGOhOqkvot2QUE9w8ESxosuOCC/Z7ioXneZEGwni0LLbTQ0LxHnQOZTCb49ddfT6XUM1Hf1QmClVajmcinOmWwl3sVENxHEGyv0g477JD2Pt56662NNu4o5dDtl8ERRxyROhcG2TtGaWuiooPm9ttv33H92Bdp/uadd950jf0dm2++edp/ffPNN1cbbLBBxXk9++yz08+pp55aHXrooSP3M+c6dLqu0GgOFBBcpe6RK6+8cmKM8sXWTq4cp6OOOqq68sor+yo+gwTB9txts8021VprrVVdddVVqRGVRl277bZb9dBDD1X/n707D5KuqNIGfp1RgyE0FJBFZFEZEGWXVdnEBQMmRER2EBd2kFVkC4Vh3xHZCRHZDIlxRIERlR3FwA0YUdkkZEBRwJnAkT90Rif84pdvn/6yq6u6q7rvrVvdnRnxxtvdVffevCdPnvM852SevPfee6t11llnqPLwsCaXQ/MTu+yyS9qac9ttt437iR//+MfV+973vrQXWfE2IPr2229P++g33HDD6rrrrqte9apXVRdeeGF1wgknjMvkzjvvrNZff/3x33M988cDDzywOuOMM9LnF1988bg97BSqokoPPPBAeoZ25ZVXpoJACr4oRLX33nun8fjMZz5THXXUUek7N9xwQ3XAAQeM3+qUU06pDjnkkCnHa+21106F2KIhWU8//XTfY9wmCY735SfOO++8RBDVFuBj6HL4ib5fpqYvNrEcmu9UP2GNNdao6Njiiy9eqYT7kY98JP1OP3bYYYcJhUbVXNlvv/2SntiHt9VWW6U3vPXWW9Oc3nnnnauzzjqrWmKJJcbfXOGpLbbYorrnnnuqxRZbLP39zDPPrN7//vdX6623XvXcc8+l5zzyyCPV4YcfPn4ihu/4F83P++yzTyoQVlcblAT/5S9/GccMX/va16qtt9668rdLL720OvHEE5N9939nU53/4IMPTnMMrlCUz5w76KCDkiz5T1gkb04I+eUvf5kwSzTydRJDzHVzVZX7m2++uVpxxRXT33NyrsCVWhCDEPZBSTB7B3cJ+nkW+2bMVeCnt2zJcccdV9m/Gc3n8NoVV1xRnXPOOdW+++6bPnrooYfGderRRx+dVLDMPmU2NQrE/ehHP0o279prr026e/zxxyc/Q2b0V4Olc9myd1dddVXfRLQuEux9tttuu+p1r3tdGsMYL3VMyOeiiy4alw85fuxjH0tyZYfy8VM1/6abbpqgK7CFxlaxz5dddtn453AvH4Essm+d7eijj07+MJ977PUee+xR/eY3v0k2r7NAL31bcsklq8022yzdzvP5LL5Lo5fGxTP975295worrDD++E022STZjdkWMi4keEykTS+HNoCrrrpq9eCDD6bJrow848VxNNEKCe4uVRPt5JNPTh+a6CYfo2AimZgq+Znwne30009PkxEAZ4xdt+aaa1Z33XVX2lAP6DHI/q2++urJQQMJDBVHjUgwEoiw30ubKIFCgqvqyCOPTI6LoUdyFKQCfqIhRQAkWQ2ztUWC2UoFqMxZAEVQ4Itf/GJy0oJZCDHw43iDYUfGmyLBcZwGIKaQkXdVvVKgjX2iI4AtwKPYkc+vv/766oUXXkgADrAGpMmMTVOsx33yYo+XXHJJtdpqq40TY5+xYQJ3AoSAPSDa2RBezw4SbGyWW265VEndP4B1gw02SASI/znttNMSaBIsBDT4PWR76aWXnvKonkMPPbQ66aSTUt/98x5BimSM3CfIULd50BYJNl+BSO8KjBs3hEZVdcSFzBUNAipXWWWVYU7hNDYIOcBaR6MHF1xwQRpb5IxO8af0lk4IWvGzCExepRvR5Qf9TYAYmTCmdJbuAcw//OEPJwB6hIfPFICJcaf722+/fapCTF8UQXMkz913313dcccdqT+e/853vjPppH4iA8gPG1tXG5QEw30CQeyHgDj7pZoy2042CJ1Al/kU7ec//3m65vLLL0+27sknn0zzaMstt0xzDN5AppG7ZZZZZvw6c/Cxxx6rdt111/G/IaiOuiNjYwXXkD/SoU8CBJ6PZJl7Agubb755OgYqD0xMJb9BSPBLL72U5GDc2SDkUwEpwT3kWEDlc5/7XDqKLieiCLCxREjhNQXfBAIFCdg+yQjj7Z3y5h7+Zi5qP/nJT5LNJE9zlV4KurK3Z599dgrUIJ9sYxA0lZ4jyMMWTdfqIMH4A7uin+aDgM4tt9xSOdJ1p512SvbEXNLg7bZv9gAAIABJREFUgxdffDEFUpF8BXKj7z6na+yUvtMPYwCv8iFIs+OcItCOo9AXdsN70zHBVs2cMpcVhxSkglnMPXI373yPX3bspWsFbqLpO78UY6pP/LuxERBSdZ19gLPZEGNEBnvuuef4ewoKsxts7Wz8fyHBY6PSNAk2KU3wiEyaqMDlVM58usk11eeFBHeXTpBg0VeVs03YvHEmJpwJmjeE1mQTeUWCkV/Gw88MEYcsoGHiIsuaCDXgaAmLqCbDAxBxyqVNlEAhwVV1zDHHpIAMMAeM0J888rnQSDAHaNVFVG3kiIEfBBDh0/y81lprTcqCND2/miLBABMQgmB4r1gZwG9w1kApeQB/v//975M98hkAgwwDEMAEMMOnsTVAcjTAFmnYaKONErkUoUcwAGGZI9k2EfxBSDAQJBOHdMgKGjNZKmQXCWYXZTA0QIZNfPbZZxP47dYAG9nAqLZrLgBsiA1AxnZ7f8C3W2uLBEdfyF0/BRf4fFkMtp+vAKjJuFugtUmdrZsEP/HEE8l3hm8z5gLIQC0CA9f4DhAOuEYzbxEvDTh3vaw/0gxIa/QXGYw2HQmmB8hP2E3zAhEXSAHuY+UVHTenrCDJAfls5D4TEqy/N9544zgxMW/IhZ471hLh08fIcPEJbJ+5ZU74LhyDHIYdFFx//PHH09yONhUJFqCho+5jrGAZQRLzTHZfhi2a78E4SHo/bRASzKfxcfBR2Dt9QDrNEbaOH4SvrKSIJvjHRppTggIyoQgicrr//vunryH//AM7FG0qEkwW9NC5sfSZTRVUQIgFeCQ4NHNZYECAup+zkOsgwcbHuCCEstmCPxqbry9IbieWFaiCU9ncbrbS++22226J2JIjHbKqiiyDBAs2wbRsGLsrSMC+0hm6aGwEo+kqjiPApB/0O1b8GKeNN954wgrIqUiwyuLmgnE0Dgj9Ukstld7DqifBxtye8D2zwdSFBI9Js2kSLGpCUZ3XZ2IDJga5n0hSP4an8zuFBHeXWpBgRl0UtjOrxtiKAEakMO5iwjOoot4MhuUmnLvJzAAAeaJXDDFHxKGI+HMcURafYbf8azYTdia6MBeuKSS4SsQA+JdhQ2xEUPMI50IjwbneAniCBAJUZAPUa5axyUxyhMNsTZFgdgY4ASTiWCpLmWW6gAxBAADWChMZG7+zL2wP8upvbBxwo5GVbFEEUxAV5ADhQEYBaRmVWL6MfACPg5BggUMEA+gBmPk1Y8XPdZJgfTJeiI/lcN0agm68owFpbKZrAEByQAoi2Nh5j7ZJMJkjR1YHCTAsv/zy44QeaATiplsSXrcu102C6amMHZ0DThF7QQ1EBmkAXi2J5B/zLUFWMgC5miyTTJR/Mn4IiObnyDb5fToSbL4gznyyjCm/juQC8DkJpvvIg7HpDHLPVN6DkuBY5htyEMQyH/VVA/gtT5Z5DRKMuLFzMSfNb/qPlAW5EWwQAJPdjTYVCWYzYsks0ud+sWWikwTTWXOQDeqnDUKC6ZGAmZUSiDd7oR9kwoYgW2Ti3RHBaOwVPKXpn6wnW0b3ItOvv2xfLBv23alIMJInIIHwIkZWJiBf5JiTYPcRqBN4sRpwulYHCQ6/QC6CTHwDmxjygztjXkV/kFnysHpMdruzkS89jLPu3YttpZNBgtkN+hY4hC1DrjuPE3ItHTb2gg4y+xHog2c8g0yjTUWCzVPkHo5mX6z64qO6kWBBD3i8cyvAdGOSf15I8Jg0mibBoqIin5YPUBgDi0SJkDTRCgnuLtUgwQwTZytilTfGArhi5AQojE8AREGMnASbrLGHWERWlErELPYcMxgAYWQ0AMxCgruPy0InwXSJkQckZUcYdyQYkIzVIguVBAPJou4ACjmZRxy8xlly0JaEDbM1RYJzAItYArbAgP1pliwCdAJ47AjbAjAjvsA1UMb25ORS0DX2DXaTD9sEQMY+QQHAqUiwrEsAIMAc4EGC6S5ioc+WWsrsAGqdJBj4FiC0V6xXQSU+EpGM5dAyqjID7K854Fn2luaAP3+3tkmwvui7DE3s3aO3mn7721wnwSFvY4XkCkLJOgmuWFEQJBjRgnWiIW2RsbJ8UsbTcl9APbYJIS90K1ovEsxXy1whR3TP95A1hM6qLQHFnAQjOb5vCWxd29AGJcHxTuau/ZD2atr2EfuArX6RbeskwYICQea6kWDvBLfkc4IM4E7zOxqSgoAglrFfXRABGUKwrDzpJMHuYekpQtJPG4QEx/30n+1g52AvuAym4vvIxLv3IsHmlL3O9Iou5SQYuc4DelYF0C1bEzXPhT34FM8hE0TQO8N9/IvsfE6CzW3PEIC0ame6VgcJjmdYCaSmAxuCxFoGbeVDNxLsGvbW+OfZU39nj1wfgYS4vzHISbAxoBdRB0fgNPcBYevI3twXwBQcMw/NaY3u8klW70SzJ5ms8+XQ5M2vCujC0foC/3g+v2bOdmaC2Rd9mg2PKiR4bFSaJsEi20ABA2YSWYrLcTRVJKmQ4O6mKd8TLHImCirri/AydgyACQpo+ZsoU5CQnAQzRCY+R6sxiqLQjCdjIBJt/yJjG8u8Cgnu7S4WOgkG7pFeDhrJsDdU9BRZoJNIIN2iv92KU0zniGfzeVt7gjlwYEhAwFLYyIwgEOZSkF/AaZDCLbORRVzbFAkWZQdY2CVOnw0BHoAW7yhbxk5ZIsl/AIdAq8CJAB25AGwABfnYoxV7CQP8WJ3CltEvABjojL3nU5FgZBzRRiT0B7nxT+BG1tM4yJwgG7JxADldpc/2Qmr6A5jKHPZqOVGK75gPsttAD7CK6CDa3VpbJBjYs7xchoZ8BBPYNXIWjCAbS4GtGhp2Mbe6M8GydohnrMyIeidshcDwG97whuRHLRdV6CwawkxH+Ud6B4gjN8aS7iEMvpMX/yNLc4Dts9cwdE/mie4JZrvez6Ensk+WYQK4CuholqLrr2BSXW0QEuw94T2EUhCPvUdUZUK9n2yXDJrf86yrfc73339/IoVwB7mRs/eSTSdL88v75qSM75AdRZCQGOTEc+FQtsKy61hBQ3eRErqpLxI2GkIoyMUv5Xu7p5LfICRYwMQyXEE9K0SMm9V4yCxiY2UBQhV7XOO5yJDAgZUhxl7CwXP9DTmFsdmRfC+sa9kkQbVY2s2Ou4dgCQyHcPmd7yEruoiUsaH+aeSIWNrL3U+RtTpIsEAJm6mf9N94kIEl8p0kmAzJQ3DU0m3vhcznTWDZfucIJsdnnSRYHQr3UMvAHm3PFLyKRqfplyB0BLHMwXgmny0YyF7ke8rNRfe2ggPOtt2QnzfHzVn9iqJ5iDqd5OvMmQjYCgazM1MFVPuZ54UEj0mpaRJsUgEQlq1wHiYsozbbyma9BrmQ4O6SyatDm8AyGaKfJjrwJPIkCtWtiUZxHgwfI+t3xsjPiIrKkwyQZ1jSw/FwajHGAJCCF7OJWvUzqefidxY6CTZmHHDsBQX0ESCAmp2QXTOnRfHtKx9ma4sEA0jIIGIhy8P5A0ycItkITgFtglFNbSvpJeemSHD4CaABeZLhAAjYKuMO6CvOBxgDa1FdUxCFXPgVGTkEDEAiM98lP0E6gAWQtizUlhxgiE8KgCuo51r37myuY9eAdeSZ7KOqNHBJfwEVvhT4BLABbvprOXbseTSuUxUyQRABpsieAp1AE+IPkAJq7gWEdmttkWD9NUZICXLDpgGt5ItwIIoynwKseaGyYczlukkwYI/cGguZNuDVXEVeFGySnTEnvbuspgCGZfxWNljR4XPBZ0ES/pMuIToCfUgNIpQ3gR+rHpBIOku3BMY0fphvpZeygpYJ6wN9tIWJf0fmfCbzlxePmq3sByHBnmVfKwyBuAhcyarRactq/TO3zR/6IViEsNMrcwJWsbyVbZBxQ1wRPnIxXxD8HE+6zpgIrCELdFIm0dxmT9hVOhnF85Ai88rcRLDZIsSHHGHXfm3sICTYMxAbBMi8YXsQWVuD+D798zObgaS7t0BYFOxCvNgH7whvhZ7RyygcmI8xmSBlvuvZ5Oa9JTsEGhAixJuu0DH2zbMRSvIiXzou+NDPUmjProME66uAETxJX8iJ39Mftti7mluad4zAqOQbX4VEBhklRwFNK1HpUd4QWPoZQSh9h4f5C+/tH/0RXLEKRKBBsAvp1vgRmBi59XdyJke+J9cfeJuO8VtsgcCQOS7Qaw7IcAt4eW9+kC3VN7aG3N2LPtt+47361c1u872Q4CGR4BA+IEFJGaWmCLBnFRLc3b1FsYP8U2PCEZjIU02mqJCYf0cUyjiGEXBfk1g2hHPKv+vZAiB1FeWYrQMfpesLCV40GpwOgCQLGGANWKKjlhS1cSZnWyQYKOYk88YJmm/2gXGKHHJ+dMawdLopEhz9R/YBYQ4+sg2APKAgoxhFpYAJusGm5AVgyI29YpeAWj4HeAqdEkX3OwCSF2d0jcxtL5Ia15E5H5bL3meuZ+P0URPMieM3ABogaTq/x34GAQ55INdsqvf3nkg9wNTtXm2RYH2NuWqe5svS2X7j122v9TB0tm4SHH0W+AXA6VmMBb2iCwIfQDCZIBXx7uxbHHcSyyyNJ7LTKbdcNqFf9KjTt4bdlE2MIHZuP/StCdkPSoK9D10Q2ELeo9J6zG26HX/LsUq3ue9essZkaS6GLDv1yV56MnPvfC+nORZHj+V2FAkP3GI8+q0KHc8dhATHNTLP7JDsX+hRvLPxjD3cbAO90j9E3vt32jDEnc3sNd5xX88mtzwgRVfZGH1RXE3jZ+ivZ8KJodf9zts6SLBnGUMBTn3MlxbzAeYUOUTrnE/6bYuJFTrkSbfoWee2ADoRheXiXu4P5+Z2nTz4Er6HXY7Gb0Q/yNFnnX4ivut96B+5uib3Oa7zTM1c1/SNLsc45HrR71h0+14hwWNSaToTPJtBmsm1hQTPRGrlmrYkUEhwW5Kf/rltkeDpe9beN5omwe292dx/cpskeFSl1xQJHtX3HVa/ZkKCh9W3tp4zExLcVl+H8dy6SPBs+ooEO6bIyoDSJkqgkOBCgsucKBJoXQKFBLc+BD07UEjwZNEUEjy6+lpI8OSxKSS4GX0tJHiyXAsJniiTUSDBzWj//LhrIcGFBM8PTS5vMaclUEjw6A5fIcGFBI+udk7uWSHBhQQPS18LCS4keDpdKyR4Ogm1+3khwfOUBNvMb8N/nD/XrpqVpxcJTC0BFf/sbVIko82mD4rYKGBS2iIJKG6kerAiFKUtkoDiPfa3KphS2mhJwJ5AFUzjqJTR6l07vVFgyf5OBWtKq08C/IQ90PkezfruPjfvFJWqFTcqbdGeYlW77Z8tbfQkYIn4v/7rv046+3iYPX3Z3+Ig1WE+teNZsSdYdcx+yp632NW+Hq2AgGMZ8gOq+7qwfKlIYMgSUOhAdUAFH1S7bdMcKJqhsq3CJZ3FeYYslpF5nAqvDzzwQKqA3ubYjIxAqipVulWYQ8XQ0kZLAorlqBbb1PGDo/W20/eGfRUQVxSpBG2ml9cg34AbZfr6rRQ8yL3n4nfpmsrBjq2K4nhz8T3q7LMiTypeqzRd/Gedkp39vRRhU6AOvsmLxs3+zoPdYaRIsFL784EEq6yGBDuiobQigVGXACOkoqGy+G06CiTY0RsyJqoXllYlB+Fokf3337+IY0wCMkCqpjqWpbTRkoDqppZEx/mwo9W7dnqj+q7qq1a5lFafBAoJnihLJNgRVc6KLiR4kWyQYMeCOSaotNGSABIM78E3hQQ/9VSK6jtaYqozDEdrCHv3piyHnisjVfpJAvYEW4rsPMI2mz44y9m5vKUtkkBZDj1ZE8py6NGdHWU59OSxsRzasVpHH3306A7cHOyZs2UdC1aWQ///wSuFsSYqclkOPdoTu+wJHhufckTSaCtq6d38lkApjDW641sKY00em1IdenT1tRTGmjw2pTp0M/paCmNNlmshwRNlUgpjNTP36rprIcGFBNelS+U+RQIzlkAhwTMWXeMXFhJcSHDjSlbjAwoJLiS4RnWa8laFBBcSPJ2uFRI8nYTa/byQ4CGS4Mcee6z61re+Vf31r39NhQOWW265xkb/3//936tvfOMbpTp0h4RvueWWSvVCzd5T4/Hwww9Xr3jFKyrVDH3293//913HhcPbeOONxz9n3K688srKPlL7z7bYYov0syIkluStv/76Ew4nV0xn5ZVXrlZaaaXGxn2u3riQ4Kp6+umnq6997WvVn/70p2qNNdaott9++wnDaVmVCs0777zzUIe5TRLMjt16662psu0HP/jBaoUVVkh27ZFHHkkysG/7qKOOqhZbbLGhyqTJTDA/8cUvfjG9z8EHH5yqULNVd999d6VIGfuk8vHSSy9dff/7309Fushn1113TfuU7eH+zne+M27j9txzz2R3or344ovVpZdeWtm/p7FTUTvCNgB2UNGvznbuuedWhxxyyPh2Id999atfXb3tbW+rnnvuuerGG2+s/vCHP6Rn6Yt+Pvjgg8nGepZ3WGuttarttttuyrGyR8u2pGj/8A//UB1xxBF9j2+bJPiOO+5IleX5dvsijYctFl/60pdSldjwEyH7vl9qll+sOxNs3t1+++3VaaedVn3oQx+qPv7xj1evfe1rU5Eo2yfoA1/57ne/e4I/ffbZZ6ubbropVVSmcxtttFF6s/vuu6+65557ktzYvVz/4CX7TPfdd9/qla98Zfq+7775zW9OvtQ92c2XXnop6aL+aCqEu2/4ejbVsmW+vq42KAmmA+Y2f3fsscdW2267baqFwa4//vjjqcYAvenUj9tuuy3Nfe/r/cw7MmYLLce2hYe886YujLluzkW7/vrrK/bAXLRP3La5V73qVWlOvulNb0pfO/XUUyt7JTWfmcvLLLNM3yIbNBPM3hlf2xDVndAPRTL1j51fffXV0zvnuIyewVl85tvf/vZUADYKbH77299OY7zLLruMv1N0XtGu3XffvVp22WXTn1wP/8F99IcNo0/el5z4FUVmr7322nEbxge5d78+py4S/MQTT1SXX355mgPmQlTfdn9zMfCC+WdlazRyUeizs5EvuYVcFRRkp+iGAqUKC7JnipbmtliBTGOlcOg111yT9DCasdttt92SvOifxlYceeSR1eKLLz7+PTK3PYNv08wL78DHm+9OozAO9pV7L+MFW/NBoZvmgNNEZruXt5DgsWFpejn0H//4x1RB0EAb/M0337x69NFHazXIuZIXEtzdZn/2s58dL1BgAt98883VRRddlIqhMcQc6x577DHpYmCTowFofJfhef3rX19xghxFlMBnmIEBDp5j5lyAVYCRYfE/o13aRAkUElxVBx54YHK8wNrVV19dcUoASTQEA0ggq2G2tkjw7373u0T2PJ8DBK7swUN6c7kggMMmFU2RYIBYbQpgBGgAtgBB9lzRRjaLDL761a8mYCGYeueddybA4HPg4dBDD50gH/YpL/aoSIuA3brrrpvUCKBBNJ988snko4CtboE69k7VZffT9AU4UXF46623ToAEyaC7//Ef/1FdcMEF1Q033JBAi8+1Aw44oProRz86ITjYqcuHH374hOCtsTXG/ba2SPAzzzyTCKA5yt8Di8iN383rFVdcMfkJoJosh9nqJsGAr+MXjc1+++2XfJ05SS8REPqFWPh7HuwH3vfZZ59E9gTzBKXpPBkJzCCI7J5KutF8vt5666XiNfRU82yA2d/J2c9IoEqvAPWZZ55ZnXTSSdWWW26ZvqPRu09+8pO1VsgelARfdtllifgLniMbxx9/fPXQQw9Vzz//fLXjjjumgoz0Pyeu9MU7XnfddanAEnn6nnnnHZEh2ETwBTGIxmYgmEhsNDaUTprHAmyOJlS4CR71XQ0pMG81uIcNMib9kr5BSDC7LlAk0On+CI/3ZdMQVH0nIzoW9kq/jLM5RAY77bRTIofm1gknnJD0SxDt4osvTpgub96Tjq222mrpz3SKzjoV5vzzz68U1TvmmGNSwMHfBBN//vOfp+JJ55xzTrrGGCKA9tn30+ogwYIC9IbfMV6CkbAkQiyQgizSDw1GRSSjIbudmFZQxTgJuCPBsMU666yTgkvstdoBdJTf8GzNvOJf+N8IanpWnKLhcwFZ837TTTdNQdtonT4a7saD3vWud6WveL5nej8cydjxL4I4fJxgliCFOXzVVVela3yOFNOX2bRCgsek1zQJZpAYOxFTTWEVYAcxaqIVEtxdqowkR8JIAGQmet6AFQY1gF58BpQ65030ltEwKRlQ4M7kX3XVVZODBkBdr73wwgvJOcmG+JuJzmDJvJQ2UQKFBFcJoDHqwABwICotah2NYwcGFgoJFiQEkAJEm7uIH4AM6AAsG264YWOBxKnmaFMkGHkC0Iy94BmgICsG1LNNbAr7IxsBDIm6A4xICaLDTtEjwFEkHqnNgbF3QlbIDTDhg/wPDAG+CLBgTL8k2NhstdVWyY/JwCy55JJJbLJwiJB7IvOR/QWmZQvY0s5+hbw/9alPVeedd94k8SOYSJV5IDOEGHRrbZFgoFQmMt6LrQcajSMgLNiANCHLOTEZhi+omwT/7Gc/G1+tYKxkdgHxHXbYIQWtZGd8xwkV+bsiXgiFZjx9z6opwefQEYEvgZRoQYKtcAgihgQjTIiR4ItAtnsB7PTQvRBEweg4KgtgB/ytTAgyPVvZD0qCkQPZWCROFl3AwNym8/pPd+ES5CsyXocddliSK0JPFsgCG4iMhCzNe4SBfYw2FQkmAyTl7LPPTl83VoKvnklvkdJoiOQb3vCGJLt+2iAkmN6wb8iTecIW+Z8f5OvYf8E5cx1xi0aPfMc4wldwHHkgV4IIGr3wfvmqAqSL7c5JMJtCnp4nuADLaVYsCOohwYhvEGq+2X3YtshkTiWXOkiwsQ3doTOCj97rrrvuSrbbWCLxeUNO9R85JtNoyKRzcdlocuNP6JW/k7cxEViQ0PF7NEEBK3JiNUb+LO9I1uwMv4R002v3FITqPHFH8IudDBLMppO9sXGPtddeOwVfNJlo/sr8xZ8ELTQZZmPG3+UBkn50NP9OIcFj0miaBIu8iWA4L4ySMBRAHZLURCskuLtUgwSbdKLPEfGMb3OsJnMYyfwuzo9lfBkNy5A4MyBQRJdhYpRNfPcFBk10YC2O/BFJBBg32GCDJoZ8Tt+zkOBFRxFxAMgDJyBqnWfAFhoJzhUaOZNZBHYRPDYUaJQtBgSHXdG/KRLsnUXj6QE7wZYgVoCxoIDltACrzwXT2Crf9/4AsCNwgECrUYAgfgChCCAo+CcbJxOHcAMYMhoAtuZ+SMsgJBjRsJSTb5NNkPHk3/ShkwR7hgAjIhiEudNwWQ6KuOirf/rjnvomCKnfgA8S1a21RYLzvgh4yyYhY8svv/y4DxCsAOJkcobZ6ibBACgAjcip6E8/jacMZmwvksnjA41VNDoaYP3ee+9N2Uf/ZHtihZSfI6vluulIsPlghRegbK7wsXQPUc5JsPkALFtJ0RnknulYDEqCkQLkzEoJ8w5JEZTSVw3ZESSyxDlIMKJgeWnMSRgmsmZBeumaTHoePJiKBHuW+wgqsA2y6Oau1kmCZamR8r322qsvMQ1Cgt0QgWPTzXnBTWMoUeEd9Y9MvDvZRUN44S3NnEKY+AfLuwVRNP2ln2xHtKlIsKAqkkUWgox0R7bZPXMS7F7kbhz7OR+6DhLsmTKkbKyMsGfDCJp+I/GdJJhtJ5vY/tc5eLAsTJsvMxdocC+BANnYILzeny3uZbfYZr7HHPZMAQPjRYeNn3vlPnoqEpz7KLbTsZmy/J0kOHRHVjrIdF8K2vGlQoLHBNI0CUaEAH2gRhSHo7dfpqnD6wsJ7j4d+iHBIl6WDMlgiIBGhLqTBJuUsczEfWXtRM4Y0SAsiG8hwdObpkKCF+1RBy5FmgF8wMhSn1jqu5BJMFAEKHHYZBSOWwZEtpQ9HWZrkgR7D9kNWS02RXYDqAAKgUEkEDBAdoE1PgTAFxWXYQLwQz4ycaL6sYc6dAw4oVeCCUimbIg2UxLsWuDFqhiZaZkGWdBeJBhB6nWOqGxDLHfXX9meWH0DYAeZkT3q1tomwUgZgiejLnM/H0lwyF2W0nsCkog/vcxJMN3NgXOe5Scjeim4g7jMlASH7pkv9A4ZtIyXDnUjwYhrr1UIg9qQQUmw+7NfMpsIlP3z5AY/aIOQYDaBPDWERzBwEBKsH2RGR8lf5pMt7STBPpc5thS1nzYoCY7+y2iy4+Y1uyHgNQgJtt+X7uUkmA7kAb2pSLB+sC36YQ4bIyv+JLA6STASjmQHEZ1KLnWRYLaQPTcegj5WXNCfXiRYlhoPEBDq1rqRYDrhOXSBfRYcpSPe0zyNwEx+PyscZXtl7Nnp8DHxs+QfG7jNNtuMXzYVCY45YhzgH/f2czcSLACsFRLcz8yc5jtNk2BLDCxPE2GhaJa32JuQR6lqeI3xWxQS3F2aQYJ9imRw4rHkw7jIzANxjB8DzFlaMqjlJJixFZkLJyQyyKiYtDJ4wCDnxmgBCVrJBPfW8IVOghEbxStieRtHQvdkzIA6WQPOD6BcKMuhaYuljQCJTBN5mKMCBBF8ss3AUsrYc1qnDZ3qXk2RYBkiWVXL15BZyxJlbYFjmV8/C4bYA8nxx75IfUUeZfwAVtk0TRYj9moGuLDs7JRTTklBPvIky8iqTkWCkWxLTGVH6KeMchBx9g8oj6JDlm5bKQPMythHNoLdtDoGsOwGqPSx23JogSGrdJB1S+vs25P56dbaJMGyKPQxlvLpNxIvK2I8kRSAcNj6WncmGMn0HoIuyIfspQwrnyqIDHj7ThTZiXEScInVV8ZPAAc2ArAlCDTkg82LhpgIBlllFcWb6Agd4LttQUJSoiHkAjBWjfjZ6gnNvnnPpON11RAYhAQjQ7LiMuj6z94jA7K+sulIh329suAyZ9FHfZZFgyPgCnOOnyCTWBrqXsiirZNGAAAgAElEQVSnJbPR4E1LWiMIYSsCjEL++oEsyp5r5OV57pmTYPZBZl2fY5nwdDZ2EBJsqbHVPPSFfZcVVgjLyp8oiESP9Nl4RpMxtgzfSimr8qwmoDf0EUHUZHXpUb70XTBVxpvd1NxTUsr+dHJSVyECJLLIbCOSl5Ng+ipbzTf3swKpDhIMR7Jr9n+bD8hf1HXoRoJl7yVj8Jpeup6TYLrBtoeMBSLMXc8wb8g/sG7n+OuLvtFhDU6Bn3EczRgI+LhXNOOOo/ATGh/P13uGv/FZ7KjG19JT+icDbh+7hpwLusle9wqoTqerPi+Z4DEpNU2CARcEi/GhcIABYFeXMe4c7EKCu6u/6CJnqgGcDL4Mk3GQVeLAe+3ZRYIZWiBM1kOUDNhElgFAhsNmffdlaIFAoC2yMp5LB8Lx9DNBF8p3FjoJNs6AjKqUwCUHC8QAQMgOoOdnZCOqnw5LN9oqjGWvIEcqABDFN7w7smdZIwDMOfvXueeoadk0RYI5doSRbfFOCC2gjAQDcJacsS+WDgJiSAXwwb8A5OwPIGMZm2WOUcEXyOQT2B5AE+l1L8DD/7H3nP1zz7yadMgSyQESZUAAd2AESddPBJlNZE8RPvqrv8ZGMFCWD+m1wgZItbytV7PPWUYoxpz9tGwUuEYEACygi1y6tbZIMGAHhANVZIFAeBe2DflH4BBGe4frWo7br57XTYIteUQkBGuAW0Cc7liWy4/aIw4ce1/NmNENQYKooaGmBp8KbCMbVlzJaAK7sFHe7H1EDMnTs11L1zX6xAfTKYTKKgp9EOihO7Y20SWVbtnR2ewf7JT3ICTYtd7X6guyiRUDSJYAOf1GatkWoN72GFiEvNhB89w+Ttlt84GM+At7edWYMdfzwJJl5IIxgvJWtMnK+52cBdoQDkSY/BFJz4VLZd5gIvprxQYiDdv0a2MHIcEyfHQlfBp7Z+m1ZAJ9MpcUdrL0GVlFeNgrNkzW32pK784WsXGSGvRHUFmQL/YHx7ghaK6xrNj70SH+zbXGgD1ky9hhts3nVivwOWxPVKBmn/vdI10HCY4gIPwYCRY2HME39+g63YomkOIzxdY0Y+x9XB/76mFZviLwKb1i+/kOwWXfFxAwb9irCCa5n8BEBFwEvvCa2HJDv+mVQJ97CbCocZHvJfYO7AYddm9BBmSZLhtjv4dPEjiku64RNIstAAIf9Nj9Z9MKCR4SCaaEjJIIDWUwoZsiwF6pkODu00IAIi+UYEwAOgbRniaRvV7jAmhaLhSfu4bTZUQ4Iw7I30TOjLf9wvnEF0HkZPqtsjibiT3Xri0keNFSLM6OntARAJOu+RvnLerNKfXKoDU15m2RYEAGQMyb5b/mFnlwtrKSdR550q8MmyLBno9AAclAJ6Dh/bxzLF2kB2GH6EZUbmW/wgYhouwVWxcZX0Q6IuZ+9h3XsEn5knvgqVvxE30wJu7rOexbAGO667PIeAKVvuN3z4rG702XPWE/gwC7Tt8EhgBmtlqfyahXVfC2SLB5C/DmzVJMcgNU+Rp+opts+9W7mX6vbhKsH95H9kwGKfxfvCu99DdjbZ7SUWNoXI2hscz9Y9g49s24drNxobOe7V657gHIPqfrdJzO0NM4asvvIfs6cdegJJh8vL+Apz2cCIC/kQcZmdexfDV03fvSK/qV+wCyZB991mtekb2ggWfkdsM92RN4VMvHQgArGnmGXelX9wYhwWHvEC26grAbV/2lE+ZNZImNG7wVhRLZFu+vfxFU8r6+Ezaj23GXZO2+Wi432C30iM3lf10fuhnvH3rdrx7VQYJDToIgbB8yG+/md7qfF7+i9z4PuZCnILoAZvgA+hZzxf29P13xP7mEX9V/P+d2i/zieZ7dOWf1yXfoaO4nQob6E7pJjuGH4vN8jMLHuxffEM1cqeNkiEKCxyTadCa4XwNS1/cKCa5LkuU+w5BAIcHDkPLMntEWCZ5Zb4dzVZMkOEAvIlBXFdvhSGU0ntIWCR6Nt+/eiyZIsCcJRg1yhuwoy2gmfRuUBMczkM84q3Ymzx3lawYlwd7Ffk+kbT7au7pIMDkh6Vp+5m4/uoB0CjRY2t5vRr+f+86H7xQSXEjwfNDj8g5zXAKFBI/uABYSPHlsmibBo6sNo9+zQoInj1FTJHj0taHZHs6UBDfbq3bvPhMS3G6Pm316nSS42Z4uzLsXElxI8MLU/PLWIyWBQoJHajgmdKaQ4EKCR1c7J/eskOBCgoelr4UET5Z0IcETZVJI8LBm48yeU0hwIcEz05xyVZFAjRJAgi2JigqDNd56oFvZZ6TwhuI1pS2SQCHBhQTPpblQSPDk0VJczh46x2yVVp8EFIuzV7ffIkn1PXl071RIcCHBo6udk3tWSHAHCVYJr41CK3UrDSDAQEcJ8rrvX+5XJFCXBBRGUO1RMQRVLxVmaKvZc+PoDZUK8+I8bfVnFJ6rSJPKoyoDx5nXo9CvNvugiqi9kHG2aZt9Kc+eKIHf/va3qfIucFP0dVFhMdWS7bdU/bXIpJ4ZQ66OrlEQLq+cW8/d5+ZdyETARbXg+brnedCRUUDOKSIqWJe5N6j0mv2+fegCgzCOApFttZf9bQQ0IwpjKdU+7OqrTQheZUFV8pQcL61IYNQl4NgX1QIdZ9GmOVDVUIl+x9QUErxIawTUHFkxmwPpR13/Bu0f8KtqqaNHShstCVhRomBTnDM5Wr1rpzeOHgLyHKtVWn0SiKrfxQ4skikSfNNNN6VjiIZ9DFh9o1rvneAIMnHsW5vYpt63mh93w/UcyYX/FRL81FPVW9/61lRSf7ojHObC8P/0pz9N57s5w6u0IoFRl4AoKfDqMPQ2mz5YDv2DH/ygzW6M1LOdR+gsPme8lrZIAs6mdO4rXSlttCQA0DhK5KMf/ehodazF3jhL13LoT3/60y32Yv49mp+wHNoKptIWSUAA2XnZJQi1SB5WlznD2gqV0kZPAttss006c7qQ4HlGgssRSaM32UqPekugFMYaXe0oe4Inj02pDj26+lr2BE8em1Iduhl9LYWxJsu17AmeKJNSGKuZuVfXXcue4DFJlnOC61Kpcp8igcElUEjw4DIb1hWFBBcSPCxdq+M5hQQXElyHHvVzj0KCCwmeTk8KCZ5OQu1+XkjwkEjwfffdV2288cbjRbcsu7bMUDEgRQTqLsZVMsHdJ5YDw/MljP/5n/9ZXXvttaloiCVNK620Us8Z+cgjj1Rvectb0qHu0S655JLqf/7nf9LSu6WWWioVdXrggQfS0lF7QNZee+3x79pXqa244ortzvoRfHohwVWyBeTw9NNPVx/84Aerddddd8JI+fzqq6+uDjzwwKGOYJsk2J47RcrsFd9hhx3SVhUy+tWvfpVk8Nxzz1VnnXVWtdhiiw1VJk1mgi2fu+iii6rnn3++OvXUU6vFF188vZs6DwocsT8HHXRQ9cpXvjLVfbj++uvT3mRFj+xxshWG/fEzAHbAAQdUK6ywwrh8+J4LLrggXa+tvPLK1e67755+fuKJJ6rXve511ZJLLjlJnocffniSdWwX+slPflK9+tWvTjbRfv6vfe1raf/4+9///mqDDTZI1+vLt771rbQXznfU3FhrrbWmHKsrr7yyMu6a6/Rnv/3263t82yTBnm2O2j+/xRZbjPv1a665Ji2bDT/R98vU9MUmMsHG6KSTTkpzkz6+/OUvT3UU+Fjk0LvaMmCfaDS+8tZbb60eeuihZMde//rXp4+eeeaZyrhvuummaT9pjofUaTjxxBPT1q74+ze+8Y1qww03THr/5z//ufI73bUUd7311kv3/N73vpe2tbie7vHH9kTn/ZmteAclwfCB+QoPkp33p+MPP/xwegdZ1PXXX39St5588sm0JWXzzTdPumVue6ebb765gkv22WefcVnGxfCGJbhwZzTz3jzWXGfOvvGNb6x23HHHhIE0S+fD5ij+97GPfWwC5plOZoNmgvk1doVsjjvuuNQPMlF34atf/WoaUzLJx83ntjzce++91S677JJskPbiiy8m28ZmkEm8U/QZ1rP8demll05/IqNHH3202nrrrdPz77rrrupHP/pR0pPtt98+fefZZ59NGFGj3+985zurLbfcsm+Z1EWCFWAzD5ZffvnEGeLd6MGdd96ZCgFqbD+7G7WNjOVhhx02adgUg6JPgWfd5/zzz09jr6DuEksskfYy05No/OzBBx+cfAd5KZaZ42FL4I3HZZddVv3hD38Yl/F55503YSx+/vOfJ59tmbgW2IeuaU7nYEfWXHPNNF6eZ57Tk/Bb5FDHlpdCgsdGt8lMsP2Oxx9/fKpYSXE5gne84x3VzjvvnH43Ec8555xajXMhwd1NNTBw2mmnpQ85YpMuDO+ZZ55Zfe5zn+ta6ZGhRJJ/+ctfpkmv4h9jwDi/5jWvSSCSAWaM7Ifh4Iy7SWsvluuABQS5VJSdPDaFBFepqibHwiFz/sAEBxANeUEGyGqYrS0SjPSZV0cddVQCIvbt3HjjjdVee+1V7b///klWAC5QGI5xWHJpigR7H0ACyLFHCYhHfJF9Dp+t+v73v59AIhIBjF144YUJVCOn/Izq5nQICCKjddZZZxz0kQ8Swh4FGQXE1cPghwQaAONuwUDfc10UvEH2lltuufSsQw89NBEUgNV+6d12263abrvtqhtuuKF67LHHEiFkN9lbtSo6Azz5uPmOf1El3thuttlmfQ9tWySYjzjllFOSbgKrO+20U/IRfABAaBz23XffRPgAzGG2ukmwuWms6cS2226bfN+nPvWpBFy9u+eRBUAuOBxNQIYdUy334osvTiAbsWDr6DawTE5nnHHG+DV8LWLLd0awCyEWKPT3I444ovrNb36TiDjbqF/6xAd7tuKg5pX7X3HFFeMBmjrkPygJNh/UnVB8EbH95je/mf4nL3KjH8h7XmiLvJABJJh8kHnyO+SQQ9IcJ7uPf/zjKQCVBwNhQHNPcCya7xoT9sScNFcVkTPnJWUQTaQ5SCm74pQR49SvjR2EBCNe7gt7sR/0B7GHzY488sgU+GALySnfYwxb+UcGcDRsjbD72dgL0CCNdDBvgizsKSymKRjH15599tnpKEA/u6fq/4g0nXZv89i9yJtesU/9ErA6SDA5GXN2UJD0uuuuSzLiB3AHAQP6oSHAkjvG0r842SHk4Bq6QU7mDbvsnuYPvOGYSHqBJCtYKtAaRJWvMRYCXuyzgIFrNf/TFXqsn2QaPpqfymstGWO4OIpt0nF+3nMFV1VsPuGEE1KAAqbm+80bGDzqHNFj8xpmn00x40KCGybBJhBFYdSDBCPcFIzhCtDz4IMPpklXVyskuLskTayTTz45fSji6feILpuwW221VYoudrY4HubYY49NRkN0zEQGODWTWFZExE0Wh/HhaFZdddXxcwTf9773pftHlqSusZ4P9ykkuEq6yMHSHY6IkUcmoi00EsyxA0iixWTC+cliALMizW22pkiwMQbQVKwUIEUygQWgR+CUPWGn6IcVA4AZ4AaAbLTRRgkYkZEVKr0awMkO5RkiAAOY8D/A1w8Jlt3UP/cCLkXvg3izof4O9CPziImmzzJ4CHevApTAr4xEZ3MtgqQ5Ui0yfp3fa4sEGwPgkM4aH0Etft/7+wxBASD5jzy4NQw9rpsEwxfAqoyOsfK+9BQhtXpBoASZ895WBkRj34BkzQoPRwsB7Eg1ska3zfPw0b7XiwTL1AmmeDfPZCMQDqCZvnmWZ5s3mucgLzKuxqmONigJlrEUxNJfRJMu6L9/5EeebItAemQ+yYkNFGyKlYPsn3kCa2jmO6KcV/CfigTDLkhiHKEpwECW+oMcCZRpxgMhIet+A1GDkGBjIitLl2QgZffIwfsJIvns8ccfr9gaGCyaAAjSam7JCLM9AghIVBR/02ffiay2a8mHfIMEe64AgHnqejaQ7iKKZEDm/JD+CKBodF0A0bX9YPY6SLD5YYUEe2o+yN7Dm2QiqYLodrOZMr2Cjnk/BQj4E3zE6gtjLhDF9pM9vbMyAOE1HtG++MUvJuLfbe7oEyyMkPuZb3H/Xu2WW25J/c9JsHEzNvwX3BP+yXzhX/QPZ+LvNH02/oiyFSczbYUEj0muqUwwowXMMGJBghlOA0hBtb333jtF0sPBz3Qw8+sKCe4uxSDBwKaIPaOSN4ZTBCuMZHwmWMEQipYxGhzpVVddlZY2G0vOXmaEc/MMzTibvD53PcdWSHD3cSkkuKo4Bo7M8lQORXYubwuNBOfvHst6zTnA1rJay4XZV453NpHgmdjbpkgwW8GOWELsCCbvJmtoaZ+gGvAlkygY52f2RkDV+7MvdAYBsCQNOKAzwHZUvnR/NokMZRcAPGTNihbAT6YJGRmEBAOKQLW+6hOiEQCGfQVCZYWjAZkIbZ4hzMdAtD+WK/q7/gF9Mof6FssnL7/88q5D1xYJjs5YrREZDSDSvzgaxRhGtmkmejfTa+omwcYA8ULCrMwQUAaebf+xtFdg2RjLIMI20fIAh0CJYDI9pTOxQkrGC0iPNh0JlrUT2KEjMnexwgGZzkkw3Uf0+GUAvI42KAlGchF8/yNf5qt+RnZLRh2gR3rCpiEKluPGnIQvEFOkzPtqMprGg+2INhUJjsybVYlIgKBMrE7ISbB7sbOCcsa5nzYICTYmSL7MOL/HnrF75MHGCRyRiXdHPqPJGp577rnpV3OKveM7YexYUqu/7pfbsqlIsAwqImZ1AzsTgSpyzEmwZ9JjhGy6rR2+WwcJJifjDXda2SCQRE5suFUmSHwnCRY8ENyIrS4hO4EN9si8RHTz5cyWg5M7/EvnQgeNP7sK/3ZrMrXkxrdYtcU/ey7CLZPMHubPmYoEu974CpIKhBgz/quTBOuHYCi7M5vjGwsJHhvRpkhwKExOgi0ZQIoKCe7HpNb7nSDBoqAif51LS5FgYC7271piI8KqMRiyJEGCZepE0jRGk1G2fITx4JBNdMsZAwC5byHB3cdzoZPg0BEOirOhZ0AJEhGOaKGSYHuBLFEDuDv3/sqEWmEhozTM1hQJjndAJAASpNRKIsucAV62SPYEWNtjjz1SIM4eQ/tNAQbZizzzIYrODiEJ3RrZCgbKtGgCgIOQ4GWXXXY80weQITSyE7KhiEwvEozId9t3rA+WzMoGBFizn9mWE6AOCPQ+iDTy0621TYL1CUlEJmSi5iMJDrkbJ4BZ1lemSDAlJ8GCI+ZutE4STF/8k2EalATHcujYb873RgDa0lC2YdRIcMhB3xFdNk2gILLjwyLB5hbyAOdYnQDHCEqYV50k2L5iy5SbIMEhDytYzGs6xN4JcAkED0KCZXHp3lQk2LJchCzPBCNw7GNsv2BnyMOKAvjNkvJOEkzv4UeEdLpWBwmOZ+ibQAe7Tm9gBESzGwmWXPNeeUAx7yuM0UmC43Mk1NJyq4vYdQm6yNZ3vq/3W3311dNWmW61OQR9BDbzve69lkPzq+YzzCNAJrDrf2MhGJZngvWDXspMFxI8nRb28fkwSbAIqcGjpMiwCSmS1ysy3kf3J32lZIK7Sy1IsIlmcobziW9bOmUfDCOD7Iq2haHLSbAMCuMTk0/E0X46+1ZMYJlhRoERDRBQSHBvTV7oJBixoY90TBP5BfyBFEEzwEQkXEZwoewJJgdRYc5T0RtLtchFdJtz1oBdhAsBHGZrigSzKQgt+yH6jVzIZIiCi7IjnX62FBgJ9s8SaU3G1P45oMHSOY3cZGoRhNAr+gPgxLI2dstea20qEmzpM5sWWbRYVsjmydK6VgMmgUS63EmC7UFD5PNMV+e4dVsOTR76jFTqt6WuMtzdWlskGCm31Dv8uIyYrK+ghP5bEQbo+3/Y50vXnQmWcaOX/CfyIXvJ1/Fxsnh0hB8VDBCkipYvh/YzMsj2sXMArma7Q74nGAin78hRBHg8gz6sssoqKXOlD6Hf7qM4Ev3LSbCMGRsrsFRXcaxBMsHmrbkH95kfsIigDuyJdLD3cIXAloB69NE8I2sZK/KUYXMfwSLf1XzfNqucDMg2y26yERrMQ97Ik0AXGUVhMnpJR2VUO0kwMooA90P4PGeQTDAsjNwg/3TGtkBBL2NtRQCbg/ix8/kSect1kUGk3XJoPoFvlFWOLWpWxJh/OTFzT/ql8JXGt7KxMut5dpmsBCisYKE3OQlG+shCv3pt6cjtUh0kmB2XtacT7Cu+wC9a2dCNBPOb/AXd6qXrOQl2D7KIFTvkKVEkaWOMBApi1UGnzRV45bMsrfcs1ylcGXUfBEMFPPOztGX++e3QVzaAjTJ+7IV7xrgJSLCr5nonCZakouf+n2krmeAxyQ2TBIu+G3zAjVFn+GIf6UwHsvO6QoK7SzJ3sAwuwCUKzQHJhiCsvQAKpxpVMI2hPTJ+Z5Q4M8ubRN6QZ5kpUU1LlCLjAbQBpyZ0aRMlsNBJMKcrgo3oARGcHuJCnwATRZCsMFCZcqFUh7YMT5ZSxD2WUr3nPe9Jc87/yIaoPiAYxZqGNa+aIsEAExAAwAGFsjNsCJAINNMRZEPWDMgIQI34Aj4APl8C0LIzSChybNsG4oJMAI/IrKwIkIgkIxQaG2U/Vrfl0PqCuCAdQJNrFacR9DNOgAi/BhwaOwUIPZ8v8ndjKKMNUE5VFwFQBboFPAK8u15BIHtOEXbvgmSNEgm27I//IAtEHGHRXz4HoEMUyRdorzPg3Y/O102CFXPybgISVk/xpd6NjvB7ADF/aqy9uz2b9NpScZiHHxTQYNMkAhA1n8kQIUH6mzfLMRE9ZEVm0naB2MpEVwSM9ENGUYBFUNqKBPY0CmOxE3S3Tv87CAmO6seyZlaRIX/mCAJgjrNzZKifdMW8Mcd9Dk+QJd039xE+9Ue8H5/gXRGLfBWI+8MyZGupMTLCriDASA4iGZk3xaLIV0Eu8tEvPgnBoK/meT+Eb1ASjDAhpAiZ+5vT+kS/BFRCJjLD9lNbHcMWWP2CvLJbbApib8UFkuRzpAxG81neFAGDu+mX8RA88W7wH7tJT+kue0smUfGerN0LyTNWbFG/mfE6SDA5GTe2WlDI+/rHjrDF9F3WNJqxhh9sUwgbKvFm9WmQS34UpjWHzUF2yxw1l8g7yCs5I+A5LjbfY+WGYIrgSuzLJXc+RH8RXf5GECP30fwTH86G+Du9F0iNAnD8etgAdgQ5jv3q8XdzT4CiFMbqxwP08Z2mSbBBBWCiCJOJwaBRPpOuHJHUxyDV8BVGNLIkbsfYiTox+AyATEuvBnxyEPneBhPcRDfpGUiOR5VF9zXeMsnR7N2zLD4/rqSGV5oXt1joJNggch6WXgECwIh9NRrQxxlzOgBPXVmMfhWnrerQot3AWixTM0eBP80SPhHqT3ziEwnADLs1RYK9B8DBsftfdiL28/JRSIIIP11APgEghU8AQMETjbxE9S1fQwwAYPcCkqNAFbBHviL9eYYHsADSuy1VJn/jwQ7yV/xW9I0fk71BQoBV92UnZaKsqtHYRoC81/K8HMDl+/+QYWBYFhn5cW+fWw2Q2+K4vq1MsOfTyah+nR8/4m+AOdCOuAy71U2C9R8ARSjoAcCLxBgrRBh5Yr8EX7w3woro0AFgXBCGz4wMDhsnqGLZZS63XE70i87SNcGfANV0WyKB7lqVIJOp+T6wbj7w0fpDr+u0n4OQ4JibyAvyYY5HtozdV9xIxeaoDWNlQRx7g9DI1goeIcTegRxcI+tGr7rNq8g+8y18R15MDiFETtgR8zKKJwUxMt/Zhl7j0UuHB8kEh12I5cixD9izBYIFP0Im3hmOZvPNe+PLjhlvWUKNXYigKL3sRtzJkh3VyE22OcYG+SZTOFBWlN4ILkpyhMwRPnrdbx2KOkiw/rmPQIX/LfWPdzPG5lyeaaX3bHMcHUWebL+gU9h2PtS+53gP+hRHQZFLzC/bFSy7Djnpi3GJgncwtYRQXj3cnKTnAlLGoVuQml2gf0i4fuTFrdhRMtc3OFpAmA7H3mJz2jyoo8hsyQSPzeSmSfCwnV7JBA9b4uV5s5FAIcGzkV6z17ZFgpt9q9ndvUkSrGci5UBX5zmXs+v1wri6TRI8qhJuggR7V0RqNksRR1Ve/fZrUBIc97VSYqqAe7/PH8XvDUqCg+AhPPPR3tVFgsMv+D/P+PejA0gwgouQdgsc9nOP+fqdQoILCZ6vul3eaw5JoJDg0R2sQoInj03TJHh0tWH0e1ZI8OQxaooEj742NNvDmZLgZnvV7t1nQoLb7XGzT6+TBM+0p1E8rt+znmf6nLl4XSHBhQTPRb0tfZ5nEigkeHQHtJDgQoJHVzsn96yQ4EKCh6WvhQRPlnQhwRNlMgokeFjzYS4+p5DgQoLnot6WPs8zCRQSPLoDWkhwIcGjq52FBPczNiUT3I+UBv9OIcGFBE+nNYUETyehdj8vJLiDBCsmUneRqjaGWKEFZ2spRlFakcCoS0DBG/sgVayMM3Pb6LM+KMTgSIAoyNRGP0bpmQpoKCRyxRVXjFK3Wu2LIj6Klyk2U9poSUABLQWUorDcaPWund6o4Ko4TRSWa6cX8++paq84v12l9dKqVMdAlW9ViUsB0EUaEZWVVVkubbQkYB+6QmuK0EWRxzZ6+LK/tYl6O0jwW9/61r6rvrUhrH6fCcwzznEOXL/Xle8VCbQhAVUEkc6oUNlGHzxTdVOVS9mBETBLbYlhwnONjX8qm5e2SAKOLbG/qo1Kv2UMppYA0Kli6rCPIRrlcVHhVkGcvMLrKPd3rvSNnsWZ7nOlz033U4Vl1ZP7PVKp6f60fX+4RrX0tddeu+2ulOd3kQC853i7QoKfeioBX0fbzIdMsHMUlRiPc8KK9hcJjLIEHAEEUDizuc0meOSorDjWpc2+jMqzLVW3JNqRB6UtkoCzUB3pkB+3VmQzGhJwBIqsi/OGS1skgRNPPDEFbD71qU8VkdQoAcf0CBDGUUY13nrO3sqxbI5/yiW1s00AACAASURBVI+8mbMvU0PHnRfuqKJnnnmmhruVW9QtAXvY4c9CgsdIsOzpfIhglSOS6p4q5X5NSqDsCW5SurO7d9kTPFl+pTr07HSqyatLYazJ0i17gpvRuLIneLJcS2GsiTIpe4KbmXt13bXsCR6TZDknuC6VKvcpEhhcAoUEDy6zYV1RSHAhwcPStTqeU0hwIcF16FE/9ygkuJDg6fSkkODpJNTu54UED4kEmwgOArcRO5q9AjLPSyyxRO1aUDLB3UVqL1/nvtPf/va31ctf/vJqmWWWmXIcLGtZbLHFUvGHaO73v//7v9Xyyy8//je/v/DCC+k5vh/NHtM///nP8/JA+NkqcCHBiyRIb+hPp+74zN4zS++WXnrp2Yp7oOvbJMFspP06iy+++AQ7+V//9V+pkJq9Z220pjPBDz/8cNqTbh9Zbm/YKj4k9nbSCTpDPq95zWuSKF566aXkV1znHksuuWT6PFrYp7hvLlv2yd+7rYZScEqNCXtLtT/84Q/Jbiq4FL/zc/biht3TD9scouWf9Ro375jvx/e+g9S2aJMEGw/6aixe/epXj78ifbVXOfcTw9TbpjLBlhFuscUWE2ySMaeDvQoj0Zv4PHSwl9zIiA147rnnks4HfvIM29ZCr8mXf6ZfcJaW6x59cj19rbPNhATbcved73yn2nXXXce74h3pfedc7ZyznX4h3tG7xbyMa8jDffNlns8//3y17LLLpq/Qx9///vdpruaY6Ne//vW4nH026N76mWSCH3zwwVRjYY011hi3d9PJhK2Cv/jD3F7pP1l0m2vmJhnH98mIH4l39Dsfa+tAzN/4W8jV3wepBVEXCabDcD29X3PNNcd1hz55hkKNMZ/++te/Jjv02te+doIdChxhPkWjH76nsdXmZ9zLfXw37tutrgD5kVmnbhqbv/zlL2ne5T7Mc/74xz+m8Q4/Yf57boyDe3qvXNZhI+JeM9HNbnO/kOAxqTSZCb799turAw88sLJPNwy0xx599NFpH/LHP/7xOu1yulchwd1FetRRR1Xnnntu+tAejT333LPaaqutktFX0OHwww+v1l9//UkXcxY77LBDdffddydHyjh88pOfTBPcz/fdd1916623pqqk1113XbXKKqsk4+FZjFZcf/7551cbbrhh7eM9129YSHCVqi+rTk932KODDjqoWmeddcaHlpPYf//9K7IaZmuLBJszxx57bLXqqqsmhy5Idfzxx1dnnHFGhZD5nfP9/Oc/P8nJNi2fpkgw4Lf33nsngIBcIqzeDyBQdXWDDTaonn766WrTTTetttlmm/Q39ooNevOb35zs2T//8z+n64Mw7LXXXgnURLvjjjuqr3/96+MkxT3tgwek3vve91Y33HBDtfLKK08SISKqiEiQXvui/U0/PPNXv/pV9ba3va16/PHHU4X1d73rXdVXvvKVVHlz9dVXT/1hPy+//PLqjW98Y88h+uAHP5iqbkd1doD1yCOP7HtI2yLBAKQaHEiG8VpttdXSWKrNcc899yS58ROqrQ97/1ndJNi78n9kzX9uvPHG1T/90z9VDzzwQNJXc/a2226rVP0PfTGAF198ccIm9EuxIPoB3KvQSkeQSuRwjz32GB9vc2C99dZLtjHwE33bbrvtqre//e3JbqrhELp3yCGHpL/7DtK30korJV1S0+Daa69Nz6mrDUqC77///oQT7r333kTS2BGkTfVu89fnV199dSJq0cxL8njHO96RqvSfdNJJ1Xve8570fkgwO6gf9Cwn+Q899FCaiznZNkb0jy9xTwEMhAPRO/vss9Mj7V81HmTmlBHj86UvfWkSye4lw0FIsGeo4m7OCGgI6F1//fXJzsBK7IS5A1PlSQp7/ukOPfrud7+balYIPJ122mmJyJEZosg+5g3JvvHGG9M7avZ0e96FF15Y3XXXXdVnPvOZ6gMf+EDyK7DdEUccUf30pz9Nflc/ETAYz6kr/daDqIMEkxNsyoYKXhhn88x84ifNMXp08sknJ4LO/npX+mT8d99993ExPPHEE9Ull1wyHkg1fzfZZJNkpwVnkFmnH/jZvc8888x0L42M4RKNXhgHOmzuwSzkZX4dc8wxiQDzQ/43ljkRNhfdi4/Q6OOnP/3p6gtf+EK6jzm8+eabp3FAhI2LwBm/QG89+xe/+EXSCfeeTSskeEx6TZHgAHKMXpBgCo0c+dsuu+xSASl1t0KCu0v0hBNOSIbCJHJcBEOSO2mFQziDzqiqQIVJbJL6jCFhXDhfESpjy7AC6UCeJrJrnP077LDDkvFiTLuR7LrHf67dr5DgqsoDNMAARwYwRQN4OPWFQoIfeeSRFLEXFPDuQK9j38wlTlzbd999EygcdoatKRLsPZGnOLIBCN16660TwCUHQVOkAOhVrRu5cZwXgIAYA77kozANewNYdtqy008/PREXIDE+d0/gAplmExGHztZJgq+55poEpNzLsxE848UennLKKQmkI9QIH2CpAZSAt8xdr6wcG3zeeedNej7yj8CzwwgBWXRrbZFgZEwwAZnRgCukhUyMK3B6zjnnVBtttNHQj9SpmwTL3AHAcBOQbFwQLECWD0TigGhAF8COtvPOO1f/8i//kn5FWPxOF374wx8mvdUQsKuuumr8miDBCHZkjuiWAkzrrrtuCpDQF3rhXuyoAA0///73vz/piqZgmmfyz51zYqb+clASzE6ZowJ5gggycPoKXwD07BtcyKYFaUCKkXnEwvtJnngHpOzf/u3fUteRBvM3lzUMyH7kJBhBdQ0SIkgPj2j6oCilObntttuO+x0EBhnxPLLupw1CgiOTi1jCYWy+5wtWuA95CZwhuoq7RaMjcBU9Y4eQeAFA2M24a2Sq33mWGOliu9lYTWDFagbjwZfQjyDb5GFOk+Fll102fkSgPiN9gn45duwlmzpIMDKo7+wpGw1bsrsI4HHHHZcezWcgwgiruUInNAk4/Y+GGBtXgSWyQVRl1fmXRx99NOkdf+J/81ITHKUb+cpGPMa8px/+Tm8l/NgA81oQjC/YaaedElnPffQtt9ySyG2QYPbRdcbm0EMPTb7eM7Wzzjor6b7ghnEP+yF4A0t75myO4yokeEwzmiLBDDjlMemCBCNg/m5iO7oA2K27FRLcXaJBgi3HOOCAA1IEMW8cK6Aikp03hufSSy9NEUAOFChlmETnNBNRNNw9gwTLLLsPY8HoAJcMl8xLaRMlUEjwIlDIWXHKgLKWR08XGgkODUGgZAOAIY4b6AbqNRkCJMsqjWG2pkgw3yDS/uUvfzkBHllWOsDOILX+jowKvgGAfkcCADekxNYagRJAgd0hu9zGsWNWoiC5Mh9sGR+EDAMsQBXQPAgJRtKBVnMYYJEJ4PP02zu4N1CjeT/gxyqcPNuVj53+s7P64/uqzMoAIlnmRmTGgK5urS0SHEu4Y856BxkM4C8+s6JB0CIA6rB0tm4SjHQIoliRAdfAN3RrrbXWqizlt/pJ0EIQIH9XuhqZG3MawfBPIkD2VlPV27yONh0JFhATnOZ3+eCwm4hyToLpEyKHuOZL1WczBoOSYJlHJA/wloHU9NM/zQoC+g5bxEoORAHRi9UZMAwijKBFtW/39f558GAqEmwOGSv3gEeQ8dDbnATrE8KF7PSbrBmEBLNRSBobZV6wJfohCID4IFdkwh4hZtHygDEyL5kk8Ef3Ak/TIz41t2VTkWCED3EmawG2WK0hcJeTYHNZwIadypcl99KjOkgwObElyKQsLb0OexrjZo6zOYKc+hZHMgmO8BPR3Mc7mX9ssEAA2ZI9u80fGBO2XOCBj4ggE13oXMUiiytjzybA1WwcQg4La+Qp059XUJ+KBHs+e8KfCfSaq94RCTY+3j+aoJH+BZmeyVwuJHhMak2R4BgUg9m5HBpxKiR4Jmo782uCBCMUoqBAWt6QYNFERodBAL5iKaElMzkJ5sSAP23HHXesrrzyyrT8yN9EwI0twx4ACLkuJLj72BUSXCUQCcBbQgjUIDaWyUVbqCQYmJYBAYyAJTIJEmyucZKyIsNsTZHgeAegE1BgQ4Bb0X5En8MWXAOaEQrLFAEyKwcuuuiiBDhcA5QA0QADwhx6xBaRpyVvshjAEFLiOo3tG5QEByCzvFX0H7hC3gGpThLsGZ6rD732GgK0kb3zfVkFRJIOyDADQ4BvZME6x70tEhz9QGCARyA+9iaGD9BvYzLXSXC8q+XeCBTbRP8Q2ZwE02EZz2g5CRbECBKMsMyUBMc5rO4nUAb8kz97MWokmBzowIc//OEUKBBYpw+R5exFgtm5IHO9SLB7yRpHm4oE+w7yYt6zHfwNPKp1kmBZaFn9Jkhw9BVpMp8Fx7wDXRqUBLNx7FmQYP1FgvO6EVORYH3BAywXJzsE0fWW3eYk2PfoMUImkDBdq4MEewY9p98wpTEjpwjmwJ4CoPSKbZHVDhK82267paXj0QSufBeZ9bMMrPe01JgN997sLCws4AoH+5ux8R0ZcNnjaBI87Dm77zuytbMhwe4r2w5fW73hnpawdyPB5IEgFxI8nRb28XkhwX0IaR58JUgwwiGKKnqYFyszmRhBWQdtyy23TM5Uy0mwLIoW+0J8B3iL4huWlTA0AJylY1ohwb0VaKGTYAYe8eF4NI6F/nAASA1nu9BIMMfKUUfRFsRPRlRUmpPWrK4gm373Z9VlwpoiwfTAMi/gBFkUDReEA1JF99kXUXsZccv/7PWKpX0CA5aSIYuW62mCcogAMKEhY5Yeyv6E3QOcZFi1qUiwpWdAh2W97iMDZ+mdzDJ7GNle94llr50kWN8sF7ZNKAdS+bjkRCn+zl4j1pZACjDK/AFu3VqbJFigG5iPJYrel/7KZiI9fAGg2S+hqEtf684EI3L0wNJn5EPQRVYUmfX+gsd8oCxTfl6zVQ7ImmZfegT+6Jal5BoSk5M5thD4pmMB+u29Bu6ttOKvw27K9pob9BSRykmweYMcyIq1sRyaDpjHtg7YO8meAfcyZ7CIrCebJ6AuKxnzE9lCLCw7JQsyhzf8k63TzF+6Fxllf0Pe6FvI3/MtTbWKjb+13DRsK3nTT1nDnASb5wiWjGcemJpKLwfJBCM7GvxtbPUX8frBD36QVsSY62wXmdClaAJ/8BQb4r3ZLRlORD6CLuRm1VAUAnMtXEdmkcFlX5E3+kSGgqkhd/UoZDMFC3ISbOkwvRPs6aeobR0kGOmNwpj+t9yZnstYG0/6TEYa30jHwieyNZGs8bmtfFYVWArtXfhPMoB17cWOfc/6LfASAVXXCkb6Dr9MNyztV7ck5hP5yVZbYRDbDo3NZpttlvoULQIuMee9H3sOj1vNwLfF0mvz2LX8XJ4JFhQwj/ybqsbEdDa0ZILHJFRI8HSqMj8+DxLsbUSrTDxO2yS2jETGnsPp1nISHBUF4wB0xkIGwP1kbES1GQRgLRxNIcG9dWihk+BYugqsWtLHsXNKyAISxEmI8HJCQNAwW1uFsZB/czEKuchQmrOCTTInHLlsATJWF6jtV65NkWDLySzZBFpimbclX8YfcECukAHAEDGQiQPkgGdyAZ6RSCtW1CgQ5Sc3pBd4AvCAEtk7NREAXGCZbdOmIsEi8zIk7Bi9FDAEVoEVugp8ehYC72dZwCDBwKdnA6+ISQQZu8k79nhGYSxgC/gHzsnCPckfcOvW2iLBQCNdFIhAKPRbFsVYGBuZGcSDXAapdt2vTk71vbpJMPtkDvJ7yAr9kjHkS42zgAVAS8esaKF7ZEFfBXMAb0taEWhji6hZwi+bK+sYRZq8EzkKfMlAkS8CLshiO5kG/FvVpViUAAMALdCDAAHZ9sl6Ph1HfvJlmbOV7SDLoemzJaf6QX9lfZFSpMP8RdAtcyYj/fR9sjSffKY+hMABEuJ79taTkwACkoH450tV6aPP2EzZUCtKyMXqEauNkAv/k69n8ivwj7HzdzKzRxfZEpzL94NOJbdBSTAC493c3/YNffSOVgkYV7gMlqIzYcMEUqwkoQcK6dEje1rZRzZGwEOAgX/IG72lr3SHfAVPyEEf6CVSLbAaNRasomFrkWDPjLow7DHS3Vn1uJtc6iDBgmlWESKI5gtiq2903DuShb74B5sKJMFUdILfQPwFnPhJOku+9jyTteACmbDZSD+ySZYCNj4zp707e0tPcKXQTf5DEIcszF/3trJIwMYqA37GGFrtkNeAgJXpJB8v+MFG0ht+AYnnk2KVJt9iW4XrvZfn0FnPiiJmeSJr0DldSPCQSLCN96J9efTbQIsy5RGSQQew1/fLnuDukjEZOZ5wrgClyW1Scdax3Lnb1Rw0ZxOA2+QX9TIBXSdL42+MKoNjXBnoaByLyN1solZ16ceo3Wehk2DjIaBCDqLjAAFQIlrLGYlScyiWmMZxBsMaw7ZIsPfj6BRxkVlCiIFuYDiKochixj7AYcnDc5oiwe4NeMbyZT4DmQX+gFk2iAyAETJhv4AcPwMxlq0B1wAv3yJ7A+jZTyyYIEAHwCiEY1m1AJ3sOtKmuZ/IfrelyjJJ7gu4sHkIb1Qvt1fMMr0ANYCPo0uALH8HzjxXf6Zbug7YA0nR9M1cYKf9C38JNHUDP22RYMEIMo7mfb0LQC2DTX4CAEBdP+C5Tn2umwTzlwIS7oto0iG6BPDziUC7VQIIqbG0x1dwA6Gje1GJHCnUyI1uyy4jI53HFeY669n8auiBe7KbiInVE/oCWJsXUUiNvJEovj90vQ75DkKCPc++SSQLQZPJjr3+SAZyn58WAvjH6grZPgWNZB4RFnIy55AQpIdeIUl5i0wdzONnxYOQnCAj7CoipdHJCEwh2OaVazwPWRokaDMICfZsOBhx8kzPlmWVoZRAUOjJ7zKA+k23+EByFBChW+pn8AOaOSjIBKOxQd2wFnvEp2oCJ7GdQwAS8YrlvoimoAC/7Fl0iEz0J89UTqdHdZBgz0DgBVD4AllqZPXUU08dP4JO34yh4AgZkAU9MebsuUCT6/2N/7RKCGYlT/6Dv/Ce+kvv+FX3pKvIMF0wh80fqymiSrOALZ/F98jK4jiyzYKmCHvuJ0JW7mvOC0YYd6uJ+CYy9n6Wb8u0+52/EMiiE5JYoZuex+fNttJ+IcFjo9J0Jni6iVL354UE1y3Rcr8mJVBIcJPSnd292yTBs+t5c1c3SYL1GvACJuI84ObeZP7duS0SPMqSrJsEx7vKEiE9C7UNSoJDTohYLF+db7IblAR7f9lWAd9ByPZckVtdJNj7CnwICA1aDRnppHOy/P1UtJ4rsq2jn4UEFxJchx6VexQJzEoChQTPSnyNXlxI8GTxNk2CGx3QeX7zQoInD3BTJHieq9K0rzdTEjztjefwF2ZCgufw607b9TpJ8LQP6/EFJNjqxDpXQcy0L6N2XSHBhQSPmk6W/ixACRQSPLqDXkhwIcGjq52Te1ZIcCHBw9LXQoInS7qQ4IkyGQUSPKz5MBefU0hwIcFzUW9Ln+eZBAoJHt0BLSS4kODR1c5CgvsZm5IJ7kdKg3+nkOBCgqfTmkKCp5NQu58XEtxBghWxmA9LBlRJtAcgL5nfrqqVpxcJ9JaAwk8qUCrC0WZTfEGBEUVISlskAQEKRS4U2yhtkQQU93nTm9409KOZivynl4BiOgpo5UfzTH/V/P4GHKBYlEJrpdUnAQWDFAGL4kr13Xnu3kkhPpXB2cfSqlS4TIEt+3lLGz0JKCam4vRsC2zN5s1e9rc4SX42d5nltVEYK86hm+XtWr/c+n+V2VR9K61IYNQloHqtgg+LL754qkjYZlNxUqXTOKKlzb6MwrM5cfbEmY1tj80oyEMfRPdVK1XMpbTRkoB5qxJzv0e6jFbvm+mNyq90teCBeuXLLrKJ8yFxUpdknG6gkvCwj62rq/9N3CfOCy/+swnpzvyeqk/TV8nPQoKfeiqVp1cmPT/GaObibfdK5cWVNi+Z4HbHoTy9Pwk4xkEm2FEIbTbkxrEJzj8tbZEEHBshE6wSbGmLJOBoEpkOulLaaElApVnH7bS9qmSUpPLZz342HY3i3OjS6pOAc7kRHGdYl7ZIAo6vkgl+85vfXERSlUzwqCuBitlWzRYSPEaC//u//3teRPfLEUmjPvVK/3IJlD3Bo6sPZU/w5LEp1aFHV19LYazJY1P2BDejr2VP8GS5lsJYE2VS9gQ3M/fqumvZEzwmyXJOcF0qVe5TJDC4BAoJHlxmw7qikOBCgoela3U8p5DgQoLr0KN+7lFIcCHB0+lJIcHTSajdzwsJHhIJtk/J+nP/otlPotlbVncrmeDuEiXzTnn3Ow7G8O/+7u8m3LjbtXEmm+fk4+3Cbveoe+zn4v0KCV40arHHzH6qTl2jV//3f//XiL2YSmfaJMExl8gi32NGDuZSW3vxms4E24et2SOft057EzrBzoR8yCX2s/u8U5dCpmGbOq/1vE7d8zc1JnKbZgxcG9+NMcmfF3/zvW596aZ38Y75Z4P4yDZJcMi2U+bk4LNB3qNOO95UJlj9BLUCBpmb3eZuL7mRQTd/2q/uxR7MkH2nP56tjGdCgvXdHu2lllpq/PFTvX8ug256Za73whqdcznHP67Tl07bap53sw39ymommWBEUT8696zrSzdfGFgq/GE+rtH/bnPN+3tO2CwyCLuU3zN/ZsgpbFinvKaTS50kmF/Qj1xOM51P3d4n3jX8aqev6MZX4ppBbF7n/PUc98l9mO/k95zKb003BlN9XkjwmHSazgQfcMAB1QUXXDBerMOepb322qtacsklq5tuuqlaaaWVZjOOk64tJLi7OI899tjqzDPPHP/w61//enXYYYelcdh7772rgw8+uCsAdME111xT7bHHHuNAhkGyF+hXv/pVdckll1Qf+MAH0r5WgMN9VSc97bTTxp+F6K2yyirVBhtsUOtYz4ebFRJcVcD7u9/97uSUd9ppp+q8886bMLS2ahx33HHVpZdeOtQhb5MEf+tb36o++clPpv1ll19+eZo/jz76aNp3ppK3vcpbbLHFUOXhYU2S4AcffDD5Bnrwla98pVp77bXT+33729+u9ttvv2qZZZapvvnNb1bLLrtsdd111yV74ztf+tKXqqWXXjr9f+KJJ47L5Oabb67WXXfd8d+fe+65aqONNhr/nd2L77Nj2223XbXiiitOkun6669fffe73x3fO+XZ+rD11ltXTz/9dHXQQQdVP/vZz6qPfexj1UknnZTAmroUhx9+eNdn9Rq0zTffPN0vmr2sTjvot7VJgi+++OLq7LPPrtZbb73qC1/4QhorPuHDH/5w0tvwE/2+S13fq5sE0024Ba5ZddVVU+X41772tanAzLve9a7q97//fXX88cdX++677wSCzFeq+wBvXXjhhZVKwpp57PvvfOc7q/PPP79afvnlx19dkTP79uh8FDuz59R+fHrvnir66xO7cNFFF6Vrfce/aPp61FFH1VrzZVAS/Kc//akCuh977LHq3HPPrfbcc89kx04//fSEL8wl9QY6W7wLOZx11llJ1ubIIYccUv3iF79I9/rQhz404TJzkWzIJJp98p6jqRdz1VVXpXnKtqiJo+VYVFXja6+9tlphhRX6VsVBSfADDzyQdALxuvrqq6u11lqrIifvqX877rhjmlM5qaVnxxxzTKpTkduvu+66K9kf7e67707+Im9rrrlm9Y1vfCNVa9bYWs+kiwIT9sx/5zvfST7Fs9UHIkcVhKOtvvrqSff7LTJXFwm2/5ycFLgzJuSk/sGWW26ZdD+fT8ZYHQDzCe9Ybrnlxvv/4osvpjnqf833zFN6SP/cEyY+9NBDk+1aZ511xq+lB3Q+b+w7O2+cjJlxJLNPfOITqYAk+eb+xrX8Oh1+xzvekW4F25gDrkeGjYM6McaL36eT+vK2t71t/NF+9tzOQHHfijr2xUKCxwTRFAkWzTjiiCOqW2+9NSmGifPEE08kZwgoiExRPIP5xje+cdDx6/n9QoK7i+aEE06oTj755PQhwCKSDbyJ7jF+CqPtv//+ky42OR2LAsiITjGYKgjTG0bJGHNU7skhb7jhhtX3vve9FO1lABjUc845p/ryl79cvf3tb69tnOfLjQoJrpLh5zgQEEe8kAmiEY2jQIL8fZitLRIMoABngN5vfvOb9L85SkZAvfmHLLKdwy5m2BQJBv4ANKTASQVXXHFFsikKHRp3ZPWXv/xlIh277rprkomiHi+88EIC+I4aA0oE3yI7gjjkGXNgCbAJO+Qz8nON9/r+97/fNSj7+te/Pj37Va96VVI/QAu4QkaARv5sk002qZBupPWMM85IRdXYS0CDjWUj9VUferXof2SzvUc8k73WBC17tbZI8G233ZaAmuNyHnnkkQT0+BuyYfsFcgQY+IBhFw2qmwSTMX0BQAWOjTlSAvACrHRLwBmxzUnV7rvvnv4GTCMvwDzwLbgn6CfIQo6f//znx4cXCRZUQJaCBCNwCLTgzpFHHpmKoCE87MOdd945jq/Ini9GEugnAgPw19UGJcHen1wESLwLXUfWEDxEC5mFH5CUaHRJ32EI8kJ+EYbNNtss2Qf+QvCU3NjEaDAgss1ORENQEccf/ehHybdICLA5bAd8Y67SXzaVzNidTTfdNFXQzTPXU8lvEBJsvrBzd9xxRwquGVck9fbbb08EikzYDETPv2js4MYbb5z+Rv8ESiUXDjzwwDTnvJM5d9lll03oKrmycauttlr6uyOu2Ey2iowFX8hL8IBt1Q+Yjz5GcIWOGQeJjm4rZjplUwcJdo/3ve99KUBkPphnyCE8IEBAdj5Detl248lv6L+EGyIcDZmGJYKAsv90URCFXNkm9zSnyIHNleChD7ktZp/14Q1veEPSPxxH8Mv8ojNILPlIBulHfpIC/2XcQ8/1B/4xNnRasTlEHM6GrR1hRFf4e7LXvIcgEgw+m5MACgke04ymSDADJuLBGAcJtlxDo3wUaZdddqlO60OR2gAAIABJREFUPfXU6i1veUtdtrkqJLi7KIMEGwPOqDPbZkIAm5Z45Q0gBw4RZo6CoTbx3IeBYvgBNYYzjOXvfve7ZFQd/2PSO7+S4yqZ4MljU0hwlc7w5DBkVgTLBGTYjmgLjQTHeyNeQBuALAsOrEQgC5hceeWVUyBxmK0pEsyWIBCf+cxnEvBfY401EvDwzoDI448/noiHFSgi+YgEQOxnIFYWGLAGaJxLKZKeR/IBGXrmGe6LcCMJiAhiA8jstttuA5FgAEgWANGSnWAXvQd7iATrL/KnWT0jeyyo0WljY/z0HyiNpawIOjAF5MnACCx7Jp/ZrbVFgqMvTz75ZLL3gKlxkA2O7VBApcAOPzLMVjcJRq74Tr7NXDDmAvr0FXECeL0rAJ5X/EdYJAA0pA3Yhb0QvwDlwO8gJJi+yP7RZboWxMqcQejivnScfsJGdVWCHZQEI20yb/ADkqKxZXCJJkCEoCEeQbA6iRvbIJBAjlHtm5ydaCAQEW0qEuz7+oB0kkV+nCbbwg5EQ2D0yyq4ftogJJhP874Iq4CG8WGXkDBYih9ErFTiN67RIungd0EBhI1vuP/++5NN1PRXUEHwLtpUJNi4INZ0MWwYovbTn/40kWnkTKPngn2Cw0Gmp5JLHSQYFhAQ8N6SZRHAdO/QZWReMzf5Q3ZdY+9znMv+mHealUPe1+og/3tHPyOxniNgF9s4BR4R8W5bAq1GENj0XDIUINBXDVGWtc1XbE1FgiObLBllHMxb7xinhyDX0fgAmDoPGvWjo/l3Cgkek0ZTJDiiJwx0kOB8ADhszsCA9xNV6neACwnuLqkgwYyKiFVnVk10mQHuNG7GEbnlxIMEu14EPJavWkYCqDHIMiQitwxyZDQiyltI8OSxKSS4qp599tmUAeRMBMaAuPzc8oVKgkW9AWtgyM+yF0C9JiqMbO2www79msZavtcUCWZLvCdyz97ItgLybArAIgsO7DqHE+BAWIEXtgfoAfxcCxSwO+yRLBsQqSGQ+o5gI6GAnCxUgHBgVCak2/acXplg/bM80bM8WzYCaJQ56iTB+mC8nnnmmZ7ZXKRFwFCLZbdAH7Ar4AHACWAi/d1a2ySYjgqYApJkIxAahB7ABOIA/GG2ukkw3aJzcItgC2DN51mebK4K8BsvYFeWLpqsLT3REDGA3T/BvwD2fs5XwEyXCX7++efTPdlOduCUU05JwUMELyfBdB/RQlxzuzqbcRiUBAsawAzmseCADB0SHEdZCmaZq50kmJ2LOWmuHn300YmwIDiaICESSPeiTUWCjV+sqkF29AHB0TpJMJ2FUWXh+mmDkGDzQpZZQMD7GHf94PsQeiSITLw7GxNNphOe0vSPv5QxpnuxHFp/rVbIt3ZMRYKRLUvR6ZKVCmRONuSYk2DPRPBgO0HG6VodJDjeE6H0T986A7/GUHBE32DT2EbDR9hWE02W3/uZA+SFd9jqApfGOwu4WnkhUy6gxffwO/SATc8bcsqn6JfPkGWrYGTlNT5M4BPZjDYVCRZkCLshgOu99K0bCbbqAx4vJHg6Lezj86ZIcDy6Gwm+7777kvHiEOsu8FJIcPdBDxIsI8GI5cbBFSa/yczIMg4mX0S0kJOcBIuQxX4b9wVATXaOzYS1PEvEPwAQgAmwFhI8eWwWOgkWiefsORv6IvpuXzCAF3uPFioJDm2xpw8BBkgQOw3w5aTJapitKRIc7/DQQw8lwiojZm+WgJpMBUIFDCKxgLDVQ7JLgIOllmxXvlTYUj5LxgCaXo3sIrouADgVCZbljMwDwERfgdbQXXocgFwWoZME6ycCL+Bjr2+3higBuBE8ZIfZWn+zlcj15kXsbey8R9skOPpjXPgXAD6KfcmosXVznQTHO8rCImICMJbAy/bInAUJlm2U2Y2WZ6Ws7JAYcJ1lnXRay5c8+r0XCeZ7gWQkKuymDKZnmD90OSfBdFOAxTalfvdzTmdTBiXBcT+4wGoGzWrBCEJZ/ol4dZJg5DDInO/G0tEgwcgKIpmTYDIwXxDEaLKJlkNbpWaFgrlFfgiLpbCIUycJ1j+Bin4DjYOQ4OiX/psjiLz5L5PIxiPBZOLde5FgtmDnnXdO2U66lJNgARGBs2iylHyG1VYau2iOsi3uA7+xu1bcIOECbYI8OQnmn618iS0O0+lIXSQ4dMV4sX0IL4xJV/gjeNY88L95KauuwaVscbcWqyOQViSVvtAJS40tKe8kl/wPH9BtH673FMASRECWzWmN7vJJ+b5qK3oEYfPl0DC397BKCEln/wVD+Tl+EGkXOMozwX62fBuJn2krmeAxyQ2TBJtkIvAipZa2NNEKCe4u1XxPsMghAKcgBJBlwolsi2p3azkJZjABco5W49QYbcYT+GEkIuMSy1IKCe6t6QudBHP0nBfnJlPGociscAiWVCr4AYzQIUteh9na2hMMrABGsqBsJmcoQwAkcYqALAcvej/b4hiDyrMpEgxsyhS9973vTWSTDPzMPgGE6gvIfCC8ii0BhwJ3MkyCdZaHsXEAoe8jGmwU4KvFUmJjai+Xe7kugoFTkWD3pYvIivsAOTKM+rnPPvskog6EIS2yf2SEBPtcHzXBHfexbLFX61y+53uClsZaFkMmWECgc79f3K8tEmwJtyCnpZIRlLCXTQYd2AawAWsgvZ8M0qA6OdX3684EA58y/XTVeyMVSBc7jkTJZhor75lv80KkgGI6YZzhH+TGqge2zQqtAMPxPsCwe8qWhmwFETzXvBfkoWuyv+wmEo28CEYDuK7RLNk0HmxIXW0QEszGI2QIKAKjn4IAAuaCB2RFfjJbeVDPXCFLcxNGIYdYcSETRgbml/mQr+DwHISETbClAHlBdBEiOEeRrSimZUzIz32QFUXINERI38gtVpNMJ7tBSLD90PRGMTw6Qa9kOC2lt4SWrWGbBDpzEi4gSn8klyyflVhgJ80v70tn/JzvhdVv8kX8+BTNknJL+JExNtW1SBX7xk55DnsTGVjXkCPSLdjXT7X3OkiwcWZDjA3bYumz4IZ3gUPpewQV8QrBBHIROCcH/Y/mHemXeSl4yY/AF1ZJWMES40BX2WvPIWf6S1ben+8lI9fC0XTDCiZ2XyDGnEOk6bJxoU9R1yFkqJaFYA7S7fn0gC8yZ+mpZc4avaeXfJ0VFHRRixUCU22tmU5XfV5I8JiUhkmCKZEIJsAQjTOJ5Qv9DNx03ykkuLuE8j1JnC/QYvICmQyGselVAALwdj3Dx8jKhEQEl0NmRBlsE1sknFMT8Yqy74wP0i0aWdpECSx0EkwaloMBaACLrAXiwjHRMSCFExJh7ay02LQutUWCOXuEN7YccIwiwYALx28emnN5EaimZRH3b4oEsyuIASABHAB6gAUSqACVLICIuAwbUCBrq14BWQmOABxWGJELu8OnAJYAC1BEv2Qj2SAZDQANuArw7DvumWdP4p1lbwHiOO4HIEFG2U7zV8YaIPcOADnARncAm8i8ySQogjNV0MKy2CiA5dlAGSIg0OjdACzP7FzFE/1siwQbA4CKDyFb/kFAlHyBOD4BWDSHh13IrW4SjByxTYgW8A2E823eXfbV+/Ojxou+yTTK0tKH8I9kQ899F9D+8Y9/nII5/uYeeeOjI5hMvxCiIDhsowAZosRu0nc6YhmleRqy9rn+5LhrtvZiEBLsWYgB4oDsm8eCXsC8TBY9lzGz7FSfYQqB9VyvkB5yRA6RAfaRXpmXYTPincjJs2RZ2QJkm60w19kTmWhBMI1sjY17mZuyxJpnswnsSb/HSw1CgtkS7yjY5/5shZUDkgy2VbCBVn5YOk/PkDfzXrJB/9kVdhCJ0neBBUUl6ZT7du69j0rjbITmGQLPrqV/dFgwwPWuFZCxsgFJjhU2gotIXWfl6V66VAcJJid+DkbQNzgUubWywdyIJkBCBjLVxtp8Ils4VyCJ7MiZL0HuvQucgeTSZaSfbtJHNp3O8AXGwL3IWdIo9u3TXWTVO9IpgQHfR1ytTDB+lmazP53Hw/JB/Jm/ywqbm+YEm6I/MU/NZYEb95cYiL8bS8GA2PM/07lcSPCQSLCBFQmmFAxZ7uTDYcymwlmnAhQS3H1KkHtnZVET0RhM5xyRZIY4n8yMNQeTV2X0N85DpiVvns3B1DnOM534o3ZdIcGLRoRhp490JPQUsAMkOaJhZzz1qS0S7NmAHKAG7Hj/aOYSp2iO9QvO6tT5pkhw9FEGF8kHFCKIFnpAL4JUAkdAkN/zQlNkA6AAs1GAURAldApoYc/YrZyQAUB0rxdJc1/34cf4s1z2cU9AJvZcul8UtGFjO21itzEx3rEUOj73LDYVcPMOAJlndKuj0RYJDtLA/huLPPNhLPQ5P6qkTn2c7l51k+B4noyi4C7CG2NBr4y5gAf9YNPM13h3+kNXZMjjGmNLbvxrr/26oV90o/PInrCbZB4ZsVz3PKcJ2Q9KgsmNLiAwVpYFFjCP6X1u43Os4v3M83zuuxdZk4v5kZ/VnOtDzCf3zpeBm48CW8Yon5fxN/fI5/J0OhafD0KC4xrkSpACoenUiVwmdIRN0+fA0XQvrzwsM0gWeUGsvO9hR/2N3PJsbuiR+0UyxHPYnThXN9fbfmRSBwn2HOOFKOp/LKXPx8p3BFLYns75FEcoWa5Mh+JzhD8vEke+IZd4N9+FP2CPKNRJHiEfATE63TkOvqOvnX4il1n0v9MPxXzw3dDN+FuMQ+dc6Gcsun2nkOAxqTSdCZ7pAM30ukKCZyq5cl0bEigkuA2p9/fMNklwfz0c/reaJsHDf6P588Q2SfCoSrEpEjyq7zusfs2EBA+rb209ZyYkuK2+DuO5dZHg2fQVCRZokAEubaIECgkuJLjMiSKB1iVQSHDrQ9CzA4UETxZNIcGjq6+FBE8em0KCm9HXQoIny7WQ4IkyGQUS3Iz2z4+7FhJcSPD80OTyFnNaAoUEj+7wFRJcSPDoaufknhUSXEjwsPS1kOBCgqfTtUKCp5NQu58XEtxBgq2JH3bRiiZUQNVBZ22pQlhakcCoS0CBA/vIompjW/3lsBSQsCczjrZqqy+j8lwFWFT5VaG0tEUSUIRGgZnYm1XkMjoSsLVJlVNVg0tbJAFFouzvjOP+ilzqkYBCQPbu5meg1nPnuXsXRZkcOeSop9IWVdhWVVnF69JGSwL2F2+33XbpSK58b/Swe/myv40A2ow9wTZ3t1FopW6h25BuQ39dh8LX3b9yvyKBXAIchYInbRoi/WGKFCBRzGEEzNJIKIliSManV9X0kejkkDshWKKgSl6QZchdKI/rIQGFXBS4aaOI3KgOiiJRcE3BA/WOED3jt0qxy/8vVwWRFFDqVair3hEY/bvBEYqT9SrUNfpvML97qBApnW0Te44UCe737K9RVwuHXjtbzNEEpRUJjLIEgDNnMyNbjr5ok3wKHDmGx/Lszgq1oyzDJvvmSA7HKDj2ps2xafIdB723Mw5VqFXNtMhkUOk19322RMVRx51sv/32ZWyqKpFfx/shwI61Kvpaj/6R68MPP5yqpTuiqMh1ka45Zscxb/1Ugq9nJEb7LqrCO/LLMU9FR0ZrrOIIJ/izkOCnnkrnXyk5Px+i+6U69GhNttKbqSVQ9gSProaUPcGTx6YUxhpdfS17giePTSmM1Yy+lj3Bk+VaCmNNlEnZE9zM3KvrrmVP8JgkyxFJdalUuU+RwOASKCR4cJkN64pCggsJHpau1fGcQoILCa5Dj/q5RyHBhQRPpyeFBE8noXY/LyS4kOB2NbA8vUigqtLy45deeqnaZ599WpWHPrz3ve+tfvjDH7baj1F6eCHBhQSPkj5O15dCgodHgi3vnA81VKbTqV6fz5QEz2e5lUzwRG0pJHims2s41xUSPAQSrHiC6mMf+tCHUuVpBvAHP/hB+qeIx1577ZUK8dTZynLo7tKMcfCpPZ+qAP/kJz9J47LmmmumvT0K3nRr9913X7XJJpuMf27p/Fe+8pWKkVt//fWrLbfcMhUju+mmm6pf//rXqSKgSsOaMb/99turVVddtXrTm95U51DPi3sVElxVzzzzTKrCbJ/KP/7jP6Y9jXmjZyo0f+QjHxnqmI8CCf7d735X3Xbbbal6uFU79igr9mMPuW0sw25NLod+7LHH0v5r23IOPvjgauWVV0626oEHHqjYIEXK9t9//2rJJZesgHABm9e85jVJFksssUR1//33p+rIyAnfs9tuu02o1Krwm/5HMZ/VVlut+sAHPpBE6H50b5lllpkkUhWGjz766PHr9MVz11prrcqpCuyeIBIbt80221SveMUrUt/uuOOO8Wt85llTEafzzz9/3Gb6wTMGCY61TYI7/YTxuOf/sXcnwJZV5dnHt4lEMBoFQRHFAaJQiIjzhAoaSBkKcUIGI444MsjggFERmUEUQQZLBhksjQYVFIkTxAJiRAEn1IhxnoKWQyYTo/Gr3+pe99t9+ty+59w+557bvZ5V1dXd956z917/9a53vc+7hv0P/1DGGOP9s5/97LKffCnLpJdDs0fxi+vus88+5Y924qMuueSS7pe//GX3iEc8ooyJ/QOS7Ne+/PLLy7YzycaHPexhc3aH26abblpOa/V3LZiddtpp3cEHHzz35g5jKTs1lrqmtwuwdf8XZ/GhV111VekL7NzzbrvttuUUZ3Y5qTKuCHbuBR9/0UUXdcccc0z32Mc+tjy3PYm33HJL6adOVx7sH3yfN35svvnmhY/93fqcN4DwgzvttFPh3S/f+973ysnVD37wg+d+fO6555a+JB7xXffEg3Ddaqutyufe+MY3loOtfGajjTbqnvGMZ4wVn44rgv/5n/+5e8c73lEOsnOGDQb20X784x/v/M7/+ba+HbEzdvTjH/+4tKs4C7Obb7658zYDn7X/fbCf8S38YT2kiq+wr5vNeDvFhz/84cIVZz/zTN/97ne7Cy+8sLvDHe5Q+PCx7H3Ug/cmJYK1lXFBPV/+8pd3W2+9dam/mJZdeVOBOFS74uZz+gH7es1rXjPU5NVdX9tiiy26W2+9tUxG6G/iXH/0G7aHq/o7L2XYdtEa326zzTZlvML1yiuvLPHwnnvuWcaEfrnxxhuLjVWbw8jZI3vttVe5vzM31O3P/uzPynhBHxn3TjrppPIzhd2KB+r/F9unI4JXkpvmcuhXvvKVJWjjxDgVAlVAcfrpp5dDFQQWfs9gJ1UigoeTdGDDscceW355wQUXFAd4yCGHFPY6oY4+7NUaHIHBwOBOJAv2BI9+bpD1b52WE3UghAGJk+acOWKD3O67714ObHnIQx4yqWZeb64TEdx1L3zhC8sgI7gzsBE9gpZa+AriB6ulLMtBBD/ykY8sgYv+tffee3evfe1ri1DDi+9c6tfaTUsEC/4kz84888xyUMeLX/ziTsDAnwvEBKiE5fnnn18CAgEdvyVw8/obgb/x5sgjjywmIojZbLPNVuHjezvssEO34447ls8Iaghq99l55527r371q+X1T4MFf4FYDQa9JkqwuOuuuxbfJoDVToJX1zjllFNKwC8I8xlBmeeS3BEYzVcI/ze84Q1zh8jwt+owapmlCB4cJzyzIPOaa66ZExb+v9T2OmkRTHieeuqpRTjwSeyRzRIg7INtHX744cUG+kKEj3NwkjFS8t8YyeZ99rjjjiu2Iwl04oknzjU3+yHk+MOauHnTm95UbMjP3V/wLIlNAAi+ieKjjz66e/jDHz433hKdAmoJmkmVcUWwVwdJDLzrXe8qQpaYIf71DX1EvQ444IC55IDnZM+HHXZY9853vrOIZ+zf9ra3ldjC57EknMUYBFotfAaWBFstBCp/SdS4Jp+Cv757xRVXlOeQnJDIIGzErJI2BPWoom8cEUy8ETjsRtsSNQ511YbGOwKFnT3rWc9aReR79ae2dTAhO5Ik2W677Yp/FL8RVeJrMV6/SBawVfGaIh4juPhEQpE/wws3tiuxh5Xrn3DCCYWPNnB99jVKmYQIJgBN0LAfb36hGSR4PLPkkLZhC8973vNKUsDnFc+rL/Cpg8U4wuZMBOk7D3rQg8r4atwRJ/sOoSneYB9nnXVW8cPDXrPGTrSHCSVsn/SkJxXBLhmh7fy8L571e+LVeKNUHWRc1Yf9rY9Ilhnj9TO+hi3qB4rkqj799a9/fa20U0TwSsuYlgjmwHTqgw46aE4EM2Ll97//ffe1r32tGDanExE8iktZu89wkhIQBlYD8sUXX7zKBffbb7/unHPOWS279IEPfKD71re+VZyPjm2mhaPkPDhyoldgo519X5FZ08m/9KUvlUFLhmu33XZbZYBbu9qsP9+OCO6K4DEYC2RkUAUCstG1GBB8piURbDA3yMtyq7cB/fjjjy8iSZHQ8rvHPOYxS9oZpiWCDfSSIO95z3tKRt1rqcywEQWCCasFBCb8DjZ8GC5mys8444wS+L3qVa8qwsCYZqZt8NVWRx11VAlY+CuzuMQtexMw/vCHPyzfHUUEC6AFjfgLLgVQdYZFgEUQE8ECNLNXipkpMzsShlVMDzYcQSTwHSx8tbFUUCnQIqaGlVmK4MFxwhhPxF999dVFVLDTWRy8OWkRLPA8+eSTS8DM5vgmQS0xKpbR5hLMPidpVQvbJC4U7Sn5YqaNECLkFCtd+uPyfCJYMoXYFqALhiUXCDqn8AruiRSn8hJKir7FDiWNJvVKo3FFMAGu/pKbRBXbIP7FFZh5lyxh7BlrPEisYsN2xI5EiGvwi4SCQnCIL8QftaxJBHtziISN8UbRTmbx3JO4dv9aJLskHOuqtoUc7Tgi2KQCGzCzz+doQzOEbIsfMhayD4KMSK9F3ydMtaN64omh5LFJDYUgNPPr+rWIx/juKoKJM2OKtnC/Aw88sPhW4lGMx4dJ6OFbxRcbE8cRw3z0QmUSIlj/8ix8NL+55ZZblv7m+esKAG3Gxo0TClvRDzDpJ0f8ziuBjKPGByupzMjSImZ/FXbNd/HjrqdtxLm48a99H2acIWrdx4y+NjzvvPPKKhE+T8KaX6irPlyf0JUEqiJY/fgGbeO5XEOsU23TM6obQczHKq5tVYN+QMAvtkQEryQ3LRFcG0ZgU2eC688MHoIdHVo2a5LvVctM8PAuUUXwfILCwMoBVyfZv4r24oy1k4CP2K2vSBGEyoQTu9qSI+dcZa7qsfgGrl122SUieEjTRAR3ZRAS0Al22JWlcn0B05oI1m8EGoIzQtAsoj5FEBpgFb83mPaTBYsdDMf53rREsGe46aabirgV3NSgTEAgmWbQF/iYrWAj/E0NKMyOmC0wE8LPCGhrVr3OpNbtN4973OOKCDYDI3iUuVf4PtceRwQTGrZ/WH5IDAtYXI/tDopg9xDEEfP94LTPng+2WkYQ5nnNDhHOgiwixiqcI444orT9sDJLEex5+uOERKj6aE91Ie6JtKV+Z+ikRbC+aUZR7GLmkoBgY5IqxK9EjdlD9seGayHo6nJ3HCSS/SF86wqpcUWw1QnGZUtBXUNShu2ZGeuLYPZENJtBmy8BM44PqGJBYofwG6VINrFnCXXPRxRL5Pm3QhRa0u2aVQQTCmy99kkxjD7LB+GpeLWnmTqCtZY1iWCfIb6NKfoWdkSWMiiCveOWYBbXjFLGEcGuZwUK8V5n9YlQSY269QITddfva9H/TR4pnk+ihSjmI4lfxfOqI8FYy5pEMBbagw/1DGbsrWJwzb4Idi3c+TufW6hMQgS7h1lrCRCCj48nWOuyecK8MqkC1efZkT7QL8Qxn0TUW11ByNdVQT5neT1/gZ0kCXur17RsWn+rrxNiz2ajjUP6HRGsb0ng19ez1mRp/znWJIL5FokMMbQl38bBYSLYs1r5pJ9UMb1QWwz7fUTwSiqzEMGWqnHMlvUIPkbpUKM2ckTwcFJ9EWzgFqT1C+cgyCZYDeoGiDrjMCiCOTczxwqHLUDVcTkQy7pktnTmiOCFrTYieEVmkz9gVwYRs50CxJoca00Ey2xLDMgiEzZ8pD34AhKCTzFjZAbFVoWlLNMUwTUwNNMruLd8T2ZdsCEYZAdELt9jzLB8kcDia/guMwTVZggS2XPBjsLGjDsCh7pnWKKuZtcXK4JdW3AlW2/2QLtI8M4ngs3u9Pd99tvOcm6zeNVvCriIKolHgoqAxEFCZFhZTiK49mntgbd6GxuMPUtZJi2C67OzOW1i3LSsUhKkL4ItJzVTU0t/lp8IttRUHycoFiuCq+2ZqeI3BeJm3gXxw0SwWS6Js0mUcWeC3VP/IxAksczQEVniEmU+Eaw/VTFXRTARg6dC8EjCjyOC2aaxxhkB+pzZVDHPoAiWyMGVeB+ljCuCXZOIJ6isUrGixRJlM4hmeoeJ4P6KgiqCJVdMNPVFsARDP6G3JhHsOYy/xDYfIrnDpiUsBkUwwSlZM8oM5KREsPbSX9RXLCpGlSC2UoKQM0vcn5n2O/v2B2eB9Q/JKskWvohd4VJXR0jUqbtxxDgrQVO3b/RFMFbGXbbjWrbm+KwJpL6Pk8BhV/1tCGsSwbWPEOO2+UjKGlPUsz8T7HP13csRwaP0zAU+s5QiWAfjeGRyGLaMkyBncPP42lQrIng4vSqC/ZaDJFwt6VN0Mh3VXgOzMZYqyWrVzft9EWz5kIDc0mrFoEYIWzpjEHAtGWfLmwzwSmaC57fo1kWwgZeDN/jXQcAgZMbMACyItdrAgNPKcmgznjK9xINAzJ43y64Ef3XPoBkEAdGwmcu18Z8LfXdaItgyYUExn8T3OAhNoEX4EgnGCEGhWQ5L8sze1OVwllHyaQIQAYlC/JohqctLBeACG/ZECBCugkaCVVmTCPY5e8WsajJuEejuabZEO1iaWQMpgQsB7A8RWw/eEqybRRFcznc4Vn+2sLaDhICAi6giKAkvM1/DynISwZICGBEnEg8OrGHTdZZkITub1O8nLYIFpWZbBdSCZmOkgNvMkUBYMthyUsWKlloj1hY+AAAgAElEQVTMiIt1FLNHgndLMwnhuvyRsH77298+9x3Btpkv1xXYK2bEiCTPIGB3TXxrPGXVADHl+nWJp720+u2oezlHYT+OCK5bO/hzIorfIi7VXx2sjMDVGKAf1v6hbnXpp2vgQ/BiUscCfdoqiVpXz25rg99XoUxQSEjok+yPjxB7KrX/S4jZ31+XHmPPz+jbNQ5aiMs4Ilhf1fb8HX/Ex/N3ZhtNDlkmL47i0+psufsbK9mIMdKYIM5iW3xd3SpDpPZ9ku/hZMZZYlUxllhlxF9h4x51hYrZaNewX9Wqv7rNTewu8ciXjbK3fxIi2DYQ44LzIiQ8zcx7BsysyOBf++1DKLMFumbQz/q8+NXPxavqi0s9bIwdVTGNj/MjJGzU25JmrPlgY4nzQsQlir6lzYwRJo7Ymc8Yq4zX/bMBJCvYej3wkF4Rd/P9Elfa1h5vBXfjnLFPLG31kiJp4nmctzAo9Bey0f7vMxO8ksZSimAZS46FARBLAgL7aCZZIoKH07Sk0v4PxaAog2SGxUwDB8j51843eAUiWEBDHBuUOFMdXJBnUCKctaO/LWkVpDkVtBaOwDJB+/FSViXQugiuAzTbsvRH/yWCDOgGuHr4B1ut+yuXyoaWw8FYBm1912yg4JF4w8lSurpXa6l41AFf9tueq0kW44EggF9iC+prkBeAGKwFKwIi91V/M3ACDuJZUCFAEAgKXiUGZNz5LcESQSwwchCP2WVjkN8RSAJfRfBtaeGwvW6CPsEnm7T8WXAuMPOcdamk63jWn//85yVBKBDyPcstBU6CUvdeU9JCcK5e6qAQN/7v3pa9ExEOmKwH+QzyXw4iuI4Tnk1wTRQK4gTW2nPSb4NYyAYnLYIlpcwY2itq+ajlmGbxJK6IYrZl/CP4taMYh9+y38/MmhljCQ1/FEG2xAabkuwYPMgHMzO7bMAya7ZeVwIIuiUbBMpWzrgfzsSuQN/MFOFgfK9JpYV4jfr7cURw9RuSWOpDgNTvs2/9xdJRIlh/rfvq+TpiVQKUOFBfyXq8sCDofBfXfuFL7OcUb/BV/CQ70Db6CNHITsUyVoIYg/VRS2P5WgKGADWrbjwadbveOCKY3VRRWk+sdk8rJtRRm5vh9Hz6kNVB/CAf5hklBCQ7iGdxmEQdoWgZsFnL/h5pbPxcMlEspn58mbrhzTaJS8kYyQbCW3LA7KukgX7MniQu+CjPMUqZhAjWlmJHTFyP32XL1S+yb/zM8PojOUUU999OIlmg7fnOWowvVjsaSyQifK+fTJLUtOpIIgV78Qd++rN+3y/GLG1hdZJVAw5sk6Ria3x2v+Dr8z4nCcGuJWolucTMkmnaUp1MNtU3Dxj39AM/l2STBNFua1MiglfSm7YIlpXTKes+D0Ytg+L/fj6qgxm1sSOCh5MSnPWX4ckmycTqVLJJda/DsG9bnsFZ1sya72hXbWiJnr8NwAJEhVPpH8Bh8OOAJnUox6i2sC58LiK4K4GaYE7m2R6cum/QgCGLz/bY6CQP0BvFNpaDCOYvcRF04yQI9zO+c5Rs/Cj1HOcz05oJ9gyCXgfXqBexUOtXly4a+NkBP8Q2sGAv2LANwZ1gjy3xdZIpfsb/1D3m/KDfu44gpBYzznzgsNfE8XeuwQ+6D/9Wn43f8zvXtDzdfX3G/92rFuKvH4QNY85/VgHs9+ppyZ7689VmLtTHcw+bTZ61CB42TpiZEfAPjgnj2NzafHbSItizGDuJKGKzxjDaRRKEXVoCyRb0Vz/zGe3q377btwUTA+yY7WnfYfFQtVn37vd717eShu2yLf2AXfAX/tTi534/yfcajyuC9SEJK+LL8t36KiI2o/+w6TqrpQ/XWcnaj/pjAJaYYD1fv+Ij3U/pX9v/K/PBWIUArUWsUv3KqPY3jgiu/o745MOIfRMSOGlTDDw3TtpNzFxX7lVfhFF9TY4+VmcmzTwO82N9n6Ru9dRrtqsd2Ay/5ne+37+m5+Xb2OmodjQJEey+2lLypJ6279n6beUzlUWtQ60bngSqmf7+OSOeDW91MSnUL9WmKi99pybv9OHBE/v5OPevr4LTn/XN/jjRv36Na/rPXX/fb6Pa17WPlXG19MfBUW1z2OcigldSmbYIXptGWsx3I4IXQy3fmRWBiOBZkV/4vstBBC/8lEv7iWmK4BqgEpFJmI3frrMWweM/8fS/MQ0R7KklJQZPH59+bZbPHcYVwfXJ12du44pgTIgx/m6hBNnyafnRn2RSItgd66uPxuVEBJu9tTVhWGJg9Nqsf5+MCI4IXv+sOjVa5whEBC/fJosIXr1tpi2Cl681LP8niwhevY2mJYKXvzVM9wkXK4Kn+1SzvfpiRPBsn3i6d5+kCJ7uk7Z59YjgiOA2LT+1XlYEIoKXVXOs8jARwRHBy9c6V3+yiOCI4KWy14jg1UlHBK/KJCJ4qXrj4u4TETwggu0JmMUes8U13/zf8poCG+f7J+pN+h65XghMioCDL+rL0Cd1zcVcx4DlAAonnaasIOBgCgeEOFUyZQUBrxNxoIgTOlOWFwFbmyz9G/WVLsvr6afzNPag2kPnULmUyRFweJWlzfUAoslded29kgPQHM436mnS625NR3tye6+dqF/3Zo/2rXxqqQg4bMxhdGs6D2jaz3KbP9QXAk77Tmu4ft0T7GS4SR9SNYtqOUjHyYH19RmzeIbcMwRGJeDVIQ6gcBz/LItDJzhEr59wEENKV16noH2cRJmygoDTOR3YQginLC8CDoVxyItTYlNWEJAUcEiOV4qkTI4AYeOQrwi+FUwdsGRVlxPu+wfuTY74unclh0M5Ed+7wZeB1Fn3AE7xie1D90YFp8pHBH/nO+WYcMdzr+sbxzkir9Fwklx9R+0U7SiXDoG1IsAReR2BjKlXoMxKfOo3nsHrEMx8OqU3pSuvjfB6BK/TmVXbLLd28OohJ2V6LUsCm+XTOvqwE/u9OsuMVNpmxSumvK6ICDY7HiaTsVe2ZsWdU6kf97jHhevK15l5hc2rX/3quVOcJ0N73b2KxLr354pxMn4ur3ak9Zxw/8lPfjIiOKdDLy/jzNO0RUD22HJo7y6cZfFaBktcLXNLWUEge4JXt4QcjLV8e8e3v/3tMvPpPZMpKwh4t6zl0MRJyuQIeKet5dD2waasIJA9wataQpZDL++ekT3BK9snInh5G2qebv0mkIOxlm/7RgRHBC9f61z9yXIw1upMcjr0dCw4B2OtzjUieFUmORhrOn1vUleNCI4InpQt5TohsGgCEcGLRjf1L0YERwRP3cgmeIOI4IjgCZrTGi8VERwRvJCtRQQvRGi2v48IXiIRfOWVV5ZTZwdPnrZU4vOf/3z3hCc8YaKW8MUvfrH78Ic/nNOhB6gSW3vvvffcT+0fe8tb3tLd9a53LftR7Qufr9hn9qAHPWiVg9Pe+ta3dj/5yU+6Qw89tNtiiy263//+991nPvOZ7vLLL++e9axndY95zGPmLic4s48oh2isTjgiuOssxXaKq/KMZzyj7DPrF77CIQ5LvcxzOYhgh8/Yp225PE7vfve7O/3pyCOPLHtzl7pMczm0PYZnnHFG2Z/+2te+tixjVfiZk046qbvLXe5STvndcMMNO0t/3/WudxWf8vznP7+cZ8H/fOhDH5pDcthhh3X3ute95v7v4Kj+WwOMPXyf8oUvfKG7733vW+4xWNimZbW3u93tyq+uvfbacvjNAx/4wHI40EUXXdR97WtfK9eq45nrXXLJJXOX4nsf/ehHr7G5jjnmmLLEtJaNNtqoO+GEE0Zu4lmK4K985Svdeeed1z3qUY8qHCqrM888s/vud787N06MXJkJfXAaM8E/+MEPij1sv/32nX2gG2ywQTlH4X3ve193ww03dAcccEC33XbblTGvFjbttHmcDjnkkGJrijNM7Ft+7GMfW/ZyV25+52AhY/Thhx9e7qH8/d//fbk2uyYyMNcX7L3cZZdd5j7jc7Xst99+5WAwe6QnVcYVweIDMYP664P6rT3aruMNCXvssUeJEweLg/guuOCCUjczrQ5v1eewvPnmm7sDDzxwtUP6xDa33npr95CHPGTucvyWw18Vb0DQVltuuWX52R3veMfyc21Zi4P/7Jkc540p484EeyMLJtpFHOU57J29/vrry/Oxh5133nmVdvN751R86lOfKodY1gPffvrTn3YnnnhieXx+pNap1sd4oX51zNAnbZ3Yf//9i515A4JzgfTfffbZp3yNnZ966qlzTPxur732GvkA3UmJYD5RPzAeHHTQQd0d7nCHMkYYC/Uf7O5973t3Z599djnIsl+c1j2sOEBQucc97tHZu4zdL37xi1XGVfveHewl9jXGzFfEx+Loe97znp021Sd//vOfd8afwfHENZ1R4NRsRT3EzJW5tnUWCdsVRxvr2LvxsJb73e9+3Ste8Yq17soRwSsRTnM5NCM99thji+MzoNei0wlmiKdJv7ogInh433jjG9/YvfnNby6/NFAbGN/xjncUJ8+xCD6HJSQMNAZ7bWYAMtgbcHXQzTffvFyHDRnIXM+AZYCqe7E4qW222abcsz8orXUPXk8uEBHcda973eu6TTbZpNt1112LcPD3brvtNtfCxJFgBaulLMtBBHuNgcBYYs/hPoJH/fTtb397Oc17qU/0n5YIFiSrWxW/6uaPU2gJSP6JyGULThu1f934QnwSAUcffXQZSwQTgkoBtuttvPHGcyZz2WWXdYQw8aoIUIgJwZ4A/NOf/vQqorl+8e53v3t3yy23lOBLcV++j40+85nPLEH4c57znO74448vflGgyFY9u7Yi0AUcBLoDxeYrbFxwg4VC+NRnrYc69YXV4HVmJYIF4EcccUTh77TRr371qyUQJ+B/85vfFIGHi3FCP1/KMmkRLLh1AvC2225bRArbUXcHzBAuklWEmUB20003nasqQeUtAH7vmXxeO0uMSOZgR2SwoVoE5w9+8IPL2CkYVghIp9XvuOOOZZ8z3yBxKPBmY15ZpC8Q2WzHPfQJ93jiE584MfTjimDPJ/g3KaI++hrBQuDzKRID4gZCohZ9/eEPf3jxA5iptwNPJVmIFwLOWPGzn/1sleSBGJAdVmHhegQqoSeh5t/iFEL5nHPOKbGLfrXTTjuVGIbQ1D58LLE4qhAeRwSLp/RvCRBt+La3va3z3JJnL33pS0t7Pv3pTy9CtZ/Iw4id6V/qR7gSYNhIEmOhn/XtSP35ITZw//vfv+B1H1yJvwsvvLC79NJLi225Nv/p+wQbIUcI43PyySeXZMSLXvSiVRI88xnVJEQwTtqbT+VLJNVuuummIuiNjezFmEGsOluFCK1FomDYWQD4GBtcR2yrzxx88MHdZpttVvwvO3EvcS7brEmYvj3Ve7AnPp14lZzCWT90XW3I5/fHaAdLSlBIbihsXN93H8mZo446qnBmv9pE8l+9MPBzxc+/9a1vlTNL1iaxFRG8shWnJYJ1IIOyBh4UwQZHnZEBGTAmWSKCh9Psi2D/JlKrc+f0ORSn+A0WwadMnNkQnZnjEIzWTJSg8s53vnNxlj6rCIoM0t///veL85KtdP28pmL1tokI7sogVrPYHP7VV19dZgb6wVCLIljwQagRwP4ITCQMFEGhQbmKpEn60DVda1oiWDBgTOCDBMv+SJIKbgReAkEBvSCPjUgImDER9BBZNTCS+efPhgWubIwQ4JsIUwGEQE3iRbJOIN4POCuHQREsaCSCPZd7OyTI9Tyf1U3EjGDSqyeqHQumrY4xJvYTwn3WBEF/5qX+jqisBxCZdX784x8/tIlmJYKNuWZiasJBUCl4E+yZxRDka1dtZTxYyjJpEczOrATA2iyeGSWBuJkiAbo2ZwPstP8OXeOtCQGF/ZjNIcIUAobNCoCJm1oWEsFiK4FxPd2fMJXMIYIJ9brygHCXNNJfRhV0C7XRuCKYfbi/2O+4444rsYTVHeqgr0tm4WPVS0308HfqoJ+xo9e85jWlvtrUzKDEEIGif4ovalmTCDbrpm3qQZRiU68U4wu0FzGj6MsmDQhjQnuUMo4I1iZEFzHKZjBgR0T5vvvuW/qSxBt/4Ge1SAIQzpIi1113XXlefgs3M6KKpIhEXX82mOjiu/simJjSHlYu8I3GGkyNv3wMv2N29Z3vfGe5Lr9rVlTbj7IKaRIi2Oys9hcn6Q+SaMYF/fChD31oeS4JC/5VPWph//w6xoOFXbmGcYAY1l+NC+zOvz23v/VL/dTYRNRKttYVGa5JKPPpbJvtGhPwEivrz+yVnUmY1bImEUyIa7v+aiIxM+78i2SNIjHgec8999y59hzFPgc/ExG8ksi0RDCnpaOa9u+LYA6KiGJgDCIieDHmO/53qgiuMymCtH7RHgYls7b9YjAwuBO9Bi7BOIerYxPAHJOObwDX+Q2ynLPBw3c5A1lOjiwiePV2iwjuuiuuuKL8MQhx9lYM9DOcLc4E841WXdimYCmbrL0AsIrgiy++uARPZguWskxLBPMT/IjghqDkTwS3AhuBh+XHRINAQUAiaBNI+mMmTnAmESewMcMkQDGzUZdU80V8nODul7/8ZQlorICpQkFQLakwjgg2E3zVVVeVYERQJYiuM7/8q8DWbGEtZpK9w37YkmufIZjNKtdZ37qcW3KR6FcnAkCAO6zMSgT3n0Vi2/jw7Gc/uzCpdZEYFcRhvpRl0iJYXKM9CIjdd9+9iDjjove8S/yzVW1MbPXrqi2JZkX84x3k/mjXukLKagL9upaFRLBZVUzFWWZFzZp6FnbfF8FsX78gXgaXyS62LcYVwfokUWKWjQ/xrJ6zbk/QJ81eEz3V9xNukj61T4phzOwRZRJGCrEiPun3iTWJYILCdfxdBS4/o/RFsP//67/+a0neYDtKGUcE83ennHJKEf98Gx/vOSQwiCdtiom62wZTC1/HVyn6lFUy4iu2V7cLeV6irO/L1iSCJQC1A7/Ef/FDElc49kWwe+LuPqMkXychgnEy9rEbz6f9a3tVJpIVdERdZWL1Iq6DCTf9wHiiL/KVxKt+UYvx1hJz9qSvYlKTRnyZpET/nbrGICs8+HgrCPh32xDM5Cts1yw9sVnLmkQwe6tJMMksbaFOgyLYtSQqxEt1RnkU+xz8TETwSiLTEsEVeF8EGyAtMZGxkkGVwWFEk3LM7pmZ4OHdoYpg2XjLWWTq+0WAyLla3qVzWcol2FS8J7Uvgr1Gp+5VszRRYM5RC1B1LILGMp4aAHH2EcHD26V1EcxGDE4CH4MA8WOwsZSpLiNqTQRbCiUQEuwRawZGgYBZTkG9sr6J4No7BHOSphJqZtwEhwI/QZegUBDD5/BBWLANs0CWVxKdtQiOBd3Gm2FFNl0wV/ftSjCsSQRbflYDIDN5ZkIIDUEaG+Y3BYjGMr8fFME+43dWx8y3JFggx5fqDz7PB6sTAUHsED2ewVLbYWXWIthsjADaHjnJifVRBFfulmMKoI2jBDEhu1Qi2DJN967L5s1s6i8C/2uuuab4i0ERLElkuWVd0r+YoLn/nXFFcP0u0UZ0WeEhUcDfK0shggkQzIwr7BMP7WjfMS6DIth2Bn5FcmKUMo4IrteT9NNfCDk+jc+fhAg2227Pcy1rWg7NFxp/xed8F8FZl6sPimAxHv9r9nyhMgkRXO/BB4oJjHtmv/lQz215uOSJhIbCb9atfoPJxtr+Vuq4lplbXCSu2IUEhJl2iUh+eD4R7B5m5/E1sWP2Vjws6bCQCGbzErP95dDGN4mhukTeWOJZiWhxtGRYfyZYPWknzx0RvJAVjvD7pRTBglsNq8MRTYIdgUM/UzLCI6/xIxHBw/FUESxokyX0/355xCMeUTLFgkeDhOxknRXui2ABuoCwLs/jbO1XkPEykHB82sBA97KXvazcIiJ4fpNtXQRbas+G6iyJwYjtGQisOuD8+QqJm1b2BBugZXrNiArW/F+gjYdllYrBWh82YC9lmdZMsMNsBPMCDEKv7oVzcIg9VwSVjLg9kmYZZezr4SKYEJCWJdeDrow1ljESZgq7qocM4aqYRf/gBz9Y/r0mESxoMiPELhXC2jPZl8g38m8K3ypINCswKILNDhIi/ZmuwXbrzxbW35n9FdQRDZ6b77ZiZ1iZpQjGx55DotD4bsbUsm9tpj393BixNkHbYux80jPBhJMlkoSmGTgBOLurCSoBbk0A98/YEFTXfZq+y071bcKH6FEkeDCsRVBcZ3DrigZ93kyfALwuC672TayxPTbZF8EEpvub4VqbPYR9/uOIYIl3fUS9iU51sFfSRIjkOrFCDEr0GAvqcmhLnfU5/ZQf4PPEj5aCSpApZt30j/4WAYLJ89XDjIgI4ltf9zOCs86S8ql+b8/6oAj2rD6v345SxhHB4ig+SbwkOWaftOXQYifParZTfOz56qGRnkFdCVNcCCFxlmdkizVByj6sTukvfSe0+Mw682kvMU4ErdUM1Yfxv+zHpAi7GVwObcWDZEvdo74mLpMQwRIU2ocv4V/Fp5ZBi035S/62f6grIW91j+TxoK3rW+IK8a064E7oEtS2C2BmX69inDPWWLGgn7onreSa2s0ydTapSByY5BHD6OPGEs/KHvAz41yLJJUZ57o/Xx/QL/RNyS3jRk1UeQZjTz38sS6H1kb8Dhs3Li62ZCZ4JbmlFMH9xhKcyDhlOfRiTXi87xloa/DE4XIglovIJslecfjzndQt6DNYCcIENzJfZl90dJ3a8jfXFshyBrJYBuO6R8yyEcs7OJSUVQm0LoLRMCNnUBXImCmzzN7AYMBnawImwXNNqiyVDS2Hg7EES/ZMC4YEyQZsQbh+RxitLwdjEXsOmRKEOGNAUGzvm5leQaugXmJAsGqFir1W9s4JagTZMvE+TwgSqEQXvyXbL+CzdFkigUDxezMdlrPW5eT8l5ngfsBS7YzIEZwT3wJDy1nNSNRTXflFvs0eOj6RvzND4XNs2ucs1xQcCSLnK2wdg7qCRrDk/+qpL9g/SIRVATB4nVmJYAGnBINT3T274JetmlkRKBIc2obNrusHY6mrPZgEKtHk/9pbW1tVILg1Y2/JtCWlVnCwVcs4Bc/a30w+gVdXIwh+taukjmv3iwSYsZtQETDrF3X1AgHD9uxLl/RhLwSmQNy9iAN/mzlzf0H9pMo4IphNqIOAXd09s2e08kegbzmp/kGE6H/6K38vQSpQN1HiZ2bb2RVBR+CZjdQPjQ/9VSBEk72a+rc9sGbf9HPikqjSzySTPJe20n6ejdjla/1cuxKhrj/qPupxRLDkkHZjL5JEZoMJfBMM/JZr8WHEFrvQ5nyAz+j/RBvR5bA/gtnYuPXWWxd/SEwPHjgrwch/Eczq59rEGzFt9tm2DnZoiTWhSTCyKSLTtSUmcMZx2AFRw+xqEiIYJ6KeeBd7Gg/1HbbPp4sb2DjbYA/GbEK4LpdXV+z40f5ZDGyCXzLeSEipO/HJf7M9f9uqIHFgLztbYqfsvv/mE/UW8+rv+hvbIpgldnyWXdekq88a58xaS+oT4eyfbzSm8RUSulZHeG79lojGXnvzDX7OVvwtcbE2Sa2I4CUSwTqpwaK/odytze7oZJM+MTgzwcOHORnn/smkTqoUEOrsArX5Dmtxtf7hEfXqOqg2rYdGuA4xrV1lEfuveuBEDG6jHKYwqUF6XblORPCKWTriV3KGaKlLmwRBBmeDW83QLmW7LgcRLHgx8BMY+pgAyCBvQF5Tn50Wp2nNBHte9RMIC2IJh1o/gRlfJRCSABAUCI4IWbOL/VcP2Q/mj8DEoSiuRTzWwMXsB3/m//0sup+ZXSPAB4uAw4yLz/B5gofq3/xO+7in7Hw9rMV9iGKF2LFMuB+oD2sf20gEerW4tu8R3gQkoS0poD/0A6v6+VmJYALQbEktxFgNlNmr2W9J08EYYFo22r/upGeCXbsmJ8xCCk7Vqwan2sDPiH3JPGwE2H5P6BIp7KfO7GpbM3rEGhE27PTvakvsiAipHPt+U0BvNZfCFn3HPX22ioVJ8h5HBLuvZ3FWiGSTWXOCTbHkmI1YVlpfoYiTGTDFOQAY2g7RP2BIPCPprm7DttNhJUbRVmLM+koq1+Q76hkUxE3d5kAYSip6Vn5m1BngynUcEVyZmAF0P7ZU27Uy4UswYRMmjMTRRA9fRMwbE4yX1SbNdPOZ6jQsOVpZuh9ufV/Hx2ofdmsypG5P4nfcn28m2P1+TSfU921sEiLY9fhw4w4BSdx6NnFT9YHqwzYISb5Y0qLaUq2rz/cTcJIN9f9ijPpGAfcznhgb+FpjjHGhTuAME8HsV/81FuHEXiVm++NEn4t6aE/3FHv3D+/iKyW+MBZHswmxOtFen9E4WFdBrU2fjgheSW/aM8Fr00iL+W5E8GKo5TuzIhARPCvyC993OYjghZ9yaT8xTRGsJkSgAKCfRFvaGq67d5uVCF7OxKYhgtVXcmrYybPLmcUkn21cEVzvvT5zG1cEY0IQETfro7+blAjGiRAkaEdZht23c9+RWLWUfqlXTU2yv03jWhHBEcHTsKtcMwTGIhARPBauJf1wRPDquKctgpe0gdezm0UEr96g0xLB65npjF2dxYrgsW+0Dn1hMSJ4Hare2I86SRE89s17XyCER529Xpv7rGvfjQiOCF7XbDbPux4SiAhevo0aERwRvHytc/UniwiOCF4qe40IXp10RPCqTJaLCF6qPrGu3SciOCJ4XbPZPO96SIAItkfJHshZFnu57WWz1yplBYGI4IjgdakvOMzHfrR6Ku669OzTelYHzdh/62ColMkRcFicMxvqWyImd+V190oRwau2nUPx7F21xzll+RGICB4QwU4LXh/WzDtx0MEBDg1ICYHlTsAhJg7vcHJnPRV2Fs/s8AmnKDq10OEOKSsOmHEYktN5Z9k2y6ktnLngRNH+QTPL6flafhaHqjh4adwDfdZnZk4VdlDO4Imu63Odl3bSm1EAACAASURBVKJuDqWyn9UBUildWW7r9TZOsR92uF6LjBxO5i0h3jySsrwI2IfurS4OWKsHw83iCW/zh2UQWdWDsRwNvzbHbc8C4OA9OSInpzoZcb7X/SyH58wzhAAC7JXIcuiD0wdnKT4Jca/cefnLX15Oa07pygDhhF+vSVgGrnpZNImTWzfddNMS/IbJsmiS8hB8iZOGvXpw1gm15UIFE28s8OoTJ87HXifTMrgSwWb6nIobriv6n1cNeYVbRPAKOxNHeI2TVRixkcn0vUldxYTneeedV+LPiODvfKe838px4OvDCXU5HXpS3STXWQoCWQ69FJQXd48sh16dm/dH3uc+95l7NdriyOZb0yBgObRXSXnvdsoKAlkOPR1LyHLo1blmOfSqTLIcejp9b1JXzXLolSTziqRJmVSuEwLjE8jBWOMzW6pvRASvTjqnQy+V9Y1/nxyMtTqznA49vh2N8o0cjBURvJCd5GCshQjN9vcRwRHBs7XA3D0Euq689N2hVPbizrLkYKzV6UcERwTPsk+Oe++I4IjgcW1msZ+PCI4IXsh2IoIXIjTb30cEL5EIdliHg1SsQbcv4Bvf+Mbc/gAb57fffvuJ7kXOcujhHet73/ted+9733uVX379618vh4ZsvfXWa+yNBJJ9A/094/ae/fd//3e37bbbzn2X07Mkz6E59mHVYm+I3zmlM2VVAhHBK3gI4B20wkbveMc7rgLJfmUH/my11VZLaj6zFMH8pH5jr9kGG2xQ+qj+9/3vf79sXeE3Z/Huw2nPBFvOa5x4/OMfv0r9+Krb3va2cwfxsAk2Y2y5+93vXuzi5z//eedgRFzsr7/Xve61is9hX75T/Zjv3uMe9yjf5eOMUbe//e1XszH7pmwZcn/FuRP85l3ucpfyf6ef2o9rmXjdX+U5PE99lmF2PXgjbV7PBcDA/bbZZpuRbX7WInhwnPjpT39aThDGQH0w6I8LI1dsLT44rZngk08+udtrr71WOSBOfX/2s5/N2zfZCR7bbbfd3CGkDiR0hsnmm2/ebbbZZqvUlC34nX239dBStsdG2a5iXPd2gS233HLO1tme+yiuYf/+pLe6LUYE8+H8xzHHHDNXTzEgu7/nPe85dC9t7bPqV+vsy1iLLdWNf+wXdsg/bLLJJnM//ta3vlVOKlbEIuIXfVWfrUU/r5zZKf8xTlnMcuhPf/rTpW0e+9jHzvk7z46JOg/bX6x+2l2c1d/P+eUvf7mw4KsGCzvCuH7eGPJv//Zv5R7Kr371q+5HP/pRd7e73a2c+aD4vfGGv9R/2edd73rXkZFMSgSzYQfcVU71AexL53f7/an/cGxEv+qX2t/4ffZhybaYtY4J6onJhhtuWPpetQe+WD+sxTkut9xyy9z3tNMWW2xRfl1jY58fPGeJf9hoo43m/KC25hdqbF7bQRtoC0UfMf7VZxEf1XYbuTGGfDAieCWUaS6Hvuyyy7rDDz+8bL7W8Jz1M57xjO7Rj370XJO84Q1vmOip1BHBw7uFdjj11FPLL3XeQw45pJwiqpN6rcbpp5/ePeQhD1ntyzroPvvs01111VUlKNNpX/Oa15QAnVPixAWun//857szzjije+ADH1gc04knnlja3KBtcHBoxMMe9rC16bPr5XcjgrvubW97WzmJ2SBt0DUr3j/N1cDwkpe8pMyaL2WZlQjmJ/fYY4+5w/0MePZ5vvnNby5B9sYbb1wGTgdbLPVhhtMSwfzJ/vvvX3yGQE7wq3633npr8VUCHcHKIx7xiG7vvffunvvc5xZ/wjYkBA444IASXNfEATvxsypy/f/KK6/sPvjBD8797FGPelQnEBAQ4n3xxRevlij0PSKbz6wCznP52ZOf/OTuTW96Uxnfdthhh+76668vdrrnnnt2733ve7uPfOQjc4GTPZRnn332GhM5nuGhD33onIkLxBxYOWqZpQgeHCc8s3YiMrSpol/r40tZJi2CCRBtzBYdZugtFA5DcmCc9iWc3v3udxd/1k/68nECWYEte7n00kuLrTp0j21fc801xf7ZdS0CdoecfeELX5hjyN6e8pSnlLHamG3clSDzRgyHGhJTRx99dDm4CmtB/d/93d+V+/UT1mvbBuOKYDHGhz/84U4/YNf+TchpH3VRR9z6IosI22+//Uo/9/njjz9+rs+xN5/1Pf1MUqqWm266qQgYcUstu+++e3fFFVcU4cwuccLXPZxgrBDUz372s8u/fV+yQdxSk18LMRtHBGt7foI9EDcE40UXXVRsREzMn7CpCy64YE5cub9465xzzuke8IAHdNddd133/ve/v4wHr3jFK8rz8puSxd720i/aXjxek2p8ldOB3/72t5fD49wTI3qAXbMlB0O++MUvLj9X/N/Pd91114VQlN9PQgTj5JVv6ubfWJ155pndG9/4xvJ/bSPhow2rSDQ5o49KEugvtbA3/yc42YG+u8suu8y1v8+pP59L5Ipha58hcvunXOuv55577lwSzFiy2267zX3Gs7iG5+qP0dpAMmfnnXcuj2X8etWrXtU5a8MY84IXvKB70pOeVLSShIW+zOe4vqSbou34heOOO26kdpjvQxHBK8lMSwTLRupYxFMVwQK4E044oQQrnLNGnvRsRkTwcJPnNATRuHNsBuy+cyeSZbcHX5NlgJeVInD9zuD/V3/1V92NN95YnJDsrsH24IMPLoOYou21sUFa0kMgZLDvB3hr1XvXoy9HBHfdkUceWQIcvsCA9tSnPrUEhbUQKWy2FREsg03ACVIIQiJCvxWA6LdKFX2Dme5pd41piWBtLHP+sY99rKwEIH4FY4JfPzeLw9987WtfKxl8Y4sAUBDr/daCa2JZok/wQbAO+jI25q0BEnXGHr8XCD/96U8vn+f/hs3+DIrgCy+8sMwwCKAE0+5dfakE4UknnVRelyJwI1gUwa3kr9nh+YJqgavTVAeLgF/wpH8Q3oMreurnZymCB8cJz1RPESYGB1d3TNtO6/UnLYIJLElfcZN2JsIk7NjjoYceWlYHECrqK2FTCz7sVRG8Emhs4dprry0TBYp3xUuw1FJF8A033FCEoyKI5x933HHH7ogjjig2K8gWTPOR7M4471U9dbJBXxLYC7Qn9RrMcUWwPsyni//UFx8C8znPeU4ReeJEwb3+U2NCvAgvvPgHIoT/Ico+8YlPFB4vfelLS4KQSKhFDGgmtS+CCdSPfvSj3eWXX158S91+hInv87PiGv5HMftILBubhk0ODLPfcUSwtjez+rnPfa4kS8RM6sC36OMSn5/61Kc6ddHOtRCE2tx3iWbPSRxhxL8pBKB4rZ8YILqwq7OZ7FZiRHsYS1yTmFbEbF6XKBFgvNFOiskNEyd88CgrOiYhgolVzy6pyP+budUekj6Sn8ZFfp/NE6p4aGOz4v7dF8FHHXVUd9BBB5V41hhhHHCdWtT3wAMP7D7+8Y+XxIrvE6R1DO63OSaSDY985COLn+fTjUX6Jlv23ac97WklYVFXKvm+67L9KoLZNRGsbdi3scgqKIUI128JYuK4+g8TURJnZsf7Sd5hNrmmn0UEr6QzLRHMyOpyriqCdXhZSR1MIZo460mWiODhNKsI1lFf9rKXlQC7X2QlBZB1yVD9nQ6nIwvADaCCUss9OE0dnSOWARMAyHYrAj6d1O9lJmXuBIyZCV69bSKCu5LtZk/sj2MenN1sTQTLHhuIzfJgIVtvcDQoCuoVs5aEnJ8vZZmWCOYrBDKuzw6IBv5Gco3okBgQpBEYZk/4Lz5NQCNwFRQSnEQKn0Xs1qABH0vKiBVBgwCeqKjvPHZv4lPQPI4I5vcEkgIi7SKIrWJlUAQL1gQ/Vjr0l2n2206gQxR4Vp8XcAqQsRDUKoIi1x5WZimCB8cJK4CIG7MtAk1cLEkddVZtUjY9aRFsPCMuJYOJFEJX3c3c1eWoZpwE4gLuWvoJDrOixkh/zPxWkaXt9etaFhLBVqpINBPgbLEuCxb490Uw8cCWJGsmlYwYVwQT8mIMfUQMqHjOKlIILDN3RE/1/4SC+KL2Sf3d63b0t5o4IJzPOuusuQS8665JBBNRRLSEAdvsr0zoi2DXsTyYvzFDP0oZRwRrE3U3m6hv8+PqbeZPIkB/wUTdzQTWQhC/5S1vKf/lEwl1cRfbq6fCe16iuL9kdk0iWNuwPX5X+1QxjGNfBPNJ/DF2BORCZRIiGCfjnjaukyr1voT8M5/5zCI2+W/JEyzUm++RKOmL4P7zmrwRe/UTDD5bV6YSzPywpJRxSDKmLhP3c4kKfrwu0zbuaCez6hIzioSGsUpMU8uaRDCfiat+bcKobrchgiU/PvCBD8xdR90kOaqYXqgthv0+IngllWmJ4AqdqKoi2DIFAS3DIJI5bsHMJJdIRQQP7w5VBOMvUzgYSMlgESI6ssFUgF33CnM+lttUEWyg1lE5RY7fQCXA8XNBpqVYnEd9N9wpp5wSETyPl4oIXpF1NyixSQOylQNssZbWRLD6CoAJOwG2WQtBwGmnnbbeiuDa1gSvMcGKAHUmYvbdd9/uiU98YtnPKzjhi8wMyKDXWS7Bhe/UzLh+JUjiexS+SNBotsDMuqy/4EoCRmFv44rgmsCtvo+oEZRIGA6KYPcwe0Ig1eBm0CWYgSGmqt8UbArmzARLRJo9Ml5b1j2szFIEe57+OMFuBXXaw7ihTc2YCFiXskxaBNdn1zbsSJDOdgSt44pgs5UEy2JFMDvR5pb4e5+55bzqOzgT7BnNHBOusxLBuBG4xINlzPoeMaw/K+OIYImyutx3XBHsXsSZBIaZaUmpuuJmUASbnZWMnIYIrnZk1pAv01dMCpkwWGoR7Fn4GL7QBIfEmxliM759EexzuBNkSyWCq++2YgIfz8m3WlJMT7Ap4t1sOP9iCblkooSPBIa4dzCpLoGFuRnkOqNNNxhDiOBqqxJ2WGgbyS59jfDU79iGviROdj3JC3/WRgS7r0kqQt5YZqywAmiYCL766quL6I8InsBospQiWANzyDXTJAsqEzNKhxq1qhHBaxbBBIfZBEtn+ll5SzA++clPliBF4kIGsmbJ+sGNDJSgxjIRxSBm346BTfaSmOF0LCvhEJSI4Pmtt3URLOli8GFDCv9ggBOcGHzsfWptT7B665v1oByDqwFbsF2XvBkoLRfeaaedRnWNE/nctGaCDfT+CHIEFsQwHySBap+eJWVshWDwf8K47m973eteV/j4fk3cERgCI9+vgZRsvRmxuiTULEKdlVqTCPYdAbOASABkZt6YJTDi41ynLuH0bIJqgZp62Oer2ApEpIy7HJqY5GslGl3PjIcAdVhZTiJYEqcuFa5BNrFmXFjKMmkRLPgVOLuuPmj2UsDNBggrwlgyhCA2S1cL0azvKDgIpvk4Y63JAEXyROKnFm1vuX1dXu3ngnTXZftmhqrfNK7bFuBnZhb7M8HiLuLF/Sd1hsA4M8HqIblp6agVY2KGD33oQ0VImNHFQsBPhOqv9RklpfRrM+/GBUuT+UKznMcee2zBZCUGIWRJby0SAmbu6v5etqh9CArJeStG6t5jwsr9ceyLYP1c0tGKkmkshyZy1Em9iSl9xWQQTmzFzwhSSQP2VIuZWKLPRAVWEh4SCsQ6+1HM6vIT/YPWrMQTx9VYm39lr75vZSZ/Wv2i9iF0jbt9EUx0slfieJRDTicxE6xt3VeSBC+roySc+EL+VBG3SnDah6+NFSs23N+qC6sS6xjgMz7PDmvR1sYKHOtKSOzNKNcDfSXzJDsJbZ/H3nVrDG0mH1+rFOp2T9fTJ43TtWgnpSZQJXHZM1/i+9q+Hs7IF7B99ezPBOvrEsF80NpMIGYmeGWrLKUIFghwKpy6mWANzAn09y6s7QAZETycYJ0J9ltZNU6fI+RMLQPRUXXAYaUvgjkX++E4I4GfJc4ckE5sKY3/G3zMCteTDSOC57fq1kVw3dNkPxx/IHgUpBAL7MxgZD+5JE1dAre2PmLU78/qYCzL8Ax6stWCAAO2bQg4WMVB6Bk4BSiTCmpHZTItEWz2W/tb6icAlM2X7TZmCNIIXQGN4NHnbOkgJowfgj+HxJhBEcw4HbUGcmZWBUOEi2XmAjtCzMwqwV2XGa9JBAu0BYyCGr5OYMpO63I0y5XNFhE1BKo+TQQLlgQ7Aim2a7WNlTPzFQFuPdyrfkZARARb8m15nSDP+DmsLCcRXA+tIRAFlmYi1UF7LGWZtAgmACSKtYkVGpY8m82TDOGzLLVlw2xRsl/ixt9EmvYnqIzF+i5G7NUMnOQym+onONiPPavO32B7kmNsVxBv7CVcrB4QaAvK2Y8tZ66hjxjT3cP4ayVFf1nm2rbBOCK4HgDm2fk0MefrX//6wkYsYi+kduLn7Fn1cz6ASFZHgll/EjPiLYa0CsT2BvVS57oNQb0sefYZS40JGfGLOIcPIUKIW1sl8LV0Vd/3OQc+SYoZk7SFWTbXqge7LcRsnOXQxI8ELxHu2S1lNqtNaPE12lLCk904nIkIFE+df/75Jdnn85IE/JgzAogifCU8rBQZXAZsSwKWfEcdc/kTIoods13X9n3XZWP8CTEt6adIIEhomEQZ5SyfSYhg/l5fE1+6t+Xw6sCfSghZomws4Mclz+sqGjZRl0MbW4h2B0+pl/pVcWtVDpGtb/hd3VLgu/opn6U9JJf4dezZpqSkZAubYpv8gmcUp2Cmz3s+9t7fh288Z+OSHq4jOaMvsGPf99x1D7bfGfcVMbX2Uj/joPbvbx1YyDaH/T4ieIlEsGCNw6pCl7HUjs+hDb4WYDGN2f9ORPBwgpy+YK2W6iSIWh1XNnq+gFqns3+m/p5DNtDqxAJQjoSzMlBzsAR2/xAsTpkjlzVPWZVA6yIYDcLCwGamjvCV/TcYsVF2K+PKdie1lG9UG5yVCPZ8WBhAiSCBGi62GRByggFJg5rhHrU+k/jctESwZ7OsjAgUYAmKiX3+xCys1QKWBgv2nEoveCYIzRAL4gQ5AjiBAmEscCJWBc5OhZWpF0DUk3sJBEFGDVDYH6E2bKky3q5rdtk4JkFRZyGIdPs/zdZoI+0iAJIkrAe5uS/htNCsPZ9aX22Dh3sJxCQDBGKCdNcSvAwLQmctggfHCcGl4FTAb/ZyFmdCTFoE4y+ANe6xL8G44Ns4aobO2Kh92J8gld34DEFHTLBHLOqhWWybHZtpsjJucL9432b9WxKsHm7kmuyWSCbiCCb+QgBfD45iJ4S5GeXBVwmtjT8YRwS7j9nYKj7xIET8TN+xhNUMZd3T6mf1QDn93r5Lvs53zADqc5Lsxg1JADPM/YKT7Q51S5aTdAnAGr/wHYS14pp1ps5z1X6lPcyo1n2go7AaRwS7nv5K6Hpe/dw2IPahzpJHfIw25aP0IzaHGb8i6SEmk1hRCDLJFM9vBd+wAxP5kLo6jz9iEwqxykcS4e5FTLMnq/qqAPaMki3E2qiv25qECPZ8xKvEEn9i5proZwP6G9/cb8PaTpIJ+Ipr9asqMCWsalEn13BdCYA6k+73fkcU60fuV8/EkZCVjFas+DFOGzc8g1lhiVAzuGytP0707ymuIaq1lRn6evq2e4qV6zNKBLN7z8ePVdvUNvxAP/Ezin0OfiYieCWRac8EL6Zx1uY7EcFrQy/fXWoCEcFLTXz0+81SBI/+lEv7yWmKYDUxOytYn3RydGkpzeZusxbBs6n1mu86aRFc70ak9F/1uBzrPs1nGlcE12ch+om39bGMK4IxkNiU7Brn/bvrCrtJiWD1lfBQxn0bAmFpNpUY7r9TeV1hOM3njAiOCJ6mfeXaITASgYjgkTDN5EMRwatjn7YInklDryc3jQhevSGnJYLXE5NZdDUWK4IXfcN14IuLEcHrQLUW/YiTFMGLfQgi2EzqqEvaF3ufdfF7EcERweui3eaZ1zMCEcHLt0EjgiOCl691rv5kEcERwUtlrxHBq5OOCF6VyXIQwUvVH9bF+0QERwSvi3abZ17PCEQEL98GjQiOCF6+1hkRPErbZCZ4FErjfyYiOCJ4IauJCF6I0Gx/HxE8IIIdKjLJU5pn1bxO9XNq6HwvyZ7Vc+W+ITCMgAMS6nvgZknIgOUwF4eUpKwg4GAqh1989KMfDZKVBJy46gAXh6SkLC8Czvdw4r+DYFJWEHDgkAP1HM6ZMjkCDvdxiJvXCqWsILDnnnuWA5i22mqrIFl5SreT4Z3zkLL8CDjYz2nos9wrfZs/1PO8Z8inHozlCO7+Ud4zfKS1ujXH7IQ2JwKmhMByJ2AJoxMOvdZllu7AM9RTdJ3Im7Li9E4nUxosZtk2y6ktnJBMVDg9NWV5EZDI9hqd+v7k5fV0s3kap3RL7nvXc8rkCDiZ2knG3uWdsoKAk5eduLzUbzFYrvy9Gksi2SnbGT+XVys5vVpy3ynqEcHf+U4JwDMTvLyMNE/TBgGvADIT7Dj8WRbPYHYvM8H/vxUyE7y6RXpvqVedZSZ4lr11+L0zE7w6F+/q9PqszARP1l6NE14BlZng/891jz32KK8UykzwCibesZyZ4Mn2u0leLTPBK2nmFUmTNKtcKwTGI5A9wePxWspPZ0/w6rRzOvRSWuB498rBWKvzyp7g8Wxo1E9nT/DqpHIw1qpMsid41N40m89lT3BE8GwsL3cNgR6BiODlaw4RwRHBy9c6V3+yiOCI4KWy14jgiOCFbC0ieCFCs/19RPASieBf//rXZY+ENei1/OxnPyv7Se52t7t1G2ywwUQt4Ytf/GJ5OXYOxloVq6VLm2yyydwP7QG1r8c+cD+/3e1uN287WNbiPWu3uc1t5j7j5eX2fHjJuza058OS2l/+8pflene4wx3mPqut/X7DDTecaFuvDxeLCO46e5BvvfXW7re//e1qtqON2dnPf/7z4i+WssxSBNvb+bvf/a5U97a3vW23+eablz6Eg/cebrHFFuXnS12mORPMDr75zW8Wn2RJYT2jAgf+xhiCg7/ZCpvhtzbddNPim6r/wQQrvqnvc1zHIS3Vj93+9rfv7nKXuxSEfBw/Nmw8+t73vtdtueWWc2OYrUOezV6qfptsvPHGc37v3//937tf/epX5do+4z4L7b3qt3lt97vf/e4jN/EsRfBvfvOb0h7GehwqYz8z1tRxYuTKTOiD05gJVp+bbrqp2AR7VFdtbOxjg4N2pyps2xjMznynHkKqL2NkvOxzq3bzwx/+sOy/r/GTexiL2bVrVn/QH3PFXGy0b3tsvT9+ry3ecUUwPur53e9+t5zXUutPKDnHRd2H7aVlV+JFS9rvdKc7zbH2Hb8zJgwe6Iqpvt6PQfSt2pe0AW58x2abbTbH1lkylZFrasdxmI07E6z9nLHgXvydNsbJ81Um6jD4DNrXH35PuyrVt/FL6tmPt/2e/2QjfbtzHz9zT9fjs/ioGieK27RZLZ7lzne+88hMJiWC1e3b3/52ec773e9+pW7YVRvo96f6rH6vD3jeWnyfzWj7ak/6Mtvo88IVpx/96EdzdTXW9n3xfGOJ+7JX1/Vcg2M0/+BndVwS2/AL7FDxzNpCu+oTta78QLUDdss217ZEBK8kOM3l0N/61rfKXsdPfOITc43utFUH8NhXRqx+9atfHblTjdLoEcHDKUkK1MSATuYAh913370MFPY+Xn311UNFhk7913/9191FF10016EvvfTS7jOf+UwZRK688soSEHDmT33qU7uXv/zlJZB95zvfWR6E03nIQx7SERQ5rGz1tokI7jrCii/Yddddu89+9rPdu9/97rnBHTH2esghh5SfL2WZlQg2wD7zmc/sHve4x5XqCkr233//7qijjuquuuqqcoq3AfHNb37zUuIo95qmCDYoCxz4lW233bY79NBDi//A4olPfGL3hS98oZx8/PjHP77YylOe8pTuS1/6Uvf85z+//P+kk04qQYM/GD7rWc8q40wtX/nKV7qzzjqr7FNTtttuu3LomfKyl72se93rXleEzWAReBlXqoi9+OKLi6/cbbfdugsuuKC7/PLLS1t97GMf6+qeaT7Sz3fYYYfyPO57ww03lOBrvrLffvt1j3jEI0rSR8Dmsy9+8YtHbuNZiWDPqy3YpYSBsQX766+/vjvllFNKgG/MN05MOum9EJxJi2DCwD5YdX7Uox5V6v2YxzymxDHG0xe96EVlLFVfYrUWtulNAMZIjNiJsvfee3cPfehDyyn0hx122Cone0v07LTTTuXE7xo0n3DCCeX+Dvp6xzve0Z1//vllfCZKzznnnCKM3Etgz5b1g/e9733FNsdJqCzEdVwR/PWvf7278MILO6dKE0fiBwILM31avOAzg/bBD7z0pS8tp9g6efnhD3946XNY7rzzzt0111zTfeQjH1nlcb0hRAzCb9Sy1157le9guv3225c4RUKBEGSjysMe9rDOAbFiHtcQrxh3RhXC44pgvmHHHXcscZU+8vrXv777wQ9+UNqXv8fkxhtvXMVn8GF4qJv2vvnmm8v3DzrooOIzCMO//Mu/7J73vOetwkTf9Hm+TOGLvEXluOOOK371la98Zfe0pz2tnAni3/owBnwrv8SH2e/Mr7HXUcqkRPCxxx5buEhuaC/t+Na3vrXU1VjB1s8+++y5R8JBe7OV17zmNXM/Jzaf/vSnlz7rQCg+X59gT+xOOxOwTvmWZD7iiCO6Rz7ykeX7fPEBBxwwdy32hZ027I8l9A67wlnShv/pF37Bz/VrRWyj3c8444wizt3bs9NOnsGYRDhr02c84xnlO2Ik9mEP+tqUiOCV9KYlghkTI3ECmY5rQJCN4ugFszJWnBoHLvCZVIkIHk7SqyJq0Ozf++67bwk0dXyd79WvfnUZUAeLNvyHf/iHcvKhNpMt5RiJX/93TQ74xBNPLP+WweJgtO2ZZ57ZHXzwweWU3eOPP76I4ZRVCUQEd8UnsB/ZV/7oyCOPLIFbLQYKYgCrpSyzEsEGdYGOxEA/LBm8oAAAIABJREFUADOg4+RnBsDzzjtvIhnhcZhOSwSbhRA48DN8yGWXXVb8iuCd+BQEsAM+RbApoSeIEyA8+tGPLgKLryE25yuCKcKV0KxFUCy4cz/tPey0W4GSU8LrzJJg3pi1yy67lGDm4x//eMna86MCKocwsV+f96yK62uvD33oQ/O+heHwww/vTj311NUe3+wAfyrge+ELXzg3azD4wVmJ4E996lMlSKxcMSEE9WcBoRk+Aadnr0HlODa3Np+dtAgmdgkvYxx7ErzyV8QpH2XGX8LYYaOC8Fpe8YpXlM8SE/wdccWeTRAItgX0xlrBfd82CTGCpYpgdk9IE0+Yshf9xQyrf7Nl47AAl0ivQTP7MwYPzhAulu24IvgJT3hCES+eQexhJksyiVjT54hcfk+fr4W4JQYkw/z92te+tvQrQoYYE39g4DuEbS1iQEn5ffbZZ+5n+qFYlH8h9OqEwOmnn95pG9ciyIkUxSoO/xerVuG4EKtxRDBBxlYIUP5N/dkBJgQrUcyvSJj0E2GSJtqY/9He97znPYs9sD91IuB9xsRGfxZSwoDvvv/971+q4b4YVrvF1j0JV31GIkVSgnD2RxHH4/3JT35ylQTPfFwmIYK1A9sx9ptd5WskMCSN6mGi2k/fqbO+nk+SSZKzvyJUH2AnW2+9dRk3/F48Wwv7Y6OuL4Gpr2A7rBDd4mdjQC2uSSgbRzyrscbBp/1ZWzbNH2oPhQ8wXmgbSW7JLfat8C8Ecj041bUUOkoil23UlUwL2eaw30cEr6QyLRFsqa0pfp2uimCOk3P69Kc/XbJMDLlmUhbTiMO+ExE8nGQVwQIqHXVQUOjsb3nLW+ZmSepVODLimGMwUAjMBY6CPZ3RoKSNOfAawBmQzcBwBIJb7xblLGRaU1YlEBHcleCGvQiQ2VJd4lVJtSaCzfwIigz4mBBHBlwzFgJu5ZJLLimiSNZ4Kcu0RDCfQuiaVeMrBAmCOAGOIEhQJlsvMCS4zFYQAnyNmROcJPIsHRXYHnPMMSUYrEuqa3BInGDHB7q25Kzf+Y7PjyOCnZAtiDczInC9973vPTdrwy+yY7MOtRDFawpcJD78qUXwTfwQDfyvxDK7mC8ZNCsR3Lc/M6ROZD7wwANLW9RXo4gHBHF9kbMUdjtpEVxnL824nnbaaUUgqbPg1aoENqqNjZOEbi39BIf+LSYyi8cO6wopszsEdC36xJpEsLoRQcQuv1lXKgj89SXJIaU+nxmkSb2+Z1wRLAZgv5IIBIq+Ieg/+uijyzMSO94/ThxWoc4HEIV1dYYYRh83Q4qnQsyZEe+vElqTCNZHtItEgeSWGLWKRX5E0q0WWyf4YO0yShlHBFtRYFLAzB/fwcd5Dkz4eP0eE3UXQ9UizhKnKfqUFRfiLlzr7K/nJaD6vmxNIlhigl37njaoy6FxJPbqqj73xE4ya5S4fRIiGCd8CEp2bkVQbS/xJ2HLFiUmFRM29IUVPhJM822LlHTCTd1rYVvsAntjLYFp3JHMMj5ULsYL/s1MbV2JoV3YrnvWpAXbdY3+CeprEsGeXdtqO77T/YxfRLCJJwK9FnaJQxXTo9jn4GciglcSmZYIrsBlLKoI5oQZnWw+Q9OA11577Sp7VRfTmP3vRAQPJziKCNbxh2U9+9lSg7ugjN0YrDhx2VN/akBqqY5/1wDIdSOCh7dLRHBXzgcwiJvNYysEjoxzLa2JYMGNOltyi43ZXxl7A2RdXiVYFtBawraUZVoiWB0E/YIIYsnyNwO9wE5Ab+abz/F7y8KIBzzMvhpPzAp/7Wtfm9u7a5bDsrOaVeeLJGAFFsYe/yYo61LIk08+ucwcjSOCPReBYdmv2TqzLwIebTSfCDbz0D+bod927i/IE2T5I6gWBAuCjKFmJ/QRiYBhZdYi2NJbgb3nlKARJNYxQMAqiFvXRTDugvsa6Eq+SFA88IEPLIn9KoIFuwLlWsz+1lleS4HZnz/eoVpXSPm3wLmWhUSw31suS0wL1gkUiZ1hIljCSPzV3ye7Nn5jXBHMDiwhlWhi2/q2VRtVpFgxIBE6KIL5udonqwjmg/BU9D3XGVUE+w5xS3AQToREnf0dFMFslr+Zhgiu/o7olpSzskDfFh8TY3wUJuo+nwj2fHhKxkjA9EWwmdH+1o41iWDt4d4SClb48ZvEHZ8zKILNyhPB/Zn3+exoEiLYtY2BhK1xkKjkR7Qbv2iFgJlxq6QIeMuHfU6/MOs/TATrN7bPGDPqTKqxxWobsW61EVyMscZjffO6664r92XLVgb5nWQOv2tCj2/Dr8YudcWQcaKWNYlgn5FAcw11NNvvusNEsG1R4u+I4LXxYjMQwQYJe7zqkqiajeegJ1Uigtcsgu2rkLWSPe0XTkEQZ2mG7JM2qYN4XwTLYps9qUu9ZK0Emttss033+c9/vjgey4hkNGtWNSJ4futuXQQbKDn0ur/FbIHlSgIV/xYYzbd6YVI+Y77rzGo5tEGXiKjLu8yWCHBl5OseJ4M7wWR/7FKWaYlg44L9XoIAwYV+YeWIAF8QasZGMGBmzL4922jq3l5LxvgqwU0NmAXcZg8k45R66JYZszrTxG8JhJRxRLCA2yySccwexxrksOW6HG5QBAtkZfcFroMrHWr7DVsObTXNS17yklIvqwHcT7A2rMxSBJtJ4ucFoZaG1+Wenl/gKEjXlvYXLmWZ9EywpAv71A/NJFlCSlxqI4Er8UI8iHXYaS1s1Fip+Jyl4mzdygRjr2I5fw3C/X9NIpgIkQwx1iqeS3Ja8ofY7s8E61f6i/F9TQdgjtMu44hg9dAfPbMEJzu3ZFXf1D6eycE/ntEy+roFhKDXn8QiEiyEL7FP4FWWZgIJGNetZb6ZYAIEA6szajKAgDSLL0k/KIIl/LW1mchRyjgzwcY0CTQizsoWiSP+jqgnovzMwUz2S0sY1GIJsOXJ7EcSRVtbSSXukoxRzA5LDFitUIuxwvfqcmixmq0ZRDfRVc9GwJmY1peNQ30RrC+rY/V/CzGZhAiWCMCJ3+TDxZRmMCUSq68nkNmSRCQ7wk7sYHkz++ifCyGu0G8lVIh9hag1vvJNdQsB9pJ41Rb5e21VD0P07/7hjSaD8DVusUXXrNtv+ltABkWw2X4xt7HdagkJhrp6STLEyiDLqQdngvULCQlLuhdbMhO8ktxSzgRrcI0sg8/xaQSiqn+C22IbtO8Aczr06hQtUbNEUJFd4lzM2OpwHCLnO9/Skb4IFtxwrmZqOCWZKM7HgGUpCefEAVte/YAHPKDcT4DJCWc59Ort0roINugaWA1MBpp6MAWbFJQIDgQBhHL/8Iu19ROjfH9WIphYMLupvwogDaaEjyBHAksfI/rMkiz1ievTEsFElIDYbKjAU7AruBPAC3AkSQQeBIflx1YQCQQsaxMosg/+xwyd4IYIFfwQA4IxQa/gV8AhGCdSzPLU5XBrEsFEC7v0bMQ6sSFwJKYFzwJRAtV96n5g9+cfjXECKfch2oml+QoRNOiDJRzdz/YTQoKAUPdhZVYiWGKVMMG+BolmWCSzzOoT/5Z4Esij7q8cpX+O8plJi2DxCpFl1QEhbFUC/yTYthzeMlFtT1T4v+SHpIAZO4lhAa0A3GwVe8FNkqse7qPf94v/G3ONrzhrf0JOYXv6CbsiWIgX4pI9OthIPxGM+xkb9AyTKuOIYOKJkOXLxX62PEgEqZfZLs9qBlwf0l8lu/RXiRP1w4BPxFUs4jNm/6yU0TfMuPUP/dJHrZCx7Jo96udmOQk7sY8/fDs2riOGwVLSrJ5Fob97Ln2qiqWF2I0jgiVAiF1CRl2Nf2I0M4ySRpKb6iWG8lziNXGyz/NjkoFsSJxl2btr+T7W4i/c+oXv4OP8UQg1q4v0Tf3W1g5/fN/vtBMGbEmiQLGCwX54zzrKYWGTEMF8v7FOPzYWsgV+nhD3nHSE/kTE1qSoZ5Us5KP1ObpDG6qPffnG0Xq6ulhWDKKtJRL0VcU4Z5wVtxLExKi+bzzSXpjZiiSmlYxg23w3267JMLPH9qH3k55WeOmnBLN2FtM4S0EiTBLIbHZd6q8N3Yed+109s4dmk2Azhg2ejL6QjfZ/HxG8ksa0RbAOayBkdJyOwaMuC5Id7WdpxmnA+T6bmeDhZMz81pldnd7AWAM5DpcDn69DOdBFx60ZKoOT63FAgnKDvQwbh2PQ52TscamFQ+EcRllCMwkbWJeu0boI1lYG6DrAmvEz4BmALFmTHWU3BqFJJstGsZFZiWB+0tIrAyUhQXwJEA22Bk0BM1Exi4PmpiWC1VmgKuASPPEldQbIbK1ZC0GaWQ6BrVkwPyO2BEMChbrkllD2Odn5upyc0BAcCyQcjOM0Z4FE3UcpuBJQCgoHi+cRWAo6BH8C0bp6yfgp6conysoTGgIZMxaCWCLWfQUxhNGaXmvFxuvr5DxDfV5+msjyzH5fz2cYfM5ZiWBiwwye8aC+Ckf9zXZpR3+zYTNqkzqYaZT+6zOTFsHGTr5KoEp86IdmpNSRKPEql2p7VZgSYdpGf7YcXjvXA3W0LTvRv83yDS7HF3Trc+Ia91CfejovweT7+o2lr+xSUO96hLnxmv0Z27GfZMJsHBGsHQheIpQdE2z+YEn88vNmy8Qn7MPnJJMUglUdLTfHjZiRgOcH/a1f9Zeb+g4blETFWyKKYHRqt75OSLFNvt29iAxCR8EIf9+RzLBSRF8eRfD5/jgi2DNiyN/p04SdGWn/Vmezm5hIfvAZBBeBLhGiXuyBP7RKxvOpL1ErgcjXee5+MZtq+wexpn4EGhGEgUQisaYPSyZILODtYCzxncQNblYdqOOoSYFJiGCcLNUmMCVHCHC+Vz/DSXJEYlF/6reTPuF36sk+aBD9wjJp/cJ12Q/ONRnV3x+svmyVrZgRNiur3nyd5Kt2sIydLyBizdTWxI14uc7w4tgv2LunuEZ/lODQtmJvfd3SfOOddiHsXdvzsUXPoc8YB/y/P9M/qj+MCB5CatoieDGNszbfiQheG3r57lITiAheauKj329WInj0J1z6T05LBNeamCERHCz1O6GXnuTk7zgrETz5mkzuipMWwfXJBKp1v/nknnbdudK4IrgFbuOI4MpD/M3fTfL1VcvFiiYhgmtdTLIQ8sNeYbdQfYllCc6F3tO+0HXWt99nJnhli0YEr2+mnfqsSwQigpdva0UEr9420xbBy9calv+TRQSv3kbTEsHL3xqm+4SLFcHTfarZXn0xIni2Tzzdu09SBC/2Seu7k9d21nSx91/O34sIjghezvaZZ2uEQETw8m3oiOCI4OVrnas/WURwRPBS2WtE8OqkI4JXZbIcRPBS9Yd18T4RwRHB66Ld5pnXMwIRwcu3QSOCI4KXr3VGBI/SNpkJHoXS+J+JCI4IXshqIoIXIjTb30cED4hgh4p4x926Xrxv1OZ/J1GmhMByJ+BwHwc+OMBhlsWhDA6+cEhJfbfnLJ9nOdzbQSIOI/F3ygoCTuV06MravJ8wLKdDwH5qJ0f3X80znTutO1d1wrrDgvqv0Fl3nn75PqmDmJxY7GCflBUEHHDkUK/BQ6la5eNgPwdDOdU/ZXkRcIiYfdLiz1nulb7NH5ZBtOmEQaevOhVv1FPwlldzrvo0TteTgXK6bEoILHcCTtN2YuCoJy5Oqz6ewTv2nPS9DNzStKo51nW1jRNZh50YPNaF1qMPe8WDZOl877pdj6q6zlXF600Ent6TmbKCgPfnOg22vvokXCZDgJ0ZM2YZQE+mJpO7ilfpOEl5fZhMmgQVcYQzh7xPN2X5EWCvJj8lCWdVloUInlXlc98QCI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zSPElAAAME0lEQVQ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EGiLQERwW+2d2oZACIRACIRACIRACIRACIRA0wQigptu/lQ+BEIgBEIgBEIgBEIgBEIgBNoiEBHcVnuntiEQAiEQAiEQAiEQAiEQAiHQNIGI4KabP5UPgRAIgRAIgRAIgRAIgRAIgbYIRAS31d6pbQiEQAiEQAiEQAiEQAiEQAg0TSAiuOnmT+VDIARCIARCIARCIARCIARCoC0CEcFttXdqGwIhEAIhEAIhEAIhEAIhEAJNE4gIbrr5U/kQCIEQCIEQCIEQCIEQCIEQaItARHBb7Z3ahkAIhEAIhEAIhEAIhEAIhEDTBCKCm27+VD4EQiAEQiAEQiAEQiAEQiAE2iIQEdxWe6e2IRACIRACIRACIRACIRACIdA0gYjgpps/lQ+BEAiBEAiBEAiBEAiBEAiBtghEBLfV3qltCIRACIRACIRACIRACIRACDRNICK46eZP5UMgBEIgBEIgBEIgBEIgBEKgLQIRwW21d2obAiEQAiEQAiEQAiEQAiEQAk0TiAhuuvlT+RAIgRAIgRAIgRAIgRAIgRBoi0BEcFvtndqGQAiEQAiEQAiEQAiEQAiEQNMEIoKbbv5UPgRCIARCIARCIARCIARCIATaIhAR3FZ7p7YhEAIhEAIhEAIhEAIhEAIh0DSBiOCmmz+VD4EQCIEQCIEQCIEQCIEQCIG2CEQEt9XeqW0IhEAIhEAIhEAIhEAIhEAINE0gIrjp5k/lQyAEQiAEQiAEQiAEQiAEQqAtAhHBbbV3ahsCIRACIRACIRACIRACIRACTROICG66+VP5EAiBEAiBEAiBEAiBEAiBcQj813/9V/fDH/6wu81tbjP3tY033rjbdNNNx7nMRD77ox/9qLvHPe4x9rX+8Ic/dN/85je7P/qjP+r+/M//fJW6/M///E/3ve99r/uTP/mT7j73uc/Y114XvhARvC60Up4xBEIgBEIgBEIgBEIgBEJgWRC48MILu/e+973dve99746YJIZvuOGG7jGPeUx3+umnL8kz/v73v+/OP//87rLLLus++tGPjnXP//u//+ue+9zndgT0tttuW575tre9bbnGF7/4xe5Zz3pW96QnPam7+eabu6233rq74IILxrr+uvDhiOB1oZXyjCEQAiEQAiEQAiEQAiEQAsuCwGtf+9ruL/7iL8qfWm666abuyU9+cnfLLbd0G220URGQ3/nOd7rtt9++22qrrcqMq/Kb3/ym+8xnPtPd4Q53KKL5V7/6VXenO92p/P7WW2/tPvvZz3a3u93tul133XVOmA5W+sYbbyzC9AMf+EC3zz77dKeddtpQLv/7v/9b7vUf//Ef3eMf//huk002KZ/7yU9+0u20007dJz/5ySLk//iP/7j8nDh+0YteVJ739a9/fef76vj+97+/u9vd7rYs2E/qISKCJ0Uy1wmBEAiBEAiBEAiBEAiBEFivCfzud7/rNt98847o3XLLLefqSpjuueee3b/8y790Rx55ZPee97ynu/jii7uXv/zl3aGHHlr+/u1vf1sE7llnndW5DiH85je/ufunf/qnzszu/e9//+6SSy7prr/++u6nP/1pmekdLJZiE71HHHFEEbJ/8zd/U+47WFzPLK8Z3x//+MflWX7wgx+UPzvssMPcx4nyDTfccN42e8pTntL97d/+bRH261OJCF6fWjN1CYEQCIEQCIEQCIEQCIEQmBqB7373u91jH/vYMjtKxCoEr+XRRx99dPe0pz2tO/vss7vXve515XfXXXddt++++3bf/va3uxe+8IVl9tdsq9nXY445prv00ku7K664ott55527f/zHf+w222yz7te//nW33Xbbdddee2133/ved2hd/vM//7N75CMf2X384x8fuifYbLV9yocddli3wQYbdIcffnj3oAc9qNt///27yy+/vPvGN77RvfrVrx56bTPCu+22W1ni/da3vrV7/vOfPzWes7pwRPCsyOe+IRACIRACIRACIRACIRAC6xQBs7Z77bVXOUxKsSd4iy22KMuGX/CCF3TEqZlcS44JX3/MvhK7PvO5z31u7hCqr3zlK90JJ5zQPec5z+me97zndQcddNDcNc8999wicM3mDitmiv3OcurB4mArS7OJ6zqDa9+w5dkHHnhgEd8E8bAZZNcy2+xgrOOPP74860UXXbROtdEoDxsRPAqlfCYEQiAEQiAEQiAEQiAEQqB5AkcddVRHZJ544olDWey4445lmfLJJ5/c3f72ty+zrfe61726PfbYo8zKEsO1nHPOOd1d73rXso/YkuRDDjlkZL5XXnllZwm25dCD5Re/+EWZkbYfuJaXvvSlnaXNZnj/9E//tPvyl7/cbbPNNmu8HzH86Ec/uvvSl7408nOtKx+MCF5XWirPGQL/r707RmklisIAfCtrQTdhqUSxEdEqmFJ34VLEQnANYmGRMkXSmEXY24mlG5D/wlj4ovgKPaDflGGYM/mm+jn3nkuAAAECBAgQIECgVCDd3uyzPTw8/Oc9sr82g7DSgU2XNiFyb2+v3dzc9CB8enraZrNZX56coDoajVrCbELm3d1dX1KdZdLpAqfTnCXSH13n5+ft6OionZ2drXyPBN7UyvMypGt3d7eH7Sx13traao+Pj2+DsoYHXF9f9yORTk5O+k9XV1dtsVj89/Tp0g/0xeJC8Beh3EaAAAECBAgQIECAwN8WODg4aLe3tyv34WZpdJY1Z09vOrHT6bTd39+3h4eH3vFNFzkBOR3f+Xzew2X25mbJcjquWZ6cjnD2EWfy87Dn+L14pjYfHx+3i4uLtr+/v/KDZLpzpkLv7Oz0cJ2lzdvb2225XPYwnhD8fiDWy8tLG4/HfS9xusW5J++4sbHx6z66EPzrPqk/RIAAAQIECBAgQIDAdwjkGKME2s+uhOAE1YTHdHxzBNJwDu/z83Pvxj49PbXJZNKnSa+trfXfcm+OShqOMvqoRiZL5948fzjeaNW9w33r6+u9Rq7sWc5y7s9q5N3yHpubm2/7l7/DsvKZQnClvtoECBAgQIAAAQIECPx6geHooxyflJCZCdFZbpxJ066fFxCCf95cRQIECBAgQIAAAQIE/pjA5eVlXx6dK+cDZ0Kzq0ZACK5xV5UAAQIECBAgQIAAAQIECgSE4AJ0JQkQIECAAAECBAgQIECgRkAIrnFXlQABAgQIECBAgAABAgQKBITgAnQlCRAgQIAAAQIECBAgQKBGQAiucVeVAAECBAgQIECAAAECBAoEhOACdCUJECBAgAABAgQIECBAoEZACK5xV5UAAQIECBAgQIAAAQIECgSE4AJ0JQkQIECAAAECBAgQIECgRkAIrnFXlQABAgQIECBAgAABAgQKBITgAnQlCRAgQIAAAQIECBAgQKBGQAiucVeVAAECBAgQIECAAAECBAoEXgF473BCz9w27wAAAABJRU5ErkJggg==">
          <a:extLst>
            <a:ext uri="{FF2B5EF4-FFF2-40B4-BE49-F238E27FC236}">
              <a16:creationId xmlns:a16="http://schemas.microsoft.com/office/drawing/2014/main" id="{5C8EEEE2-E498-48D9-8C6C-27DFB83180C3}"/>
            </a:ext>
          </a:extLst>
        </xdr:cNvPr>
        <xdr:cNvSpPr>
          <a:spLocks noChangeAspect="1" noChangeArrowheads="1"/>
        </xdr:cNvSpPr>
      </xdr:nvSpPr>
      <xdr:spPr bwMode="auto">
        <a:xfrm>
          <a:off x="0" y="1611086"/>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8</xdr:row>
      <xdr:rowOff>171450</xdr:rowOff>
    </xdr:from>
    <xdr:to>
      <xdr:col>16</xdr:col>
      <xdr:colOff>16356</xdr:colOff>
      <xdr:row>41</xdr:row>
      <xdr:rowOff>47625</xdr:rowOff>
    </xdr:to>
    <xdr:pic>
      <xdr:nvPicPr>
        <xdr:cNvPr id="5" name="Picture 4">
          <a:extLst>
            <a:ext uri="{FF2B5EF4-FFF2-40B4-BE49-F238E27FC236}">
              <a16:creationId xmlns:a16="http://schemas.microsoft.com/office/drawing/2014/main" id="{EE5F364E-4170-4E7A-9067-BF718FE27C1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1771650"/>
          <a:ext cx="11141556" cy="6477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43</xdr:row>
      <xdr:rowOff>0</xdr:rowOff>
    </xdr:from>
    <xdr:to>
      <xdr:col>29</xdr:col>
      <xdr:colOff>468626</xdr:colOff>
      <xdr:row>80</xdr:row>
      <xdr:rowOff>152599</xdr:rowOff>
    </xdr:to>
    <xdr:pic>
      <xdr:nvPicPr>
        <xdr:cNvPr id="3" name="Picture 2">
          <a:extLst>
            <a:ext uri="{FF2B5EF4-FFF2-40B4-BE49-F238E27FC236}">
              <a16:creationId xmlns:a16="http://schemas.microsoft.com/office/drawing/2014/main" id="{AFE88EA1-F95E-40C3-BCF6-3D86969A1007}"/>
            </a:ext>
          </a:extLst>
        </xdr:cNvPr>
        <xdr:cNvPicPr>
          <a:picLocks noChangeAspect="1"/>
        </xdr:cNvPicPr>
      </xdr:nvPicPr>
      <xdr:blipFill>
        <a:blip xmlns:r="http://schemas.openxmlformats.org/officeDocument/2006/relationships" r:embed="rId3"/>
        <a:stretch>
          <a:fillRect/>
        </a:stretch>
      </xdr:blipFill>
      <xdr:spPr>
        <a:xfrm>
          <a:off x="0" y="8659586"/>
          <a:ext cx="20672512" cy="760387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674914</xdr:colOff>
      <xdr:row>46</xdr:row>
      <xdr:rowOff>97971</xdr:rowOff>
    </xdr:to>
    <xdr:pic>
      <xdr:nvPicPr>
        <xdr:cNvPr id="4" name="Picture 3">
          <a:extLst>
            <a:ext uri="{FF2B5EF4-FFF2-40B4-BE49-F238E27FC236}">
              <a16:creationId xmlns:a16="http://schemas.microsoft.com/office/drawing/2014/main" id="{EE674158-C6D7-4721-8B03-11F0E1177F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3215257" cy="93617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15"/>
  <sheetViews>
    <sheetView workbookViewId="0">
      <selection activeCell="K14" sqref="K14:N14"/>
    </sheetView>
  </sheetViews>
  <sheetFormatPr defaultRowHeight="15.6" x14ac:dyDescent="0.3"/>
  <cols>
    <col min="1" max="1" width="4.3984375" customWidth="1"/>
  </cols>
  <sheetData>
    <row r="1" spans="2:16" ht="16.2" thickBot="1" x14ac:dyDescent="0.35"/>
    <row r="2" spans="2:16" x14ac:dyDescent="0.3">
      <c r="B2" s="22"/>
      <c r="C2" s="23"/>
      <c r="D2" s="23"/>
      <c r="E2" s="23"/>
      <c r="F2" s="233" t="s">
        <v>18</v>
      </c>
      <c r="G2" s="234"/>
      <c r="H2" s="234"/>
      <c r="I2" s="234"/>
      <c r="J2" s="234"/>
      <c r="K2" s="234"/>
      <c r="L2" s="235"/>
      <c r="M2" s="23"/>
      <c r="N2" s="23"/>
      <c r="O2" s="23"/>
      <c r="P2" s="24"/>
    </row>
    <row r="3" spans="2:16" x14ac:dyDescent="0.3">
      <c r="B3" s="25"/>
      <c r="C3" s="26"/>
      <c r="D3" s="26"/>
      <c r="E3" s="26"/>
      <c r="F3" s="236"/>
      <c r="G3" s="237"/>
      <c r="H3" s="237"/>
      <c r="I3" s="237"/>
      <c r="J3" s="237"/>
      <c r="K3" s="237"/>
      <c r="L3" s="238"/>
      <c r="M3" s="26"/>
      <c r="N3" s="26"/>
      <c r="O3" s="26"/>
      <c r="P3" s="27"/>
    </row>
    <row r="4" spans="2:16" x14ac:dyDescent="0.3">
      <c r="B4" s="25"/>
      <c r="C4" s="26"/>
      <c r="D4" s="26"/>
      <c r="E4" s="26"/>
      <c r="F4" s="236"/>
      <c r="G4" s="237"/>
      <c r="H4" s="237"/>
      <c r="I4" s="237"/>
      <c r="J4" s="237"/>
      <c r="K4" s="237"/>
      <c r="L4" s="238"/>
      <c r="M4" s="26"/>
      <c r="N4" s="26"/>
      <c r="O4" s="26"/>
      <c r="P4" s="27"/>
    </row>
    <row r="5" spans="2:16" x14ac:dyDescent="0.3">
      <c r="B5" s="25"/>
      <c r="C5" s="26"/>
      <c r="D5" s="26"/>
      <c r="E5" s="26"/>
      <c r="F5" s="236"/>
      <c r="G5" s="237"/>
      <c r="H5" s="237"/>
      <c r="I5" s="237"/>
      <c r="J5" s="237"/>
      <c r="K5" s="237"/>
      <c r="L5" s="238"/>
      <c r="M5" s="26"/>
      <c r="N5" s="26"/>
      <c r="O5" s="26"/>
      <c r="P5" s="27"/>
    </row>
    <row r="6" spans="2:16" x14ac:dyDescent="0.3">
      <c r="B6" s="25"/>
      <c r="C6" s="26"/>
      <c r="D6" s="26"/>
      <c r="E6" s="26"/>
      <c r="F6" s="236"/>
      <c r="G6" s="237"/>
      <c r="H6" s="237"/>
      <c r="I6" s="237"/>
      <c r="J6" s="237"/>
      <c r="K6" s="237"/>
      <c r="L6" s="238"/>
      <c r="M6" s="26"/>
      <c r="N6" s="26"/>
      <c r="O6" s="26"/>
      <c r="P6" s="27"/>
    </row>
    <row r="7" spans="2:16" ht="16.2" thickBot="1" x14ac:dyDescent="0.35">
      <c r="B7" s="28"/>
      <c r="C7" s="29"/>
      <c r="D7" s="29"/>
      <c r="E7" s="29"/>
      <c r="F7" s="239"/>
      <c r="G7" s="240"/>
      <c r="H7" s="240"/>
      <c r="I7" s="240"/>
      <c r="J7" s="240"/>
      <c r="K7" s="240"/>
      <c r="L7" s="241"/>
      <c r="M7" s="29"/>
      <c r="N7" s="29"/>
      <c r="O7" s="29"/>
      <c r="P7" s="30"/>
    </row>
    <row r="8" spans="2:16" s="19" customFormat="1" ht="18" x14ac:dyDescent="0.35">
      <c r="B8" s="214" t="s">
        <v>22</v>
      </c>
      <c r="C8" s="215"/>
      <c r="D8" s="215"/>
      <c r="E8" s="216"/>
      <c r="F8" s="214" t="s">
        <v>23</v>
      </c>
      <c r="G8" s="215"/>
      <c r="H8" s="216"/>
      <c r="I8" s="44"/>
      <c r="J8" s="214" t="s">
        <v>24</v>
      </c>
      <c r="K8" s="215"/>
      <c r="L8" s="215"/>
      <c r="M8" s="216"/>
      <c r="N8" s="214" t="s">
        <v>25</v>
      </c>
      <c r="O8" s="215"/>
      <c r="P8" s="216"/>
    </row>
    <row r="9" spans="2:16" s="20" customFormat="1" ht="21.6" thickBot="1" x14ac:dyDescent="0.45">
      <c r="B9" s="217" t="s">
        <v>26</v>
      </c>
      <c r="C9" s="218"/>
      <c r="D9" s="218"/>
      <c r="E9" s="219"/>
      <c r="F9" s="217">
        <v>1.02</v>
      </c>
      <c r="G9" s="218"/>
      <c r="H9" s="219"/>
      <c r="I9" s="45"/>
      <c r="J9" s="217" t="s">
        <v>69</v>
      </c>
      <c r="K9" s="218"/>
      <c r="L9" s="218"/>
      <c r="M9" s="219"/>
      <c r="N9" s="217" t="s">
        <v>87</v>
      </c>
      <c r="O9" s="218"/>
      <c r="P9" s="219"/>
    </row>
    <row r="10" spans="2:16" ht="16.2" thickBot="1" x14ac:dyDescent="0.35">
      <c r="B10" s="31"/>
      <c r="C10" s="32"/>
      <c r="D10" s="32"/>
      <c r="E10" s="32"/>
      <c r="F10" s="32"/>
      <c r="G10" s="32"/>
      <c r="H10" s="32"/>
      <c r="I10" s="32"/>
      <c r="J10" s="32"/>
      <c r="K10" s="32"/>
      <c r="L10" s="32"/>
      <c r="M10" s="32"/>
      <c r="N10" s="32"/>
      <c r="O10" s="32"/>
      <c r="P10" s="33"/>
    </row>
    <row r="11" spans="2:16" s="21" customFormat="1" ht="21.6" thickBot="1" x14ac:dyDescent="0.45">
      <c r="B11" s="34"/>
      <c r="C11" s="35"/>
      <c r="D11" s="205" t="s">
        <v>27</v>
      </c>
      <c r="E11" s="206"/>
      <c r="F11" s="206"/>
      <c r="G11" s="207"/>
      <c r="H11" s="205" t="s">
        <v>28</v>
      </c>
      <c r="I11" s="206"/>
      <c r="J11" s="207"/>
      <c r="K11" s="205" t="s">
        <v>29</v>
      </c>
      <c r="L11" s="206"/>
      <c r="M11" s="206"/>
      <c r="N11" s="207"/>
      <c r="O11" s="35"/>
      <c r="P11" s="36"/>
    </row>
    <row r="12" spans="2:16" x14ac:dyDescent="0.3">
      <c r="B12" s="31"/>
      <c r="C12" s="32"/>
      <c r="D12" s="208" t="s">
        <v>70</v>
      </c>
      <c r="E12" s="209"/>
      <c r="F12" s="209"/>
      <c r="G12" s="210"/>
      <c r="H12" s="227" t="s">
        <v>88</v>
      </c>
      <c r="I12" s="228"/>
      <c r="J12" s="229"/>
      <c r="K12" s="220" t="s">
        <v>41</v>
      </c>
      <c r="L12" s="221"/>
      <c r="M12" s="221"/>
      <c r="N12" s="222"/>
      <c r="O12" s="32"/>
      <c r="P12" s="33"/>
    </row>
    <row r="13" spans="2:16" x14ac:dyDescent="0.3">
      <c r="B13" s="31"/>
      <c r="C13" s="32"/>
      <c r="D13" s="208" t="s">
        <v>57</v>
      </c>
      <c r="E13" s="209"/>
      <c r="F13" s="209"/>
      <c r="G13" s="210"/>
      <c r="H13" s="227" t="s">
        <v>89</v>
      </c>
      <c r="I13" s="228"/>
      <c r="J13" s="229"/>
      <c r="K13" s="223" t="s">
        <v>57</v>
      </c>
      <c r="L13" s="221"/>
      <c r="M13" s="221"/>
      <c r="N13" s="222"/>
      <c r="O13" s="32"/>
      <c r="P13" s="33"/>
    </row>
    <row r="14" spans="2:16" ht="16.2" thickBot="1" x14ac:dyDescent="0.35">
      <c r="B14" s="31"/>
      <c r="C14" s="32"/>
      <c r="D14" s="211" t="s">
        <v>66</v>
      </c>
      <c r="E14" s="212"/>
      <c r="F14" s="212"/>
      <c r="G14" s="213"/>
      <c r="H14" s="230" t="s">
        <v>90</v>
      </c>
      <c r="I14" s="231"/>
      <c r="J14" s="232"/>
      <c r="K14" s="224" t="s">
        <v>66</v>
      </c>
      <c r="L14" s="225"/>
      <c r="M14" s="225"/>
      <c r="N14" s="226"/>
      <c r="O14" s="32"/>
      <c r="P14" s="33"/>
    </row>
    <row r="15" spans="2:16" ht="16.2" thickBot="1" x14ac:dyDescent="0.35">
      <c r="B15" s="37"/>
      <c r="C15" s="38"/>
      <c r="D15" s="38"/>
      <c r="E15" s="38"/>
      <c r="F15" s="38"/>
      <c r="G15" s="38"/>
      <c r="H15" s="38"/>
      <c r="I15" s="38"/>
      <c r="J15" s="38"/>
      <c r="K15" s="38"/>
      <c r="L15" s="38"/>
      <c r="M15" s="38"/>
      <c r="N15" s="38"/>
      <c r="O15" s="38"/>
      <c r="P15" s="39"/>
    </row>
  </sheetData>
  <mergeCells count="21">
    <mergeCell ref="F2:L7"/>
    <mergeCell ref="B8:E8"/>
    <mergeCell ref="B9:E9"/>
    <mergeCell ref="F8:H8"/>
    <mergeCell ref="F9:H9"/>
    <mergeCell ref="J8:M8"/>
    <mergeCell ref="J9:M9"/>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s>
  <hyperlinks>
    <hyperlink ref="K12:N12" location="'Felix 1.5-Summary'!A1" display="TPC DAM Evaluation --FELIX 1.5" xr:uid="{00000000-0004-0000-0000-000000000000}"/>
    <hyperlink ref="K13:N13" location="'Felix 2.0-Summary'!A1" display="TPC DAM Evaluation -- FELIX 2.0" xr:uid="{00000000-0004-0000-0000-000001000000}"/>
    <hyperlink ref="K14:N14" location="'Production-Summary'!A1" display="TPC DAM Production"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zoomScale="85" zoomScaleNormal="85" workbookViewId="0">
      <selection activeCell="N4" sqref="N4:Q5"/>
    </sheetView>
  </sheetViews>
  <sheetFormatPr defaultColWidth="10.8984375" defaultRowHeight="15.6" x14ac:dyDescent="0.3"/>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x14ac:dyDescent="0.35"/>
    <row r="2" spans="2:17" ht="26.1" customHeight="1" x14ac:dyDescent="0.3">
      <c r="B2" s="1"/>
      <c r="C2" s="2"/>
      <c r="D2" s="2"/>
      <c r="E2" s="2"/>
      <c r="F2" s="304" t="s">
        <v>18</v>
      </c>
      <c r="G2" s="234"/>
      <c r="H2" s="234"/>
      <c r="I2" s="234"/>
      <c r="J2" s="234"/>
      <c r="K2" s="234"/>
      <c r="L2" s="305"/>
      <c r="M2" s="313" t="s">
        <v>1</v>
      </c>
      <c r="N2" s="308">
        <v>43509</v>
      </c>
      <c r="O2" s="309"/>
      <c r="P2" s="309"/>
      <c r="Q2" s="310"/>
    </row>
    <row r="3" spans="2:17" ht="16.05" customHeight="1" thickBot="1" x14ac:dyDescent="0.35">
      <c r="B3" s="3"/>
      <c r="C3" s="4"/>
      <c r="D3" s="4"/>
      <c r="E3" s="4"/>
      <c r="F3" s="306"/>
      <c r="G3" s="237"/>
      <c r="H3" s="237"/>
      <c r="I3" s="237"/>
      <c r="J3" s="237"/>
      <c r="K3" s="237"/>
      <c r="L3" s="307"/>
      <c r="M3" s="314"/>
      <c r="N3" s="311"/>
      <c r="O3" s="311"/>
      <c r="P3" s="311"/>
      <c r="Q3" s="312"/>
    </row>
    <row r="4" spans="2:17" ht="18" customHeight="1" x14ac:dyDescent="0.3">
      <c r="B4" s="3"/>
      <c r="C4" s="4"/>
      <c r="D4" s="4"/>
      <c r="E4" s="4"/>
      <c r="F4" s="306"/>
      <c r="G4" s="237"/>
      <c r="H4" s="237"/>
      <c r="I4" s="237"/>
      <c r="J4" s="237"/>
      <c r="K4" s="237"/>
      <c r="L4" s="307"/>
      <c r="M4" s="313" t="s">
        <v>0</v>
      </c>
      <c r="N4" s="309" t="s">
        <v>71</v>
      </c>
      <c r="O4" s="309"/>
      <c r="P4" s="309"/>
      <c r="Q4" s="310"/>
    </row>
    <row r="5" spans="2:17" ht="16.2" thickBot="1" x14ac:dyDescent="0.35">
      <c r="B5" s="3"/>
      <c r="C5" s="4"/>
      <c r="D5" s="4"/>
      <c r="E5" s="4"/>
      <c r="F5" s="306"/>
      <c r="G5" s="237"/>
      <c r="H5" s="237"/>
      <c r="I5" s="237"/>
      <c r="J5" s="237"/>
      <c r="K5" s="237"/>
      <c r="L5" s="307"/>
      <c r="M5" s="315"/>
      <c r="N5" s="316"/>
      <c r="O5" s="316"/>
      <c r="P5" s="316"/>
      <c r="Q5" s="317"/>
    </row>
    <row r="6" spans="2:17" ht="21" customHeight="1" x14ac:dyDescent="0.3">
      <c r="B6" s="3"/>
      <c r="C6" s="4"/>
      <c r="D6" s="4"/>
      <c r="E6" s="4"/>
      <c r="F6" s="306"/>
      <c r="G6" s="237"/>
      <c r="H6" s="237"/>
      <c r="I6" s="237"/>
      <c r="J6" s="237"/>
      <c r="K6" s="237"/>
      <c r="L6" s="237"/>
      <c r="M6" s="318" t="s">
        <v>2</v>
      </c>
      <c r="N6" s="320" t="s">
        <v>197</v>
      </c>
      <c r="O6" s="321"/>
      <c r="P6" s="321"/>
      <c r="Q6" s="322"/>
    </row>
    <row r="7" spans="2:17" ht="16.2" thickBot="1" x14ac:dyDescent="0.35">
      <c r="B7" s="3"/>
      <c r="C7" s="4"/>
      <c r="D7" s="4"/>
      <c r="E7" s="4"/>
      <c r="F7" s="306"/>
      <c r="G7" s="240"/>
      <c r="H7" s="240"/>
      <c r="I7" s="240"/>
      <c r="J7" s="240"/>
      <c r="K7" s="240"/>
      <c r="L7" s="240"/>
      <c r="M7" s="319"/>
      <c r="N7" s="323"/>
      <c r="O7" s="324"/>
      <c r="P7" s="324"/>
      <c r="Q7" s="325"/>
    </row>
    <row r="8" spans="2:17" s="13" customFormat="1" ht="27" customHeight="1" x14ac:dyDescent="0.3">
      <c r="B8" s="284" t="s">
        <v>19</v>
      </c>
      <c r="C8" s="285"/>
      <c r="D8" s="285"/>
      <c r="E8" s="285"/>
      <c r="F8" s="286"/>
      <c r="G8" s="284" t="s">
        <v>20</v>
      </c>
      <c r="H8" s="285"/>
      <c r="I8" s="285"/>
      <c r="J8" s="285"/>
      <c r="K8" s="285"/>
      <c r="L8" s="285"/>
      <c r="M8" s="289"/>
      <c r="N8" s="287" t="s">
        <v>21</v>
      </c>
      <c r="O8" s="288"/>
      <c r="P8" s="288"/>
      <c r="Q8" s="289"/>
    </row>
    <row r="9" spans="2:17" x14ac:dyDescent="0.3">
      <c r="B9" s="278" t="s">
        <v>41</v>
      </c>
      <c r="C9" s="279"/>
      <c r="D9" s="279"/>
      <c r="E9" s="279"/>
      <c r="F9" s="280"/>
      <c r="G9" s="278" t="s">
        <v>93</v>
      </c>
      <c r="H9" s="279"/>
      <c r="I9" s="279"/>
      <c r="J9" s="279"/>
      <c r="K9" s="279"/>
      <c r="L9" s="279"/>
      <c r="M9" s="280"/>
      <c r="N9" s="290"/>
      <c r="O9" s="291"/>
      <c r="P9" s="291"/>
      <c r="Q9" s="292"/>
    </row>
    <row r="10" spans="2:17" ht="16.2" thickBot="1" x14ac:dyDescent="0.35">
      <c r="B10" s="281"/>
      <c r="C10" s="282"/>
      <c r="D10" s="282"/>
      <c r="E10" s="282"/>
      <c r="F10" s="283"/>
      <c r="G10" s="281"/>
      <c r="H10" s="282"/>
      <c r="I10" s="282"/>
      <c r="J10" s="282"/>
      <c r="K10" s="282"/>
      <c r="L10" s="282"/>
      <c r="M10" s="283"/>
      <c r="N10" s="293"/>
      <c r="O10" s="294"/>
      <c r="P10" s="294"/>
      <c r="Q10" s="295"/>
    </row>
    <row r="11" spans="2:17" s="13" customFormat="1" ht="27" customHeight="1" x14ac:dyDescent="0.3">
      <c r="B11" s="284" t="s">
        <v>3</v>
      </c>
      <c r="C11" s="285"/>
      <c r="D11" s="285"/>
      <c r="E11" s="285"/>
      <c r="F11" s="285"/>
      <c r="G11" s="285"/>
      <c r="H11" s="285"/>
      <c r="I11" s="285"/>
      <c r="J11" s="285"/>
      <c r="K11" s="285"/>
      <c r="L11" s="285"/>
      <c r="M11" s="285"/>
      <c r="N11" s="285"/>
      <c r="O11" s="285"/>
      <c r="P11" s="285"/>
      <c r="Q11" s="286"/>
    </row>
    <row r="12" spans="2:17" ht="18" customHeight="1" x14ac:dyDescent="0.3">
      <c r="B12" s="297" t="s">
        <v>76</v>
      </c>
      <c r="C12" s="298"/>
      <c r="D12" s="298"/>
      <c r="E12" s="298"/>
      <c r="F12" s="298"/>
      <c r="G12" s="298"/>
      <c r="H12" s="298"/>
      <c r="I12" s="298"/>
      <c r="J12" s="298"/>
      <c r="K12" s="298"/>
      <c r="L12" s="298"/>
      <c r="M12" s="298"/>
      <c r="N12" s="298"/>
      <c r="O12" s="298"/>
      <c r="P12" s="298"/>
      <c r="Q12" s="299"/>
    </row>
    <row r="13" spans="2:17" ht="18" customHeight="1" x14ac:dyDescent="0.3">
      <c r="B13" s="300"/>
      <c r="C13" s="298"/>
      <c r="D13" s="298"/>
      <c r="E13" s="298"/>
      <c r="F13" s="298"/>
      <c r="G13" s="298"/>
      <c r="H13" s="298"/>
      <c r="I13" s="298"/>
      <c r="J13" s="298"/>
      <c r="K13" s="298"/>
      <c r="L13" s="298"/>
      <c r="M13" s="298"/>
      <c r="N13" s="298"/>
      <c r="O13" s="298"/>
      <c r="P13" s="298"/>
      <c r="Q13" s="299"/>
    </row>
    <row r="14" spans="2:17" ht="18" customHeight="1" x14ac:dyDescent="0.3">
      <c r="B14" s="300"/>
      <c r="C14" s="298"/>
      <c r="D14" s="298"/>
      <c r="E14" s="298"/>
      <c r="F14" s="298"/>
      <c r="G14" s="298"/>
      <c r="H14" s="298"/>
      <c r="I14" s="298"/>
      <c r="J14" s="298"/>
      <c r="K14" s="298"/>
      <c r="L14" s="298"/>
      <c r="M14" s="298"/>
      <c r="N14" s="298"/>
      <c r="O14" s="298"/>
      <c r="P14" s="298"/>
      <c r="Q14" s="299"/>
    </row>
    <row r="15" spans="2:17" x14ac:dyDescent="0.3">
      <c r="B15" s="300"/>
      <c r="C15" s="298"/>
      <c r="D15" s="298"/>
      <c r="E15" s="298"/>
      <c r="F15" s="298"/>
      <c r="G15" s="298"/>
      <c r="H15" s="298"/>
      <c r="I15" s="298"/>
      <c r="J15" s="298"/>
      <c r="K15" s="298"/>
      <c r="L15" s="298"/>
      <c r="M15" s="298"/>
      <c r="N15" s="298"/>
      <c r="O15" s="298"/>
      <c r="P15" s="298"/>
      <c r="Q15" s="299"/>
    </row>
    <row r="16" spans="2:17" x14ac:dyDescent="0.3">
      <c r="B16" s="300"/>
      <c r="C16" s="298"/>
      <c r="D16" s="298"/>
      <c r="E16" s="298"/>
      <c r="F16" s="298"/>
      <c r="G16" s="298"/>
      <c r="H16" s="298"/>
      <c r="I16" s="298"/>
      <c r="J16" s="298"/>
      <c r="K16" s="298"/>
      <c r="L16" s="298"/>
      <c r="M16" s="298"/>
      <c r="N16" s="298"/>
      <c r="O16" s="298"/>
      <c r="P16" s="298"/>
      <c r="Q16" s="299"/>
    </row>
    <row r="17" spans="2:17" x14ac:dyDescent="0.3">
      <c r="B17" s="300"/>
      <c r="C17" s="298"/>
      <c r="D17" s="298"/>
      <c r="E17" s="298"/>
      <c r="F17" s="298"/>
      <c r="G17" s="298"/>
      <c r="H17" s="298"/>
      <c r="I17" s="298"/>
      <c r="J17" s="298"/>
      <c r="K17" s="298"/>
      <c r="L17" s="298"/>
      <c r="M17" s="298"/>
      <c r="N17" s="298"/>
      <c r="O17" s="298"/>
      <c r="P17" s="298"/>
      <c r="Q17" s="299"/>
    </row>
    <row r="18" spans="2:17" ht="16.2" thickBot="1" x14ac:dyDescent="0.35">
      <c r="B18" s="300"/>
      <c r="C18" s="298"/>
      <c r="D18" s="298"/>
      <c r="E18" s="298"/>
      <c r="F18" s="298"/>
      <c r="G18" s="298"/>
      <c r="H18" s="298"/>
      <c r="I18" s="298"/>
      <c r="J18" s="298"/>
      <c r="K18" s="298"/>
      <c r="L18" s="298"/>
      <c r="M18" s="298"/>
      <c r="N18" s="298"/>
      <c r="O18" s="298"/>
      <c r="P18" s="298"/>
      <c r="Q18" s="299"/>
    </row>
    <row r="19" spans="2:17" s="13" customFormat="1" ht="27" customHeight="1" x14ac:dyDescent="0.3">
      <c r="B19" s="284" t="s">
        <v>4</v>
      </c>
      <c r="C19" s="285"/>
      <c r="D19" s="285"/>
      <c r="E19" s="285"/>
      <c r="F19" s="285"/>
      <c r="G19" s="285"/>
      <c r="H19" s="285"/>
      <c r="I19" s="285"/>
      <c r="J19" s="285"/>
      <c r="K19" s="285"/>
      <c r="L19" s="285"/>
      <c r="M19" s="285"/>
      <c r="N19" s="285"/>
      <c r="O19" s="285"/>
      <c r="P19" s="285"/>
      <c r="Q19" s="286"/>
    </row>
    <row r="20" spans="2:17" x14ac:dyDescent="0.3">
      <c r="B20" s="5"/>
      <c r="Q20" s="7"/>
    </row>
    <row r="21" spans="2:17" x14ac:dyDescent="0.3">
      <c r="B21" s="5"/>
      <c r="Q21" s="7"/>
    </row>
    <row r="22" spans="2:17" ht="18.600000000000001" thickBot="1" x14ac:dyDescent="0.4">
      <c r="B22" s="5"/>
      <c r="C22" s="12"/>
      <c r="D22" s="11" t="s">
        <v>5</v>
      </c>
      <c r="Q22" s="7"/>
    </row>
    <row r="23" spans="2:17" ht="18.600000000000001" thickBot="1" x14ac:dyDescent="0.4">
      <c r="B23" s="5"/>
      <c r="C23" s="12" t="s">
        <v>39</v>
      </c>
      <c r="D23" s="11" t="s">
        <v>6</v>
      </c>
      <c r="Q23" s="7"/>
    </row>
    <row r="24" spans="2:17" ht="18.600000000000001" thickBot="1" x14ac:dyDescent="0.4">
      <c r="B24" s="5"/>
      <c r="C24" s="12"/>
      <c r="D24" s="11" t="s">
        <v>7</v>
      </c>
      <c r="Q24" s="7"/>
    </row>
    <row r="25" spans="2:17" ht="18.600000000000001" thickBot="1" x14ac:dyDescent="0.4">
      <c r="B25" s="5"/>
      <c r="C25" s="12" t="s">
        <v>39</v>
      </c>
      <c r="D25" s="11" t="s">
        <v>8</v>
      </c>
      <c r="Q25" s="7"/>
    </row>
    <row r="26" spans="2:17" ht="18.600000000000001" thickBot="1" x14ac:dyDescent="0.4">
      <c r="B26" s="5"/>
      <c r="C26" s="12" t="s">
        <v>39</v>
      </c>
      <c r="D26" s="11" t="s">
        <v>9</v>
      </c>
      <c r="Q26" s="7"/>
    </row>
    <row r="27" spans="2:17" ht="18.600000000000001" thickBot="1" x14ac:dyDescent="0.4">
      <c r="B27" s="5"/>
      <c r="C27" s="12" t="s">
        <v>39</v>
      </c>
      <c r="D27" s="11" t="s">
        <v>10</v>
      </c>
      <c r="Q27" s="7"/>
    </row>
    <row r="28" spans="2:17" ht="18.600000000000001" thickBot="1" x14ac:dyDescent="0.4">
      <c r="B28" s="5"/>
      <c r="C28" s="12"/>
      <c r="D28" s="11" t="s">
        <v>11</v>
      </c>
      <c r="Q28" s="7"/>
    </row>
    <row r="29" spans="2:17" ht="18.600000000000001" thickBot="1" x14ac:dyDescent="0.4">
      <c r="B29" s="5"/>
      <c r="C29" s="12" t="s">
        <v>39</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48" t="s">
        <v>13</v>
      </c>
      <c r="C32" s="249"/>
      <c r="D32" s="249"/>
      <c r="E32" s="249"/>
      <c r="F32" s="249"/>
      <c r="G32" s="249"/>
      <c r="H32" s="249"/>
      <c r="I32" s="249"/>
      <c r="J32" s="249"/>
      <c r="K32" s="249"/>
      <c r="L32" s="249"/>
      <c r="M32" s="249"/>
      <c r="N32" s="249"/>
      <c r="O32" s="249"/>
      <c r="P32" s="249"/>
      <c r="Q32" s="250"/>
    </row>
    <row r="33" spans="2:17" x14ac:dyDescent="0.3">
      <c r="B33" s="254" t="s">
        <v>86</v>
      </c>
      <c r="C33" s="255"/>
      <c r="D33" s="255"/>
      <c r="E33" s="255"/>
      <c r="F33" s="255"/>
      <c r="G33" s="255"/>
      <c r="H33" s="255"/>
      <c r="I33" s="255"/>
      <c r="J33" s="255"/>
      <c r="K33" s="255"/>
      <c r="L33" s="255"/>
      <c r="M33" s="255"/>
      <c r="N33" s="255"/>
      <c r="O33" s="255"/>
      <c r="P33" s="255"/>
      <c r="Q33" s="256"/>
    </row>
    <row r="34" spans="2:17" x14ac:dyDescent="0.3">
      <c r="B34" s="257"/>
      <c r="C34" s="258"/>
      <c r="D34" s="258"/>
      <c r="E34" s="258"/>
      <c r="F34" s="258"/>
      <c r="G34" s="258"/>
      <c r="H34" s="258"/>
      <c r="I34" s="258"/>
      <c r="J34" s="258"/>
      <c r="K34" s="258"/>
      <c r="L34" s="258"/>
      <c r="M34" s="258"/>
      <c r="N34" s="258"/>
      <c r="O34" s="258"/>
      <c r="P34" s="258"/>
      <c r="Q34" s="259"/>
    </row>
    <row r="35" spans="2:17" x14ac:dyDescent="0.3">
      <c r="B35" s="257"/>
      <c r="C35" s="258"/>
      <c r="D35" s="258"/>
      <c r="E35" s="258"/>
      <c r="F35" s="258"/>
      <c r="G35" s="258"/>
      <c r="H35" s="258"/>
      <c r="I35" s="258"/>
      <c r="J35" s="258"/>
      <c r="K35" s="258"/>
      <c r="L35" s="258"/>
      <c r="M35" s="258"/>
      <c r="N35" s="258"/>
      <c r="O35" s="258"/>
      <c r="P35" s="258"/>
      <c r="Q35" s="259"/>
    </row>
    <row r="36" spans="2:17" x14ac:dyDescent="0.3">
      <c r="B36" s="257"/>
      <c r="C36" s="258"/>
      <c r="D36" s="258"/>
      <c r="E36" s="258"/>
      <c r="F36" s="258"/>
      <c r="G36" s="258"/>
      <c r="H36" s="258"/>
      <c r="I36" s="258"/>
      <c r="J36" s="258"/>
      <c r="K36" s="258"/>
      <c r="L36" s="258"/>
      <c r="M36" s="258"/>
      <c r="N36" s="258"/>
      <c r="O36" s="258"/>
      <c r="P36" s="258"/>
      <c r="Q36" s="259"/>
    </row>
    <row r="37" spans="2:17" x14ac:dyDescent="0.3">
      <c r="B37" s="257"/>
      <c r="C37" s="258"/>
      <c r="D37" s="258"/>
      <c r="E37" s="258"/>
      <c r="F37" s="258"/>
      <c r="G37" s="258"/>
      <c r="H37" s="258"/>
      <c r="I37" s="258"/>
      <c r="J37" s="258"/>
      <c r="K37" s="258"/>
      <c r="L37" s="258"/>
      <c r="M37" s="258"/>
      <c r="N37" s="258"/>
      <c r="O37" s="258"/>
      <c r="P37" s="258"/>
      <c r="Q37" s="259"/>
    </row>
    <row r="38" spans="2:17" x14ac:dyDescent="0.3">
      <c r="B38" s="257"/>
      <c r="C38" s="258"/>
      <c r="D38" s="258"/>
      <c r="E38" s="258"/>
      <c r="F38" s="258"/>
      <c r="G38" s="258"/>
      <c r="H38" s="258"/>
      <c r="I38" s="258"/>
      <c r="J38" s="258"/>
      <c r="K38" s="258"/>
      <c r="L38" s="258"/>
      <c r="M38" s="258"/>
      <c r="N38" s="258"/>
      <c r="O38" s="258"/>
      <c r="P38" s="258"/>
      <c r="Q38" s="259"/>
    </row>
    <row r="39" spans="2:17" x14ac:dyDescent="0.3">
      <c r="B39" s="257"/>
      <c r="C39" s="258"/>
      <c r="D39" s="258"/>
      <c r="E39" s="258"/>
      <c r="F39" s="258"/>
      <c r="G39" s="258"/>
      <c r="H39" s="258"/>
      <c r="I39" s="258"/>
      <c r="J39" s="258"/>
      <c r="K39" s="258"/>
      <c r="L39" s="258"/>
      <c r="M39" s="258"/>
      <c r="N39" s="258"/>
      <c r="O39" s="258"/>
      <c r="P39" s="258"/>
      <c r="Q39" s="259"/>
    </row>
    <row r="40" spans="2:17" x14ac:dyDescent="0.3">
      <c r="B40" s="257"/>
      <c r="C40" s="258"/>
      <c r="D40" s="258"/>
      <c r="E40" s="258"/>
      <c r="F40" s="258"/>
      <c r="G40" s="258"/>
      <c r="H40" s="258"/>
      <c r="I40" s="258"/>
      <c r="J40" s="258"/>
      <c r="K40" s="258"/>
      <c r="L40" s="258"/>
      <c r="M40" s="258"/>
      <c r="N40" s="258"/>
      <c r="O40" s="258"/>
      <c r="P40" s="258"/>
      <c r="Q40" s="259"/>
    </row>
    <row r="41" spans="2:17" x14ac:dyDescent="0.3">
      <c r="B41" s="257"/>
      <c r="C41" s="258"/>
      <c r="D41" s="258"/>
      <c r="E41" s="258"/>
      <c r="F41" s="258"/>
      <c r="G41" s="258"/>
      <c r="H41" s="258"/>
      <c r="I41" s="258"/>
      <c r="J41" s="258"/>
      <c r="K41" s="258"/>
      <c r="L41" s="258"/>
      <c r="M41" s="258"/>
      <c r="N41" s="258"/>
      <c r="O41" s="258"/>
      <c r="P41" s="258"/>
      <c r="Q41" s="259"/>
    </row>
    <row r="42" spans="2:17" x14ac:dyDescent="0.3">
      <c r="B42" s="257"/>
      <c r="C42" s="258"/>
      <c r="D42" s="258"/>
      <c r="E42" s="258"/>
      <c r="F42" s="258"/>
      <c r="G42" s="258"/>
      <c r="H42" s="258"/>
      <c r="I42" s="258"/>
      <c r="J42" s="258"/>
      <c r="K42" s="258"/>
      <c r="L42" s="258"/>
      <c r="M42" s="258"/>
      <c r="N42" s="258"/>
      <c r="O42" s="258"/>
      <c r="P42" s="258"/>
      <c r="Q42" s="259"/>
    </row>
    <row r="43" spans="2:17" x14ac:dyDescent="0.3">
      <c r="B43" s="257"/>
      <c r="C43" s="258"/>
      <c r="D43" s="258"/>
      <c r="E43" s="258"/>
      <c r="F43" s="258"/>
      <c r="G43" s="258"/>
      <c r="H43" s="258"/>
      <c r="I43" s="258"/>
      <c r="J43" s="258"/>
      <c r="K43" s="258"/>
      <c r="L43" s="258"/>
      <c r="M43" s="258"/>
      <c r="N43" s="258"/>
      <c r="O43" s="258"/>
      <c r="P43" s="258"/>
      <c r="Q43" s="259"/>
    </row>
    <row r="44" spans="2:17" ht="16.2" thickBot="1" x14ac:dyDescent="0.35">
      <c r="B44" s="260"/>
      <c r="C44" s="261"/>
      <c r="D44" s="261"/>
      <c r="E44" s="261"/>
      <c r="F44" s="261"/>
      <c r="G44" s="261"/>
      <c r="H44" s="261"/>
      <c r="I44" s="261"/>
      <c r="J44" s="261"/>
      <c r="K44" s="261"/>
      <c r="L44" s="261"/>
      <c r="M44" s="261"/>
      <c r="N44" s="261"/>
      <c r="O44" s="261"/>
      <c r="P44" s="261"/>
      <c r="Q44" s="262"/>
    </row>
    <row r="45" spans="2:17" x14ac:dyDescent="0.3">
      <c r="B45" s="248" t="s">
        <v>14</v>
      </c>
      <c r="C45" s="249"/>
      <c r="D45" s="249"/>
      <c r="E45" s="249"/>
      <c r="F45" s="249"/>
      <c r="G45" s="249"/>
      <c r="H45" s="249"/>
      <c r="I45" s="249"/>
      <c r="J45" s="249"/>
      <c r="K45" s="249"/>
      <c r="L45" s="249"/>
      <c r="M45" s="249"/>
      <c r="N45" s="249"/>
      <c r="O45" s="249"/>
      <c r="P45" s="249"/>
      <c r="Q45" s="250"/>
    </row>
    <row r="46" spans="2:17" x14ac:dyDescent="0.3">
      <c r="B46" s="251"/>
      <c r="C46" s="252"/>
      <c r="D46" s="252"/>
      <c r="E46" s="252"/>
      <c r="F46" s="252"/>
      <c r="G46" s="252"/>
      <c r="H46" s="252"/>
      <c r="I46" s="252"/>
      <c r="J46" s="252"/>
      <c r="K46" s="252"/>
      <c r="L46" s="252"/>
      <c r="M46" s="252"/>
      <c r="N46" s="252"/>
      <c r="O46" s="252"/>
      <c r="P46" s="252"/>
      <c r="Q46" s="253"/>
    </row>
    <row r="47" spans="2:17" x14ac:dyDescent="0.3">
      <c r="B47" s="263" t="s">
        <v>77</v>
      </c>
      <c r="C47" s="264"/>
      <c r="D47" s="264"/>
      <c r="E47" s="264"/>
      <c r="F47" s="264"/>
      <c r="G47" s="264"/>
      <c r="H47" s="264"/>
      <c r="I47" s="264"/>
      <c r="J47" s="264"/>
      <c r="K47" s="264"/>
      <c r="L47" s="264"/>
      <c r="M47" s="264"/>
      <c r="N47" s="264"/>
      <c r="O47" s="264"/>
      <c r="P47" s="264"/>
      <c r="Q47" s="265"/>
    </row>
    <row r="48" spans="2:17" x14ac:dyDescent="0.3">
      <c r="B48" s="263"/>
      <c r="C48" s="264"/>
      <c r="D48" s="264"/>
      <c r="E48" s="264"/>
      <c r="F48" s="264"/>
      <c r="G48" s="264"/>
      <c r="H48" s="264"/>
      <c r="I48" s="264"/>
      <c r="J48" s="264"/>
      <c r="K48" s="264"/>
      <c r="L48" s="264"/>
      <c r="M48" s="264"/>
      <c r="N48" s="264"/>
      <c r="O48" s="264"/>
      <c r="P48" s="264"/>
      <c r="Q48" s="265"/>
    </row>
    <row r="49" spans="2:17" x14ac:dyDescent="0.3">
      <c r="B49" s="263"/>
      <c r="C49" s="264"/>
      <c r="D49" s="264"/>
      <c r="E49" s="264"/>
      <c r="F49" s="264"/>
      <c r="G49" s="264"/>
      <c r="H49" s="264"/>
      <c r="I49" s="264"/>
      <c r="J49" s="264"/>
      <c r="K49" s="264"/>
      <c r="L49" s="264"/>
      <c r="M49" s="264"/>
      <c r="N49" s="264"/>
      <c r="O49" s="264"/>
      <c r="P49" s="264"/>
      <c r="Q49" s="265"/>
    </row>
    <row r="50" spans="2:17" x14ac:dyDescent="0.3">
      <c r="B50" s="263"/>
      <c r="C50" s="264"/>
      <c r="D50" s="264"/>
      <c r="E50" s="264"/>
      <c r="F50" s="264"/>
      <c r="G50" s="264"/>
      <c r="H50" s="264"/>
      <c r="I50" s="264"/>
      <c r="J50" s="264"/>
      <c r="K50" s="264"/>
      <c r="L50" s="264"/>
      <c r="M50" s="264"/>
      <c r="N50" s="264"/>
      <c r="O50" s="264"/>
      <c r="P50" s="264"/>
      <c r="Q50" s="265"/>
    </row>
    <row r="51" spans="2:17" x14ac:dyDescent="0.3">
      <c r="B51" s="263"/>
      <c r="C51" s="264"/>
      <c r="D51" s="264"/>
      <c r="E51" s="264"/>
      <c r="F51" s="264"/>
      <c r="G51" s="264"/>
      <c r="H51" s="264"/>
      <c r="I51" s="264"/>
      <c r="J51" s="264"/>
      <c r="K51" s="264"/>
      <c r="L51" s="264"/>
      <c r="M51" s="264"/>
      <c r="N51" s="264"/>
      <c r="O51" s="264"/>
      <c r="P51" s="264"/>
      <c r="Q51" s="265"/>
    </row>
    <row r="52" spans="2:17" x14ac:dyDescent="0.3">
      <c r="B52" s="263"/>
      <c r="C52" s="264"/>
      <c r="D52" s="264"/>
      <c r="E52" s="264"/>
      <c r="F52" s="264"/>
      <c r="G52" s="264"/>
      <c r="H52" s="264"/>
      <c r="I52" s="264"/>
      <c r="J52" s="264"/>
      <c r="K52" s="264"/>
      <c r="L52" s="264"/>
      <c r="M52" s="264"/>
      <c r="N52" s="264"/>
      <c r="O52" s="264"/>
      <c r="P52" s="264"/>
      <c r="Q52" s="265"/>
    </row>
    <row r="53" spans="2:17" x14ac:dyDescent="0.3">
      <c r="B53" s="263"/>
      <c r="C53" s="264"/>
      <c r="D53" s="264"/>
      <c r="E53" s="264"/>
      <c r="F53" s="264"/>
      <c r="G53" s="264"/>
      <c r="H53" s="264"/>
      <c r="I53" s="264"/>
      <c r="J53" s="264"/>
      <c r="K53" s="264"/>
      <c r="L53" s="264"/>
      <c r="M53" s="264"/>
      <c r="N53" s="264"/>
      <c r="O53" s="264"/>
      <c r="P53" s="264"/>
      <c r="Q53" s="265"/>
    </row>
    <row r="54" spans="2:17" x14ac:dyDescent="0.3">
      <c r="B54" s="263"/>
      <c r="C54" s="264"/>
      <c r="D54" s="264"/>
      <c r="E54" s="264"/>
      <c r="F54" s="264"/>
      <c r="G54" s="264"/>
      <c r="H54" s="264"/>
      <c r="I54" s="264"/>
      <c r="J54" s="264"/>
      <c r="K54" s="264"/>
      <c r="L54" s="264"/>
      <c r="M54" s="264"/>
      <c r="N54" s="264"/>
      <c r="O54" s="264"/>
      <c r="P54" s="264"/>
      <c r="Q54" s="265"/>
    </row>
    <row r="55" spans="2:17" x14ac:dyDescent="0.3">
      <c r="B55" s="263"/>
      <c r="C55" s="264"/>
      <c r="D55" s="264"/>
      <c r="E55" s="264"/>
      <c r="F55" s="264"/>
      <c r="G55" s="264"/>
      <c r="H55" s="264"/>
      <c r="I55" s="264"/>
      <c r="J55" s="264"/>
      <c r="K55" s="264"/>
      <c r="L55" s="264"/>
      <c r="M55" s="264"/>
      <c r="N55" s="264"/>
      <c r="O55" s="264"/>
      <c r="P55" s="264"/>
      <c r="Q55" s="265"/>
    </row>
    <row r="56" spans="2:17" x14ac:dyDescent="0.3">
      <c r="B56" s="263"/>
      <c r="C56" s="264"/>
      <c r="D56" s="264"/>
      <c r="E56" s="264"/>
      <c r="F56" s="264"/>
      <c r="G56" s="264"/>
      <c r="H56" s="264"/>
      <c r="I56" s="264"/>
      <c r="J56" s="264"/>
      <c r="K56" s="264"/>
      <c r="L56" s="264"/>
      <c r="M56" s="264"/>
      <c r="N56" s="264"/>
      <c r="O56" s="264"/>
      <c r="P56" s="264"/>
      <c r="Q56" s="265"/>
    </row>
    <row r="57" spans="2:17" x14ac:dyDescent="0.3">
      <c r="B57" s="263"/>
      <c r="C57" s="264"/>
      <c r="D57" s="264"/>
      <c r="E57" s="264"/>
      <c r="F57" s="264"/>
      <c r="G57" s="264"/>
      <c r="H57" s="264"/>
      <c r="I57" s="264"/>
      <c r="J57" s="264"/>
      <c r="K57" s="264"/>
      <c r="L57" s="264"/>
      <c r="M57" s="264"/>
      <c r="N57" s="264"/>
      <c r="O57" s="264"/>
      <c r="P57" s="264"/>
      <c r="Q57" s="265"/>
    </row>
    <row r="58" spans="2:17" x14ac:dyDescent="0.3">
      <c r="B58" s="263"/>
      <c r="C58" s="264"/>
      <c r="D58" s="264"/>
      <c r="E58" s="264"/>
      <c r="F58" s="264"/>
      <c r="G58" s="264"/>
      <c r="H58" s="264"/>
      <c r="I58" s="264"/>
      <c r="J58" s="264"/>
      <c r="K58" s="264"/>
      <c r="L58" s="264"/>
      <c r="M58" s="264"/>
      <c r="N58" s="264"/>
      <c r="O58" s="264"/>
      <c r="P58" s="264"/>
      <c r="Q58" s="265"/>
    </row>
    <row r="59" spans="2:17" x14ac:dyDescent="0.3">
      <c r="B59" s="263"/>
      <c r="C59" s="264"/>
      <c r="D59" s="264"/>
      <c r="E59" s="264"/>
      <c r="F59" s="264"/>
      <c r="G59" s="264"/>
      <c r="H59" s="264"/>
      <c r="I59" s="264"/>
      <c r="J59" s="264"/>
      <c r="K59" s="264"/>
      <c r="L59" s="264"/>
      <c r="M59" s="264"/>
      <c r="N59" s="264"/>
      <c r="O59" s="264"/>
      <c r="P59" s="264"/>
      <c r="Q59" s="265"/>
    </row>
    <row r="60" spans="2:17" x14ac:dyDescent="0.3">
      <c r="B60" s="263"/>
      <c r="C60" s="264"/>
      <c r="D60" s="264"/>
      <c r="E60" s="264"/>
      <c r="F60" s="264"/>
      <c r="G60" s="264"/>
      <c r="H60" s="264"/>
      <c r="I60" s="264"/>
      <c r="J60" s="264"/>
      <c r="K60" s="264"/>
      <c r="L60" s="264"/>
      <c r="M60" s="264"/>
      <c r="N60" s="264"/>
      <c r="O60" s="264"/>
      <c r="P60" s="264"/>
      <c r="Q60" s="265"/>
    </row>
    <row r="61" spans="2:17" x14ac:dyDescent="0.3">
      <c r="B61" s="263"/>
      <c r="C61" s="264"/>
      <c r="D61" s="264"/>
      <c r="E61" s="264"/>
      <c r="F61" s="264"/>
      <c r="G61" s="264"/>
      <c r="H61" s="264"/>
      <c r="I61" s="264"/>
      <c r="J61" s="264"/>
      <c r="K61" s="264"/>
      <c r="L61" s="264"/>
      <c r="M61" s="264"/>
      <c r="N61" s="264"/>
      <c r="O61" s="264"/>
      <c r="P61" s="264"/>
      <c r="Q61" s="265"/>
    </row>
    <row r="62" spans="2:17" ht="16.2" thickBot="1" x14ac:dyDescent="0.35">
      <c r="B62" s="266"/>
      <c r="C62" s="267"/>
      <c r="D62" s="267"/>
      <c r="E62" s="267"/>
      <c r="F62" s="267"/>
      <c r="G62" s="267"/>
      <c r="H62" s="267"/>
      <c r="I62" s="267"/>
      <c r="J62" s="267"/>
      <c r="K62" s="267"/>
      <c r="L62" s="267"/>
      <c r="M62" s="267"/>
      <c r="N62" s="267"/>
      <c r="O62" s="267"/>
      <c r="P62" s="267"/>
      <c r="Q62" s="268"/>
    </row>
    <row r="63" spans="2:17" x14ac:dyDescent="0.3">
      <c r="B63" s="248" t="s">
        <v>15</v>
      </c>
      <c r="C63" s="249"/>
      <c r="D63" s="249"/>
      <c r="E63" s="249"/>
      <c r="F63" s="249"/>
      <c r="G63" s="249"/>
      <c r="H63" s="249"/>
      <c r="I63" s="249"/>
      <c r="J63" s="249"/>
      <c r="K63" s="249"/>
      <c r="L63" s="249"/>
      <c r="M63" s="249"/>
      <c r="N63" s="249"/>
      <c r="O63" s="249"/>
      <c r="P63" s="249"/>
      <c r="Q63" s="250"/>
    </row>
    <row r="64" spans="2:17" x14ac:dyDescent="0.3">
      <c r="B64" s="251"/>
      <c r="C64" s="252"/>
      <c r="D64" s="252"/>
      <c r="E64" s="252"/>
      <c r="F64" s="252"/>
      <c r="G64" s="252"/>
      <c r="H64" s="252"/>
      <c r="I64" s="252"/>
      <c r="J64" s="252"/>
      <c r="K64" s="252"/>
      <c r="L64" s="252"/>
      <c r="M64" s="252"/>
      <c r="N64" s="252"/>
      <c r="O64" s="252"/>
      <c r="P64" s="252"/>
      <c r="Q64" s="253"/>
    </row>
    <row r="65" spans="2:17" ht="15.6" customHeight="1" x14ac:dyDescent="0.3">
      <c r="B65" s="14"/>
      <c r="C65" s="15"/>
      <c r="D65" s="269"/>
      <c r="E65" s="269"/>
      <c r="F65" s="269"/>
      <c r="G65" s="269"/>
      <c r="H65" s="269"/>
      <c r="I65" s="269"/>
      <c r="J65" s="269"/>
      <c r="K65" s="269"/>
      <c r="L65" s="269"/>
      <c r="M65" s="269"/>
      <c r="N65" s="269"/>
      <c r="O65" s="269"/>
      <c r="P65" s="269"/>
      <c r="Q65" s="269"/>
    </row>
    <row r="66" spans="2:17" ht="15.6" customHeight="1" x14ac:dyDescent="0.3">
      <c r="B66" s="270" t="s">
        <v>73</v>
      </c>
      <c r="C66" s="271"/>
      <c r="D66" s="271"/>
      <c r="E66" s="271"/>
      <c r="F66" s="271"/>
      <c r="G66" s="271"/>
      <c r="H66" s="271"/>
      <c r="I66" s="271"/>
      <c r="J66" s="271"/>
      <c r="K66" s="271"/>
      <c r="L66" s="271"/>
      <c r="M66" s="271"/>
      <c r="N66" s="271"/>
      <c r="O66" s="271"/>
      <c r="P66" s="271"/>
      <c r="Q66" s="272"/>
    </row>
    <row r="67" spans="2:17" ht="15.6" customHeight="1" x14ac:dyDescent="0.3">
      <c r="B67" s="270"/>
      <c r="C67" s="271"/>
      <c r="D67" s="271"/>
      <c r="E67" s="271"/>
      <c r="F67" s="271"/>
      <c r="G67" s="271"/>
      <c r="H67" s="271"/>
      <c r="I67" s="271"/>
      <c r="J67" s="271"/>
      <c r="K67" s="271"/>
      <c r="L67" s="271"/>
      <c r="M67" s="271"/>
      <c r="N67" s="271"/>
      <c r="O67" s="271"/>
      <c r="P67" s="271"/>
      <c r="Q67" s="272"/>
    </row>
    <row r="68" spans="2:17" ht="15.6" customHeight="1" x14ac:dyDescent="0.3">
      <c r="B68" s="270"/>
      <c r="C68" s="271"/>
      <c r="D68" s="271"/>
      <c r="E68" s="271"/>
      <c r="F68" s="271"/>
      <c r="G68" s="271"/>
      <c r="H68" s="271"/>
      <c r="I68" s="271"/>
      <c r="J68" s="271"/>
      <c r="K68" s="271"/>
      <c r="L68" s="271"/>
      <c r="M68" s="271"/>
      <c r="N68" s="271"/>
      <c r="O68" s="271"/>
      <c r="P68" s="271"/>
      <c r="Q68" s="272"/>
    </row>
    <row r="69" spans="2:17" ht="15.6" customHeight="1" x14ac:dyDescent="0.3">
      <c r="B69" s="270"/>
      <c r="C69" s="271"/>
      <c r="D69" s="271"/>
      <c r="E69" s="271"/>
      <c r="F69" s="271"/>
      <c r="G69" s="271"/>
      <c r="H69" s="271"/>
      <c r="I69" s="271"/>
      <c r="J69" s="271"/>
      <c r="K69" s="271"/>
      <c r="L69" s="271"/>
      <c r="M69" s="271"/>
      <c r="N69" s="271"/>
      <c r="O69" s="271"/>
      <c r="P69" s="271"/>
      <c r="Q69" s="272"/>
    </row>
    <row r="70" spans="2:17" ht="15.6" customHeight="1" x14ac:dyDescent="0.3">
      <c r="B70" s="270"/>
      <c r="C70" s="271"/>
      <c r="D70" s="271"/>
      <c r="E70" s="271"/>
      <c r="F70" s="271"/>
      <c r="G70" s="271"/>
      <c r="H70" s="271"/>
      <c r="I70" s="271"/>
      <c r="J70" s="271"/>
      <c r="K70" s="271"/>
      <c r="L70" s="271"/>
      <c r="M70" s="271"/>
      <c r="N70" s="271"/>
      <c r="O70" s="271"/>
      <c r="P70" s="271"/>
      <c r="Q70" s="272"/>
    </row>
    <row r="71" spans="2:17" ht="15.6" customHeight="1" x14ac:dyDescent="0.3">
      <c r="B71" s="270"/>
      <c r="C71" s="271"/>
      <c r="D71" s="271"/>
      <c r="E71" s="271"/>
      <c r="F71" s="271"/>
      <c r="G71" s="271"/>
      <c r="H71" s="271"/>
      <c r="I71" s="271"/>
      <c r="J71" s="271"/>
      <c r="K71" s="271"/>
      <c r="L71" s="271"/>
      <c r="M71" s="271"/>
      <c r="N71" s="271"/>
      <c r="O71" s="271"/>
      <c r="P71" s="271"/>
      <c r="Q71" s="272"/>
    </row>
    <row r="72" spans="2:17" ht="15.6" customHeight="1" x14ac:dyDescent="0.3">
      <c r="B72" s="270"/>
      <c r="C72" s="271"/>
      <c r="D72" s="271"/>
      <c r="E72" s="271"/>
      <c r="F72" s="271"/>
      <c r="G72" s="271"/>
      <c r="H72" s="271"/>
      <c r="I72" s="271"/>
      <c r="J72" s="271"/>
      <c r="K72" s="271"/>
      <c r="L72" s="271"/>
      <c r="M72" s="271"/>
      <c r="N72" s="271"/>
      <c r="O72" s="271"/>
      <c r="P72" s="271"/>
      <c r="Q72" s="272"/>
    </row>
    <row r="73" spans="2:17" ht="15.6" customHeight="1" x14ac:dyDescent="0.3">
      <c r="B73" s="270"/>
      <c r="C73" s="271"/>
      <c r="D73" s="271"/>
      <c r="E73" s="271"/>
      <c r="F73" s="271"/>
      <c r="G73" s="271"/>
      <c r="H73" s="271"/>
      <c r="I73" s="271"/>
      <c r="J73" s="271"/>
      <c r="K73" s="271"/>
      <c r="L73" s="271"/>
      <c r="M73" s="271"/>
      <c r="N73" s="271"/>
      <c r="O73" s="271"/>
      <c r="P73" s="271"/>
      <c r="Q73" s="272"/>
    </row>
    <row r="74" spans="2:17" ht="16.05" customHeight="1" thickBot="1" x14ac:dyDescent="0.35">
      <c r="B74" s="273"/>
      <c r="C74" s="274"/>
      <c r="D74" s="274"/>
      <c r="E74" s="274"/>
      <c r="F74" s="274"/>
      <c r="G74" s="274"/>
      <c r="H74" s="274"/>
      <c r="I74" s="274"/>
      <c r="J74" s="274"/>
      <c r="K74" s="274"/>
      <c r="L74" s="274"/>
      <c r="M74" s="274"/>
      <c r="N74" s="274"/>
      <c r="O74" s="274"/>
      <c r="P74" s="274"/>
      <c r="Q74" s="275"/>
    </row>
    <row r="75" spans="2:17" x14ac:dyDescent="0.3">
      <c r="B75" s="248" t="s">
        <v>95</v>
      </c>
      <c r="C75" s="249"/>
      <c r="D75" s="249"/>
      <c r="E75" s="249"/>
      <c r="F75" s="249"/>
      <c r="G75" s="249"/>
      <c r="H75" s="249"/>
      <c r="I75" s="249"/>
      <c r="J75" s="249"/>
      <c r="K75" s="249"/>
      <c r="L75" s="249"/>
      <c r="M75" s="249"/>
      <c r="N75" s="249"/>
      <c r="O75" s="249"/>
      <c r="P75" s="249"/>
      <c r="Q75" s="250"/>
    </row>
    <row r="76" spans="2:17" ht="25.05" customHeight="1" x14ac:dyDescent="0.3">
      <c r="B76" s="251"/>
      <c r="C76" s="252"/>
      <c r="D76" s="252"/>
      <c r="E76" s="252"/>
      <c r="F76" s="252"/>
      <c r="G76" s="252"/>
      <c r="H76" s="252"/>
      <c r="I76" s="252"/>
      <c r="J76" s="252"/>
      <c r="K76" s="252"/>
      <c r="L76" s="252"/>
      <c r="M76" s="252"/>
      <c r="N76" s="252"/>
      <c r="O76" s="252"/>
      <c r="P76" s="252"/>
      <c r="Q76" s="253"/>
    </row>
    <row r="77" spans="2:17" ht="25.05" customHeight="1" x14ac:dyDescent="0.3">
      <c r="B77" s="14"/>
      <c r="C77" s="269" t="s">
        <v>38</v>
      </c>
      <c r="D77" s="269"/>
      <c r="E77" s="269"/>
      <c r="F77" s="269"/>
      <c r="G77" s="269"/>
      <c r="H77" s="269"/>
      <c r="I77" s="269"/>
      <c r="J77" s="269"/>
      <c r="K77" s="269"/>
      <c r="L77" s="269"/>
      <c r="M77" s="269"/>
      <c r="N77" s="269"/>
      <c r="O77" s="269"/>
      <c r="P77" s="269"/>
      <c r="Q77" s="16"/>
    </row>
    <row r="78" spans="2:17" ht="25.05" customHeight="1" x14ac:dyDescent="0.3">
      <c r="B78" s="263" t="s">
        <v>96</v>
      </c>
      <c r="C78" s="264"/>
      <c r="D78" s="264"/>
      <c r="E78" s="264"/>
      <c r="F78" s="264"/>
      <c r="G78" s="264"/>
      <c r="H78" s="264"/>
      <c r="I78" s="264"/>
      <c r="J78" s="264"/>
      <c r="K78" s="264"/>
      <c r="L78" s="264"/>
      <c r="M78" s="264"/>
      <c r="N78" s="264"/>
      <c r="O78" s="264"/>
      <c r="P78" s="264"/>
      <c r="Q78" s="265"/>
    </row>
    <row r="79" spans="2:17" ht="25.05" customHeight="1" x14ac:dyDescent="0.3">
      <c r="B79" s="263"/>
      <c r="C79" s="264"/>
      <c r="D79" s="264"/>
      <c r="E79" s="264"/>
      <c r="F79" s="264"/>
      <c r="G79" s="264"/>
      <c r="H79" s="264"/>
      <c r="I79" s="264"/>
      <c r="J79" s="264"/>
      <c r="K79" s="264"/>
      <c r="L79" s="264"/>
      <c r="M79" s="264"/>
      <c r="N79" s="264"/>
      <c r="O79" s="264"/>
      <c r="P79" s="264"/>
      <c r="Q79" s="265"/>
    </row>
    <row r="80" spans="2:17" ht="25.05" customHeight="1" x14ac:dyDescent="0.3">
      <c r="B80" s="72"/>
      <c r="C80" s="73"/>
      <c r="D80" s="73"/>
      <c r="E80" s="73"/>
      <c r="F80" s="73"/>
      <c r="G80" s="73"/>
      <c r="H80" s="73"/>
      <c r="I80" s="73"/>
      <c r="J80" s="73"/>
      <c r="K80" s="73"/>
      <c r="L80" s="73"/>
      <c r="M80" s="73"/>
      <c r="N80" s="73"/>
      <c r="O80" s="73"/>
      <c r="P80" s="73"/>
      <c r="Q80" s="74"/>
    </row>
    <row r="81" spans="2:17" ht="25.05" customHeight="1" x14ac:dyDescent="0.3">
      <c r="B81" s="72"/>
      <c r="C81" s="73"/>
      <c r="D81" s="73"/>
      <c r="E81" s="101"/>
      <c r="F81" s="276" t="s">
        <v>84</v>
      </c>
      <c r="G81" s="276"/>
      <c r="H81" s="276"/>
      <c r="I81" s="276" t="s">
        <v>85</v>
      </c>
      <c r="J81" s="276"/>
      <c r="K81" s="276"/>
      <c r="L81" s="276"/>
      <c r="M81" s="301" t="s">
        <v>128</v>
      </c>
      <c r="N81" s="302"/>
      <c r="O81" s="73"/>
      <c r="P81" s="73"/>
      <c r="Q81" s="74"/>
    </row>
    <row r="82" spans="2:17" ht="25.05" customHeight="1" x14ac:dyDescent="0.3">
      <c r="B82" s="72"/>
      <c r="C82" s="73"/>
      <c r="D82" s="73"/>
      <c r="E82" s="296" t="str">
        <f>'Felix 1.5--Details'!$C$4</f>
        <v>Develop TPC DAM prototype v1 Test Stand</v>
      </c>
      <c r="F82" s="296"/>
      <c r="G82" s="296"/>
      <c r="H82" s="296"/>
      <c r="I82" s="277">
        <f>'Felix 1.5--Details'!$I$4</f>
        <v>1631</v>
      </c>
      <c r="J82" s="277"/>
      <c r="K82" s="277"/>
      <c r="L82" s="277"/>
      <c r="M82" s="303">
        <f>'Felix 1.5--Details'!F22</f>
        <v>977</v>
      </c>
      <c r="N82" s="303"/>
      <c r="O82" s="73"/>
      <c r="P82" s="73"/>
      <c r="Q82" s="74"/>
    </row>
    <row r="83" spans="2:17" ht="25.05" customHeight="1" x14ac:dyDescent="0.3">
      <c r="B83" s="72"/>
      <c r="C83" s="73"/>
      <c r="D83" s="73"/>
      <c r="E83" s="73"/>
      <c r="F83" s="73"/>
      <c r="G83" s="73"/>
      <c r="H83" s="73"/>
      <c r="I83" s="73"/>
      <c r="J83" s="73"/>
      <c r="K83" s="73"/>
      <c r="L83" s="73"/>
      <c r="M83" s="73"/>
      <c r="N83" s="73"/>
      <c r="O83" s="73"/>
      <c r="P83" s="73"/>
      <c r="Q83" s="74"/>
    </row>
    <row r="84" spans="2:17" ht="15.6" customHeight="1" x14ac:dyDescent="0.3">
      <c r="B84" s="72"/>
      <c r="C84" s="73"/>
      <c r="D84" s="73"/>
      <c r="E84" s="73"/>
      <c r="F84" s="73"/>
      <c r="G84" s="73"/>
      <c r="H84" s="73"/>
      <c r="I84" s="73"/>
      <c r="J84" s="73"/>
      <c r="K84" s="73"/>
      <c r="L84" s="73"/>
      <c r="M84" s="73"/>
      <c r="N84" s="73"/>
      <c r="O84" s="73"/>
      <c r="P84" s="73"/>
      <c r="Q84" s="74"/>
    </row>
    <row r="85" spans="2:17" ht="16.05" customHeight="1" thickBot="1" x14ac:dyDescent="0.35">
      <c r="B85" s="75"/>
      <c r="C85" s="76"/>
      <c r="D85" s="76"/>
      <c r="E85" s="76"/>
      <c r="F85" s="76"/>
      <c r="G85" s="76"/>
      <c r="H85" s="76"/>
      <c r="I85" s="76"/>
      <c r="J85" s="76"/>
      <c r="K85" s="76"/>
      <c r="L85" s="76"/>
      <c r="M85" s="76"/>
      <c r="N85" s="76"/>
      <c r="O85" s="76"/>
      <c r="P85" s="76"/>
      <c r="Q85" s="77"/>
    </row>
    <row r="86" spans="2:17" x14ac:dyDescent="0.3">
      <c r="B86" s="248" t="s">
        <v>97</v>
      </c>
      <c r="C86" s="249"/>
      <c r="D86" s="249"/>
      <c r="E86" s="249"/>
      <c r="F86" s="249"/>
      <c r="G86" s="249"/>
      <c r="H86" s="249"/>
      <c r="I86" s="249"/>
      <c r="J86" s="249"/>
      <c r="K86" s="249"/>
      <c r="L86" s="249"/>
      <c r="M86" s="249"/>
      <c r="N86" s="249"/>
      <c r="O86" s="249"/>
      <c r="P86" s="249"/>
      <c r="Q86" s="250"/>
    </row>
    <row r="87" spans="2:17" x14ac:dyDescent="0.3">
      <c r="B87" s="251"/>
      <c r="C87" s="252"/>
      <c r="D87" s="252"/>
      <c r="E87" s="252"/>
      <c r="F87" s="252"/>
      <c r="G87" s="252"/>
      <c r="H87" s="252"/>
      <c r="I87" s="252"/>
      <c r="J87" s="252"/>
      <c r="K87" s="252"/>
      <c r="L87" s="252"/>
      <c r="M87" s="252"/>
      <c r="N87" s="252"/>
      <c r="O87" s="252"/>
      <c r="P87" s="252"/>
      <c r="Q87" s="253"/>
    </row>
    <row r="88" spans="2:17" ht="25.05" customHeight="1" x14ac:dyDescent="0.3">
      <c r="B88" s="242" t="s">
        <v>98</v>
      </c>
      <c r="C88" s="243"/>
      <c r="D88" s="243"/>
      <c r="E88" s="243"/>
      <c r="F88" s="243"/>
      <c r="G88" s="243"/>
      <c r="H88" s="243"/>
      <c r="I88" s="243"/>
      <c r="J88" s="243"/>
      <c r="K88" s="243"/>
      <c r="L88" s="243"/>
      <c r="M88" s="243"/>
      <c r="N88" s="243"/>
      <c r="O88" s="243"/>
      <c r="P88" s="243"/>
      <c r="Q88" s="244"/>
    </row>
    <row r="89" spans="2:17" x14ac:dyDescent="0.3">
      <c r="B89" s="242"/>
      <c r="C89" s="243"/>
      <c r="D89" s="243"/>
      <c r="E89" s="243"/>
      <c r="F89" s="243"/>
      <c r="G89" s="243"/>
      <c r="H89" s="243"/>
      <c r="I89" s="243"/>
      <c r="J89" s="243"/>
      <c r="K89" s="243"/>
      <c r="L89" s="243"/>
      <c r="M89" s="243"/>
      <c r="N89" s="243"/>
      <c r="O89" s="243"/>
      <c r="P89" s="243"/>
      <c r="Q89" s="244"/>
    </row>
    <row r="90" spans="2:17" x14ac:dyDescent="0.3">
      <c r="B90" s="242"/>
      <c r="C90" s="243"/>
      <c r="D90" s="243"/>
      <c r="E90" s="243"/>
      <c r="F90" s="243"/>
      <c r="G90" s="243"/>
      <c r="H90" s="243"/>
      <c r="I90" s="243"/>
      <c r="J90" s="243"/>
      <c r="K90" s="243"/>
      <c r="L90" s="243"/>
      <c r="M90" s="243"/>
      <c r="N90" s="243"/>
      <c r="O90" s="243"/>
      <c r="P90" s="243"/>
      <c r="Q90" s="244"/>
    </row>
    <row r="91" spans="2:17" x14ac:dyDescent="0.3">
      <c r="B91" s="242"/>
      <c r="C91" s="243"/>
      <c r="D91" s="243"/>
      <c r="E91" s="243"/>
      <c r="F91" s="243"/>
      <c r="G91" s="243"/>
      <c r="H91" s="243"/>
      <c r="I91" s="243"/>
      <c r="J91" s="243"/>
      <c r="K91" s="243"/>
      <c r="L91" s="243"/>
      <c r="M91" s="243"/>
      <c r="N91" s="243"/>
      <c r="O91" s="243"/>
      <c r="P91" s="243"/>
      <c r="Q91" s="244"/>
    </row>
    <row r="92" spans="2:17" x14ac:dyDescent="0.3">
      <c r="B92" s="242"/>
      <c r="C92" s="243"/>
      <c r="D92" s="243"/>
      <c r="E92" s="243"/>
      <c r="F92" s="243"/>
      <c r="G92" s="243"/>
      <c r="H92" s="243"/>
      <c r="I92" s="243"/>
      <c r="J92" s="243"/>
      <c r="K92" s="243"/>
      <c r="L92" s="243"/>
      <c r="M92" s="243"/>
      <c r="N92" s="243"/>
      <c r="O92" s="243"/>
      <c r="P92" s="243"/>
      <c r="Q92" s="244"/>
    </row>
    <row r="93" spans="2:17" x14ac:dyDescent="0.3">
      <c r="B93" s="242"/>
      <c r="C93" s="243"/>
      <c r="D93" s="243"/>
      <c r="E93" s="243"/>
      <c r="F93" s="243"/>
      <c r="G93" s="243"/>
      <c r="H93" s="243"/>
      <c r="I93" s="243"/>
      <c r="J93" s="243"/>
      <c r="K93" s="243"/>
      <c r="L93" s="243"/>
      <c r="M93" s="243"/>
      <c r="N93" s="243"/>
      <c r="O93" s="243"/>
      <c r="P93" s="243"/>
      <c r="Q93" s="244"/>
    </row>
    <row r="94" spans="2:17" x14ac:dyDescent="0.3">
      <c r="B94" s="242"/>
      <c r="C94" s="243"/>
      <c r="D94" s="243"/>
      <c r="E94" s="243"/>
      <c r="F94" s="243"/>
      <c r="G94" s="243"/>
      <c r="H94" s="243"/>
      <c r="I94" s="243"/>
      <c r="J94" s="243"/>
      <c r="K94" s="243"/>
      <c r="L94" s="243"/>
      <c r="M94" s="243"/>
      <c r="N94" s="243"/>
      <c r="O94" s="243"/>
      <c r="P94" s="243"/>
      <c r="Q94" s="244"/>
    </row>
    <row r="95" spans="2:17" x14ac:dyDescent="0.3">
      <c r="B95" s="242"/>
      <c r="C95" s="243"/>
      <c r="D95" s="243"/>
      <c r="E95" s="243"/>
      <c r="F95" s="243"/>
      <c r="G95" s="243"/>
      <c r="H95" s="243"/>
      <c r="I95" s="243"/>
      <c r="J95" s="243"/>
      <c r="K95" s="243"/>
      <c r="L95" s="243"/>
      <c r="M95" s="243"/>
      <c r="N95" s="243"/>
      <c r="O95" s="243"/>
      <c r="P95" s="243"/>
      <c r="Q95" s="244"/>
    </row>
    <row r="96" spans="2:17" x14ac:dyDescent="0.3">
      <c r="B96" s="242"/>
      <c r="C96" s="243"/>
      <c r="D96" s="243"/>
      <c r="E96" s="243"/>
      <c r="F96" s="243"/>
      <c r="G96" s="243"/>
      <c r="H96" s="243"/>
      <c r="I96" s="243"/>
      <c r="J96" s="243"/>
      <c r="K96" s="243"/>
      <c r="L96" s="243"/>
      <c r="M96" s="243"/>
      <c r="N96" s="243"/>
      <c r="O96" s="243"/>
      <c r="P96" s="243"/>
      <c r="Q96" s="244"/>
    </row>
    <row r="97" spans="2:17" x14ac:dyDescent="0.3">
      <c r="B97" s="242"/>
      <c r="C97" s="243"/>
      <c r="D97" s="243"/>
      <c r="E97" s="243"/>
      <c r="F97" s="243"/>
      <c r="G97" s="243"/>
      <c r="H97" s="243"/>
      <c r="I97" s="243"/>
      <c r="J97" s="243"/>
      <c r="K97" s="243"/>
      <c r="L97" s="243"/>
      <c r="M97" s="243"/>
      <c r="N97" s="243"/>
      <c r="O97" s="243"/>
      <c r="P97" s="243"/>
      <c r="Q97" s="244"/>
    </row>
    <row r="98" spans="2:17" ht="21" customHeight="1" x14ac:dyDescent="0.3">
      <c r="B98" s="242"/>
      <c r="C98" s="243"/>
      <c r="D98" s="243"/>
      <c r="E98" s="243"/>
      <c r="F98" s="243"/>
      <c r="G98" s="243"/>
      <c r="H98" s="243"/>
      <c r="I98" s="243"/>
      <c r="J98" s="243"/>
      <c r="K98" s="243"/>
      <c r="L98" s="243"/>
      <c r="M98" s="243"/>
      <c r="N98" s="243"/>
      <c r="O98" s="243"/>
      <c r="P98" s="243"/>
      <c r="Q98" s="244"/>
    </row>
    <row r="99" spans="2:17" x14ac:dyDescent="0.3">
      <c r="B99" s="242"/>
      <c r="C99" s="243"/>
      <c r="D99" s="243"/>
      <c r="E99" s="243"/>
      <c r="F99" s="243"/>
      <c r="G99" s="243"/>
      <c r="H99" s="243"/>
      <c r="I99" s="243"/>
      <c r="J99" s="243"/>
      <c r="K99" s="243"/>
      <c r="L99" s="243"/>
      <c r="M99" s="243"/>
      <c r="N99" s="243"/>
      <c r="O99" s="243"/>
      <c r="P99" s="243"/>
      <c r="Q99" s="244"/>
    </row>
    <row r="100" spans="2:17" ht="16.2" thickBot="1" x14ac:dyDescent="0.35">
      <c r="B100" s="245"/>
      <c r="C100" s="246"/>
      <c r="D100" s="246"/>
      <c r="E100" s="246"/>
      <c r="F100" s="246"/>
      <c r="G100" s="246"/>
      <c r="H100" s="246"/>
      <c r="I100" s="246"/>
      <c r="J100" s="246"/>
      <c r="K100" s="246"/>
      <c r="L100" s="246"/>
      <c r="M100" s="246"/>
      <c r="N100" s="246"/>
      <c r="O100" s="246"/>
      <c r="P100" s="246"/>
      <c r="Q100" s="247"/>
    </row>
  </sheetData>
  <mergeCells count="36">
    <mergeCell ref="F2:L7"/>
    <mergeCell ref="N2:Q3"/>
    <mergeCell ref="M2:M3"/>
    <mergeCell ref="M4:M5"/>
    <mergeCell ref="N4:Q5"/>
    <mergeCell ref="M6:M7"/>
    <mergeCell ref="N6:Q7"/>
    <mergeCell ref="G9:M10"/>
    <mergeCell ref="B8:F8"/>
    <mergeCell ref="N8:Q8"/>
    <mergeCell ref="N9:Q10"/>
    <mergeCell ref="B86:Q87"/>
    <mergeCell ref="K82:L82"/>
    <mergeCell ref="E82:H82"/>
    <mergeCell ref="B11:Q11"/>
    <mergeCell ref="B12:Q18"/>
    <mergeCell ref="B19:Q19"/>
    <mergeCell ref="B32:Q32"/>
    <mergeCell ref="B45:Q46"/>
    <mergeCell ref="B9:F10"/>
    <mergeCell ref="G8:M8"/>
    <mergeCell ref="M81:N81"/>
    <mergeCell ref="M82:N82"/>
    <mergeCell ref="B88:Q100"/>
    <mergeCell ref="B63:Q64"/>
    <mergeCell ref="B33:Q44"/>
    <mergeCell ref="B47:Q62"/>
    <mergeCell ref="D65:Q65"/>
    <mergeCell ref="B66:Q74"/>
    <mergeCell ref="C77:P77"/>
    <mergeCell ref="B75:Q76"/>
    <mergeCell ref="B78:Q79"/>
    <mergeCell ref="F81:H81"/>
    <mergeCell ref="I81:J81"/>
    <mergeCell ref="K81:L81"/>
    <mergeCell ref="I82:J82"/>
  </mergeCells>
  <hyperlinks>
    <hyperlink ref="C77" location="'v1 Field Cage--Details'!A1" display="(follow link for detailed summary)" xr:uid="{00000000-0004-0000-0100-000000000000}"/>
    <hyperlink ref="C77:P77" location="'Felix 1.5--Details'!A1" display="(follow link for detailed summary)" xr:uid="{00000000-0004-0000-0100-000001000000}"/>
    <hyperlink ref="I82:J82" location="'Felix 1.5--Details'!K3" display="'Felix 1.5--Details'!K3" xr:uid="{00000000-0004-0000-0100-000002000000}"/>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101"/>
  <sheetViews>
    <sheetView zoomScale="85" zoomScaleNormal="85" workbookViewId="0">
      <selection activeCell="N4" sqref="N4:Q5"/>
    </sheetView>
  </sheetViews>
  <sheetFormatPr defaultColWidth="10.8984375" defaultRowHeight="15.6" x14ac:dyDescent="0.3"/>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x14ac:dyDescent="0.35"/>
    <row r="2" spans="2:17" ht="26.1" customHeight="1" x14ac:dyDescent="0.3">
      <c r="B2" s="1"/>
      <c r="C2" s="2"/>
      <c r="D2" s="2"/>
      <c r="E2" s="2"/>
      <c r="F2" s="304" t="s">
        <v>18</v>
      </c>
      <c r="G2" s="234"/>
      <c r="H2" s="234"/>
      <c r="I2" s="234"/>
      <c r="J2" s="234"/>
      <c r="K2" s="234"/>
      <c r="L2" s="305"/>
      <c r="M2" s="313" t="s">
        <v>1</v>
      </c>
      <c r="N2" s="308">
        <v>43509</v>
      </c>
      <c r="O2" s="309"/>
      <c r="P2" s="309"/>
      <c r="Q2" s="310"/>
    </row>
    <row r="3" spans="2:17" ht="16.05" customHeight="1" thickBot="1" x14ac:dyDescent="0.35">
      <c r="B3" s="3"/>
      <c r="C3" s="4"/>
      <c r="D3" s="4"/>
      <c r="E3" s="4"/>
      <c r="F3" s="306"/>
      <c r="G3" s="237"/>
      <c r="H3" s="237"/>
      <c r="I3" s="237"/>
      <c r="J3" s="237"/>
      <c r="K3" s="237"/>
      <c r="L3" s="307"/>
      <c r="M3" s="314"/>
      <c r="N3" s="311"/>
      <c r="O3" s="311"/>
      <c r="P3" s="311"/>
      <c r="Q3" s="312"/>
    </row>
    <row r="4" spans="2:17" ht="18" customHeight="1" x14ac:dyDescent="0.3">
      <c r="B4" s="3"/>
      <c r="C4" s="4"/>
      <c r="D4" s="4"/>
      <c r="E4" s="4"/>
      <c r="F4" s="306"/>
      <c r="G4" s="237"/>
      <c r="H4" s="237"/>
      <c r="I4" s="237"/>
      <c r="J4" s="237"/>
      <c r="K4" s="237"/>
      <c r="L4" s="307"/>
      <c r="M4" s="313" t="s">
        <v>0</v>
      </c>
      <c r="N4" s="309" t="s">
        <v>71</v>
      </c>
      <c r="O4" s="309"/>
      <c r="P4" s="309"/>
      <c r="Q4" s="310"/>
    </row>
    <row r="5" spans="2:17" ht="16.2" thickBot="1" x14ac:dyDescent="0.35">
      <c r="B5" s="3"/>
      <c r="C5" s="4"/>
      <c r="D5" s="4"/>
      <c r="E5" s="4"/>
      <c r="F5" s="306"/>
      <c r="G5" s="237"/>
      <c r="H5" s="237"/>
      <c r="I5" s="237"/>
      <c r="J5" s="237"/>
      <c r="K5" s="237"/>
      <c r="L5" s="307"/>
      <c r="M5" s="315"/>
      <c r="N5" s="316"/>
      <c r="O5" s="316"/>
      <c r="P5" s="316"/>
      <c r="Q5" s="317"/>
    </row>
    <row r="6" spans="2:17" ht="21" customHeight="1" x14ac:dyDescent="0.3">
      <c r="B6" s="3"/>
      <c r="C6" s="4"/>
      <c r="D6" s="4"/>
      <c r="E6" s="4"/>
      <c r="F6" s="306"/>
      <c r="G6" s="237"/>
      <c r="H6" s="237"/>
      <c r="I6" s="237"/>
      <c r="J6" s="237"/>
      <c r="K6" s="237"/>
      <c r="L6" s="237"/>
      <c r="M6" s="318" t="s">
        <v>2</v>
      </c>
      <c r="N6" s="320" t="str">
        <f>'Felix 1.5-Summary'!N6:Q7</f>
        <v>138 v3</v>
      </c>
      <c r="O6" s="321"/>
      <c r="P6" s="321"/>
      <c r="Q6" s="322"/>
    </row>
    <row r="7" spans="2:17" ht="16.2" thickBot="1" x14ac:dyDescent="0.35">
      <c r="B7" s="3"/>
      <c r="C7" s="4"/>
      <c r="D7" s="4"/>
      <c r="E7" s="4"/>
      <c r="F7" s="306"/>
      <c r="G7" s="240"/>
      <c r="H7" s="240"/>
      <c r="I7" s="240"/>
      <c r="J7" s="240"/>
      <c r="K7" s="240"/>
      <c r="L7" s="240"/>
      <c r="M7" s="319"/>
      <c r="N7" s="323"/>
      <c r="O7" s="324"/>
      <c r="P7" s="324"/>
      <c r="Q7" s="325"/>
    </row>
    <row r="8" spans="2:17" s="13" customFormat="1" ht="27" customHeight="1" x14ac:dyDescent="0.3">
      <c r="B8" s="284" t="s">
        <v>19</v>
      </c>
      <c r="C8" s="285"/>
      <c r="D8" s="285"/>
      <c r="E8" s="285"/>
      <c r="F8" s="286"/>
      <c r="G8" s="284" t="s">
        <v>20</v>
      </c>
      <c r="H8" s="285"/>
      <c r="I8" s="285"/>
      <c r="J8" s="285"/>
      <c r="K8" s="285"/>
      <c r="L8" s="285"/>
      <c r="M8" s="289"/>
      <c r="N8" s="287" t="s">
        <v>21</v>
      </c>
      <c r="O8" s="288"/>
      <c r="P8" s="288"/>
      <c r="Q8" s="289"/>
    </row>
    <row r="9" spans="2:17" x14ac:dyDescent="0.3">
      <c r="B9" s="278" t="s">
        <v>72</v>
      </c>
      <c r="C9" s="279"/>
      <c r="D9" s="279"/>
      <c r="E9" s="279"/>
      <c r="F9" s="280"/>
      <c r="G9" s="278" t="s">
        <v>92</v>
      </c>
      <c r="H9" s="279"/>
      <c r="I9" s="279"/>
      <c r="J9" s="279"/>
      <c r="K9" s="279"/>
      <c r="L9" s="279"/>
      <c r="M9" s="280"/>
      <c r="N9" s="290"/>
      <c r="O9" s="291"/>
      <c r="P9" s="291"/>
      <c r="Q9" s="292"/>
    </row>
    <row r="10" spans="2:17" ht="16.2" thickBot="1" x14ac:dyDescent="0.35">
      <c r="B10" s="281"/>
      <c r="C10" s="282"/>
      <c r="D10" s="282"/>
      <c r="E10" s="282"/>
      <c r="F10" s="283"/>
      <c r="G10" s="281"/>
      <c r="H10" s="282"/>
      <c r="I10" s="282"/>
      <c r="J10" s="282"/>
      <c r="K10" s="282"/>
      <c r="L10" s="282"/>
      <c r="M10" s="283"/>
      <c r="N10" s="293"/>
      <c r="O10" s="294"/>
      <c r="P10" s="294"/>
      <c r="Q10" s="295"/>
    </row>
    <row r="11" spans="2:17" s="13" customFormat="1" ht="27" customHeight="1" x14ac:dyDescent="0.3">
      <c r="B11" s="284" t="s">
        <v>3</v>
      </c>
      <c r="C11" s="285"/>
      <c r="D11" s="285"/>
      <c r="E11" s="285"/>
      <c r="F11" s="285"/>
      <c r="G11" s="285"/>
      <c r="H11" s="285"/>
      <c r="I11" s="285"/>
      <c r="J11" s="285"/>
      <c r="K11" s="285"/>
      <c r="L11" s="285"/>
      <c r="M11" s="285"/>
      <c r="N11" s="285"/>
      <c r="O11" s="285"/>
      <c r="P11" s="285"/>
      <c r="Q11" s="286"/>
    </row>
    <row r="12" spans="2:17" ht="18" customHeight="1" x14ac:dyDescent="0.3">
      <c r="B12" s="297" t="s">
        <v>78</v>
      </c>
      <c r="C12" s="298"/>
      <c r="D12" s="298"/>
      <c r="E12" s="298"/>
      <c r="F12" s="298"/>
      <c r="G12" s="298"/>
      <c r="H12" s="298"/>
      <c r="I12" s="298"/>
      <c r="J12" s="298"/>
      <c r="K12" s="298"/>
      <c r="L12" s="298"/>
      <c r="M12" s="298"/>
      <c r="N12" s="298"/>
      <c r="O12" s="298"/>
      <c r="P12" s="298"/>
      <c r="Q12" s="299"/>
    </row>
    <row r="13" spans="2:17" ht="18" customHeight="1" x14ac:dyDescent="0.3">
      <c r="B13" s="300"/>
      <c r="C13" s="298"/>
      <c r="D13" s="298"/>
      <c r="E13" s="298"/>
      <c r="F13" s="298"/>
      <c r="G13" s="298"/>
      <c r="H13" s="298"/>
      <c r="I13" s="298"/>
      <c r="J13" s="298"/>
      <c r="K13" s="298"/>
      <c r="L13" s="298"/>
      <c r="M13" s="298"/>
      <c r="N13" s="298"/>
      <c r="O13" s="298"/>
      <c r="P13" s="298"/>
      <c r="Q13" s="299"/>
    </row>
    <row r="14" spans="2:17" ht="18" customHeight="1" x14ac:dyDescent="0.3">
      <c r="B14" s="300"/>
      <c r="C14" s="298"/>
      <c r="D14" s="298"/>
      <c r="E14" s="298"/>
      <c r="F14" s="298"/>
      <c r="G14" s="298"/>
      <c r="H14" s="298"/>
      <c r="I14" s="298"/>
      <c r="J14" s="298"/>
      <c r="K14" s="298"/>
      <c r="L14" s="298"/>
      <c r="M14" s="298"/>
      <c r="N14" s="298"/>
      <c r="O14" s="298"/>
      <c r="P14" s="298"/>
      <c r="Q14" s="299"/>
    </row>
    <row r="15" spans="2:17" x14ac:dyDescent="0.3">
      <c r="B15" s="300"/>
      <c r="C15" s="298"/>
      <c r="D15" s="298"/>
      <c r="E15" s="298"/>
      <c r="F15" s="298"/>
      <c r="G15" s="298"/>
      <c r="H15" s="298"/>
      <c r="I15" s="298"/>
      <c r="J15" s="298"/>
      <c r="K15" s="298"/>
      <c r="L15" s="298"/>
      <c r="M15" s="298"/>
      <c r="N15" s="298"/>
      <c r="O15" s="298"/>
      <c r="P15" s="298"/>
      <c r="Q15" s="299"/>
    </row>
    <row r="16" spans="2:17" x14ac:dyDescent="0.3">
      <c r="B16" s="300"/>
      <c r="C16" s="298"/>
      <c r="D16" s="298"/>
      <c r="E16" s="298"/>
      <c r="F16" s="298"/>
      <c r="G16" s="298"/>
      <c r="H16" s="298"/>
      <c r="I16" s="298"/>
      <c r="J16" s="298"/>
      <c r="K16" s="298"/>
      <c r="L16" s="298"/>
      <c r="M16" s="298"/>
      <c r="N16" s="298"/>
      <c r="O16" s="298"/>
      <c r="P16" s="298"/>
      <c r="Q16" s="299"/>
    </row>
    <row r="17" spans="2:17" x14ac:dyDescent="0.3">
      <c r="B17" s="300"/>
      <c r="C17" s="298"/>
      <c r="D17" s="298"/>
      <c r="E17" s="298"/>
      <c r="F17" s="298"/>
      <c r="G17" s="298"/>
      <c r="H17" s="298"/>
      <c r="I17" s="298"/>
      <c r="J17" s="298"/>
      <c r="K17" s="298"/>
      <c r="L17" s="298"/>
      <c r="M17" s="298"/>
      <c r="N17" s="298"/>
      <c r="O17" s="298"/>
      <c r="P17" s="298"/>
      <c r="Q17" s="299"/>
    </row>
    <row r="18" spans="2:17" ht="16.2" thickBot="1" x14ac:dyDescent="0.35">
      <c r="B18" s="300"/>
      <c r="C18" s="298"/>
      <c r="D18" s="298"/>
      <c r="E18" s="298"/>
      <c r="F18" s="298"/>
      <c r="G18" s="298"/>
      <c r="H18" s="298"/>
      <c r="I18" s="298"/>
      <c r="J18" s="298"/>
      <c r="K18" s="298"/>
      <c r="L18" s="298"/>
      <c r="M18" s="298"/>
      <c r="N18" s="298"/>
      <c r="O18" s="298"/>
      <c r="P18" s="298"/>
      <c r="Q18" s="299"/>
    </row>
    <row r="19" spans="2:17" s="13" customFormat="1" ht="27" customHeight="1" x14ac:dyDescent="0.3">
      <c r="B19" s="284" t="s">
        <v>4</v>
      </c>
      <c r="C19" s="285"/>
      <c r="D19" s="285"/>
      <c r="E19" s="285"/>
      <c r="F19" s="285"/>
      <c r="G19" s="285"/>
      <c r="H19" s="285"/>
      <c r="I19" s="285"/>
      <c r="J19" s="285"/>
      <c r="K19" s="285"/>
      <c r="L19" s="285"/>
      <c r="M19" s="285"/>
      <c r="N19" s="285"/>
      <c r="O19" s="285"/>
      <c r="P19" s="285"/>
      <c r="Q19" s="286"/>
    </row>
    <row r="20" spans="2:17" x14ac:dyDescent="0.3">
      <c r="B20" s="5"/>
      <c r="Q20" s="7"/>
    </row>
    <row r="21" spans="2:17" x14ac:dyDescent="0.3">
      <c r="B21" s="5"/>
      <c r="Q21" s="7"/>
    </row>
    <row r="22" spans="2:17" ht="18.600000000000001" thickBot="1" x14ac:dyDescent="0.4">
      <c r="B22" s="5"/>
      <c r="C22" s="12"/>
      <c r="D22" s="11" t="s">
        <v>5</v>
      </c>
      <c r="Q22" s="7"/>
    </row>
    <row r="23" spans="2:17" ht="18.600000000000001" thickBot="1" x14ac:dyDescent="0.4">
      <c r="B23" s="5"/>
      <c r="C23" s="12"/>
      <c r="D23" s="11" t="s">
        <v>6</v>
      </c>
      <c r="Q23" s="7"/>
    </row>
    <row r="24" spans="2:17" ht="18.600000000000001" thickBot="1" x14ac:dyDescent="0.4">
      <c r="B24" s="5"/>
      <c r="C24" s="12" t="s">
        <v>39</v>
      </c>
      <c r="D24" s="11" t="s">
        <v>7</v>
      </c>
      <c r="Q24" s="7"/>
    </row>
    <row r="25" spans="2:17" ht="18.600000000000001" thickBot="1" x14ac:dyDescent="0.4">
      <c r="B25" s="5"/>
      <c r="C25" s="12" t="s">
        <v>39</v>
      </c>
      <c r="D25" s="11" t="s">
        <v>8</v>
      </c>
      <c r="Q25" s="7"/>
    </row>
    <row r="26" spans="2:17" ht="18.600000000000001" thickBot="1" x14ac:dyDescent="0.4">
      <c r="B26" s="5"/>
      <c r="C26" s="12" t="s">
        <v>39</v>
      </c>
      <c r="D26" s="11" t="s">
        <v>9</v>
      </c>
      <c r="Q26" s="7"/>
    </row>
    <row r="27" spans="2:17" ht="18.600000000000001" thickBot="1" x14ac:dyDescent="0.4">
      <c r="B27" s="5"/>
      <c r="C27" s="12" t="s">
        <v>39</v>
      </c>
      <c r="D27" s="11" t="s">
        <v>10</v>
      </c>
      <c r="Q27" s="7"/>
    </row>
    <row r="28" spans="2:17" ht="18.600000000000001" thickBot="1" x14ac:dyDescent="0.4">
      <c r="B28" s="5"/>
      <c r="C28" s="12"/>
      <c r="D28" s="11" t="s">
        <v>11</v>
      </c>
      <c r="Q28" s="7"/>
    </row>
    <row r="29" spans="2:17" ht="18.600000000000001" thickBot="1" x14ac:dyDescent="0.4">
      <c r="B29" s="5"/>
      <c r="C29" s="12" t="s">
        <v>39</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48" t="s">
        <v>13</v>
      </c>
      <c r="C32" s="249"/>
      <c r="D32" s="249"/>
      <c r="E32" s="249"/>
      <c r="F32" s="249"/>
      <c r="G32" s="249"/>
      <c r="H32" s="249"/>
      <c r="I32" s="249"/>
      <c r="J32" s="249"/>
      <c r="K32" s="249"/>
      <c r="L32" s="249"/>
      <c r="M32" s="249"/>
      <c r="N32" s="249"/>
      <c r="O32" s="249"/>
      <c r="P32" s="249"/>
      <c r="Q32" s="250"/>
    </row>
    <row r="33" spans="2:17" x14ac:dyDescent="0.3">
      <c r="B33" s="254" t="s">
        <v>86</v>
      </c>
      <c r="C33" s="255"/>
      <c r="D33" s="255"/>
      <c r="E33" s="255"/>
      <c r="F33" s="255"/>
      <c r="G33" s="255"/>
      <c r="H33" s="255"/>
      <c r="I33" s="255"/>
      <c r="J33" s="255"/>
      <c r="K33" s="255"/>
      <c r="L33" s="255"/>
      <c r="M33" s="255"/>
      <c r="N33" s="255"/>
      <c r="O33" s="255"/>
      <c r="P33" s="255"/>
      <c r="Q33" s="256"/>
    </row>
    <row r="34" spans="2:17" x14ac:dyDescent="0.3">
      <c r="B34" s="257"/>
      <c r="C34" s="258"/>
      <c r="D34" s="258"/>
      <c r="E34" s="258"/>
      <c r="F34" s="258"/>
      <c r="G34" s="258"/>
      <c r="H34" s="258"/>
      <c r="I34" s="258"/>
      <c r="J34" s="258"/>
      <c r="K34" s="258"/>
      <c r="L34" s="258"/>
      <c r="M34" s="258"/>
      <c r="N34" s="258"/>
      <c r="O34" s="258"/>
      <c r="P34" s="258"/>
      <c r="Q34" s="259"/>
    </row>
    <row r="35" spans="2:17" x14ac:dyDescent="0.3">
      <c r="B35" s="257"/>
      <c r="C35" s="258"/>
      <c r="D35" s="258"/>
      <c r="E35" s="258"/>
      <c r="F35" s="258"/>
      <c r="G35" s="258"/>
      <c r="H35" s="258"/>
      <c r="I35" s="258"/>
      <c r="J35" s="258"/>
      <c r="K35" s="258"/>
      <c r="L35" s="258"/>
      <c r="M35" s="258"/>
      <c r="N35" s="258"/>
      <c r="O35" s="258"/>
      <c r="P35" s="258"/>
      <c r="Q35" s="259"/>
    </row>
    <row r="36" spans="2:17" x14ac:dyDescent="0.3">
      <c r="B36" s="257"/>
      <c r="C36" s="258"/>
      <c r="D36" s="258"/>
      <c r="E36" s="258"/>
      <c r="F36" s="258"/>
      <c r="G36" s="258"/>
      <c r="H36" s="258"/>
      <c r="I36" s="258"/>
      <c r="J36" s="258"/>
      <c r="K36" s="258"/>
      <c r="L36" s="258"/>
      <c r="M36" s="258"/>
      <c r="N36" s="258"/>
      <c r="O36" s="258"/>
      <c r="P36" s="258"/>
      <c r="Q36" s="259"/>
    </row>
    <row r="37" spans="2:17" x14ac:dyDescent="0.3">
      <c r="B37" s="257"/>
      <c r="C37" s="258"/>
      <c r="D37" s="258"/>
      <c r="E37" s="258"/>
      <c r="F37" s="258"/>
      <c r="G37" s="258"/>
      <c r="H37" s="258"/>
      <c r="I37" s="258"/>
      <c r="J37" s="258"/>
      <c r="K37" s="258"/>
      <c r="L37" s="258"/>
      <c r="M37" s="258"/>
      <c r="N37" s="258"/>
      <c r="O37" s="258"/>
      <c r="P37" s="258"/>
      <c r="Q37" s="259"/>
    </row>
    <row r="38" spans="2:17" x14ac:dyDescent="0.3">
      <c r="B38" s="257"/>
      <c r="C38" s="258"/>
      <c r="D38" s="258"/>
      <c r="E38" s="258"/>
      <c r="F38" s="258"/>
      <c r="G38" s="258"/>
      <c r="H38" s="258"/>
      <c r="I38" s="258"/>
      <c r="J38" s="258"/>
      <c r="K38" s="258"/>
      <c r="L38" s="258"/>
      <c r="M38" s="258"/>
      <c r="N38" s="258"/>
      <c r="O38" s="258"/>
      <c r="P38" s="258"/>
      <c r="Q38" s="259"/>
    </row>
    <row r="39" spans="2:17" x14ac:dyDescent="0.3">
      <c r="B39" s="257"/>
      <c r="C39" s="258"/>
      <c r="D39" s="258"/>
      <c r="E39" s="258"/>
      <c r="F39" s="258"/>
      <c r="G39" s="258"/>
      <c r="H39" s="258"/>
      <c r="I39" s="258"/>
      <c r="J39" s="258"/>
      <c r="K39" s="258"/>
      <c r="L39" s="258"/>
      <c r="M39" s="258"/>
      <c r="N39" s="258"/>
      <c r="O39" s="258"/>
      <c r="P39" s="258"/>
      <c r="Q39" s="259"/>
    </row>
    <row r="40" spans="2:17" x14ac:dyDescent="0.3">
      <c r="B40" s="257"/>
      <c r="C40" s="258"/>
      <c r="D40" s="258"/>
      <c r="E40" s="258"/>
      <c r="F40" s="258"/>
      <c r="G40" s="258"/>
      <c r="H40" s="258"/>
      <c r="I40" s="258"/>
      <c r="J40" s="258"/>
      <c r="K40" s="258"/>
      <c r="L40" s="258"/>
      <c r="M40" s="258"/>
      <c r="N40" s="258"/>
      <c r="O40" s="258"/>
      <c r="P40" s="258"/>
      <c r="Q40" s="259"/>
    </row>
    <row r="41" spans="2:17" x14ac:dyDescent="0.3">
      <c r="B41" s="257"/>
      <c r="C41" s="258"/>
      <c r="D41" s="258"/>
      <c r="E41" s="258"/>
      <c r="F41" s="258"/>
      <c r="G41" s="258"/>
      <c r="H41" s="258"/>
      <c r="I41" s="258"/>
      <c r="J41" s="258"/>
      <c r="K41" s="258"/>
      <c r="L41" s="258"/>
      <c r="M41" s="258"/>
      <c r="N41" s="258"/>
      <c r="O41" s="258"/>
      <c r="P41" s="258"/>
      <c r="Q41" s="259"/>
    </row>
    <row r="42" spans="2:17" x14ac:dyDescent="0.3">
      <c r="B42" s="257"/>
      <c r="C42" s="258"/>
      <c r="D42" s="258"/>
      <c r="E42" s="258"/>
      <c r="F42" s="258"/>
      <c r="G42" s="258"/>
      <c r="H42" s="258"/>
      <c r="I42" s="258"/>
      <c r="J42" s="258"/>
      <c r="K42" s="258"/>
      <c r="L42" s="258"/>
      <c r="M42" s="258"/>
      <c r="N42" s="258"/>
      <c r="O42" s="258"/>
      <c r="P42" s="258"/>
      <c r="Q42" s="259"/>
    </row>
    <row r="43" spans="2:17" x14ac:dyDescent="0.3">
      <c r="B43" s="257"/>
      <c r="C43" s="258"/>
      <c r="D43" s="258"/>
      <c r="E43" s="258"/>
      <c r="F43" s="258"/>
      <c r="G43" s="258"/>
      <c r="H43" s="258"/>
      <c r="I43" s="258"/>
      <c r="J43" s="258"/>
      <c r="K43" s="258"/>
      <c r="L43" s="258"/>
      <c r="M43" s="258"/>
      <c r="N43" s="258"/>
      <c r="O43" s="258"/>
      <c r="P43" s="258"/>
      <c r="Q43" s="259"/>
    </row>
    <row r="44" spans="2:17" ht="16.2" thickBot="1" x14ac:dyDescent="0.35">
      <c r="B44" s="260"/>
      <c r="C44" s="261"/>
      <c r="D44" s="261"/>
      <c r="E44" s="261"/>
      <c r="F44" s="261"/>
      <c r="G44" s="261"/>
      <c r="H44" s="261"/>
      <c r="I44" s="261"/>
      <c r="J44" s="261"/>
      <c r="K44" s="261"/>
      <c r="L44" s="261"/>
      <c r="M44" s="261"/>
      <c r="N44" s="261"/>
      <c r="O44" s="261"/>
      <c r="P44" s="261"/>
      <c r="Q44" s="262"/>
    </row>
    <row r="45" spans="2:17" ht="15.6" customHeight="1" x14ac:dyDescent="0.3">
      <c r="B45" s="248" t="s">
        <v>14</v>
      </c>
      <c r="C45" s="249"/>
      <c r="D45" s="249"/>
      <c r="E45" s="249"/>
      <c r="F45" s="249"/>
      <c r="G45" s="249"/>
      <c r="H45" s="249"/>
      <c r="I45" s="249"/>
      <c r="J45" s="249"/>
      <c r="K45" s="249"/>
      <c r="L45" s="249"/>
      <c r="M45" s="249"/>
      <c r="N45" s="249"/>
      <c r="O45" s="249"/>
      <c r="P45" s="249"/>
      <c r="Q45" s="250"/>
    </row>
    <row r="46" spans="2:17" ht="15.6" customHeight="1" x14ac:dyDescent="0.3">
      <c r="B46" s="251"/>
      <c r="C46" s="252"/>
      <c r="D46" s="252"/>
      <c r="E46" s="252"/>
      <c r="F46" s="252"/>
      <c r="G46" s="252"/>
      <c r="H46" s="252"/>
      <c r="I46" s="252"/>
      <c r="J46" s="252"/>
      <c r="K46" s="252"/>
      <c r="L46" s="252"/>
      <c r="M46" s="252"/>
      <c r="N46" s="252"/>
      <c r="O46" s="252"/>
      <c r="P46" s="252"/>
      <c r="Q46" s="253"/>
    </row>
    <row r="47" spans="2:17" x14ac:dyDescent="0.3">
      <c r="B47" s="263" t="s">
        <v>74</v>
      </c>
      <c r="C47" s="264"/>
      <c r="D47" s="264"/>
      <c r="E47" s="264"/>
      <c r="F47" s="264"/>
      <c r="G47" s="264"/>
      <c r="H47" s="264"/>
      <c r="I47" s="264"/>
      <c r="J47" s="264"/>
      <c r="K47" s="264"/>
      <c r="L47" s="264"/>
      <c r="M47" s="264"/>
      <c r="N47" s="264"/>
      <c r="O47" s="264"/>
      <c r="P47" s="264"/>
      <c r="Q47" s="265"/>
    </row>
    <row r="48" spans="2:17" x14ac:dyDescent="0.3">
      <c r="B48" s="263"/>
      <c r="C48" s="264"/>
      <c r="D48" s="264"/>
      <c r="E48" s="264"/>
      <c r="F48" s="264"/>
      <c r="G48" s="264"/>
      <c r="H48" s="264"/>
      <c r="I48" s="264"/>
      <c r="J48" s="264"/>
      <c r="K48" s="264"/>
      <c r="L48" s="264"/>
      <c r="M48" s="264"/>
      <c r="N48" s="264"/>
      <c r="O48" s="264"/>
      <c r="P48" s="264"/>
      <c r="Q48" s="265"/>
    </row>
    <row r="49" spans="2:17" x14ac:dyDescent="0.3">
      <c r="B49" s="263"/>
      <c r="C49" s="264"/>
      <c r="D49" s="264"/>
      <c r="E49" s="264"/>
      <c r="F49" s="264"/>
      <c r="G49" s="264"/>
      <c r="H49" s="264"/>
      <c r="I49" s="264"/>
      <c r="J49" s="264"/>
      <c r="K49" s="264"/>
      <c r="L49" s="264"/>
      <c r="M49" s="264"/>
      <c r="N49" s="264"/>
      <c r="O49" s="264"/>
      <c r="P49" s="264"/>
      <c r="Q49" s="265"/>
    </row>
    <row r="50" spans="2:17" x14ac:dyDescent="0.3">
      <c r="B50" s="263"/>
      <c r="C50" s="264"/>
      <c r="D50" s="264"/>
      <c r="E50" s="264"/>
      <c r="F50" s="264"/>
      <c r="G50" s="264"/>
      <c r="H50" s="264"/>
      <c r="I50" s="264"/>
      <c r="J50" s="264"/>
      <c r="K50" s="264"/>
      <c r="L50" s="264"/>
      <c r="M50" s="264"/>
      <c r="N50" s="264"/>
      <c r="O50" s="264"/>
      <c r="P50" s="264"/>
      <c r="Q50" s="265"/>
    </row>
    <row r="51" spans="2:17" x14ac:dyDescent="0.3">
      <c r="B51" s="263"/>
      <c r="C51" s="264"/>
      <c r="D51" s="264"/>
      <c r="E51" s="264"/>
      <c r="F51" s="264"/>
      <c r="G51" s="264"/>
      <c r="H51" s="264"/>
      <c r="I51" s="264"/>
      <c r="J51" s="264"/>
      <c r="K51" s="264"/>
      <c r="L51" s="264"/>
      <c r="M51" s="264"/>
      <c r="N51" s="264"/>
      <c r="O51" s="264"/>
      <c r="P51" s="264"/>
      <c r="Q51" s="265"/>
    </row>
    <row r="52" spans="2:17" x14ac:dyDescent="0.3">
      <c r="B52" s="263"/>
      <c r="C52" s="264"/>
      <c r="D52" s="264"/>
      <c r="E52" s="264"/>
      <c r="F52" s="264"/>
      <c r="G52" s="264"/>
      <c r="H52" s="264"/>
      <c r="I52" s="264"/>
      <c r="J52" s="264"/>
      <c r="K52" s="264"/>
      <c r="L52" s="264"/>
      <c r="M52" s="264"/>
      <c r="N52" s="264"/>
      <c r="O52" s="264"/>
      <c r="P52" s="264"/>
      <c r="Q52" s="265"/>
    </row>
    <row r="53" spans="2:17" x14ac:dyDescent="0.3">
      <c r="B53" s="263"/>
      <c r="C53" s="264"/>
      <c r="D53" s="264"/>
      <c r="E53" s="264"/>
      <c r="F53" s="264"/>
      <c r="G53" s="264"/>
      <c r="H53" s="264"/>
      <c r="I53" s="264"/>
      <c r="J53" s="264"/>
      <c r="K53" s="264"/>
      <c r="L53" s="264"/>
      <c r="M53" s="264"/>
      <c r="N53" s="264"/>
      <c r="O53" s="264"/>
      <c r="P53" s="264"/>
      <c r="Q53" s="265"/>
    </row>
    <row r="54" spans="2:17" x14ac:dyDescent="0.3">
      <c r="B54" s="263"/>
      <c r="C54" s="264"/>
      <c r="D54" s="264"/>
      <c r="E54" s="264"/>
      <c r="F54" s="264"/>
      <c r="G54" s="264"/>
      <c r="H54" s="264"/>
      <c r="I54" s="264"/>
      <c r="J54" s="264"/>
      <c r="K54" s="264"/>
      <c r="L54" s="264"/>
      <c r="M54" s="264"/>
      <c r="N54" s="264"/>
      <c r="O54" s="264"/>
      <c r="P54" s="264"/>
      <c r="Q54" s="265"/>
    </row>
    <row r="55" spans="2:17" x14ac:dyDescent="0.3">
      <c r="B55" s="263"/>
      <c r="C55" s="264"/>
      <c r="D55" s="264"/>
      <c r="E55" s="264"/>
      <c r="F55" s="264"/>
      <c r="G55" s="264"/>
      <c r="H55" s="264"/>
      <c r="I55" s="264"/>
      <c r="J55" s="264"/>
      <c r="K55" s="264"/>
      <c r="L55" s="264"/>
      <c r="M55" s="264"/>
      <c r="N55" s="264"/>
      <c r="O55" s="264"/>
      <c r="P55" s="264"/>
      <c r="Q55" s="265"/>
    </row>
    <row r="56" spans="2:17" x14ac:dyDescent="0.3">
      <c r="B56" s="263"/>
      <c r="C56" s="264"/>
      <c r="D56" s="264"/>
      <c r="E56" s="264"/>
      <c r="F56" s="264"/>
      <c r="G56" s="264"/>
      <c r="H56" s="264"/>
      <c r="I56" s="264"/>
      <c r="J56" s="264"/>
      <c r="K56" s="264"/>
      <c r="L56" s="264"/>
      <c r="M56" s="264"/>
      <c r="N56" s="264"/>
      <c r="O56" s="264"/>
      <c r="P56" s="264"/>
      <c r="Q56" s="265"/>
    </row>
    <row r="57" spans="2:17" x14ac:dyDescent="0.3">
      <c r="B57" s="263"/>
      <c r="C57" s="264"/>
      <c r="D57" s="264"/>
      <c r="E57" s="264"/>
      <c r="F57" s="264"/>
      <c r="G57" s="264"/>
      <c r="H57" s="264"/>
      <c r="I57" s="264"/>
      <c r="J57" s="264"/>
      <c r="K57" s="264"/>
      <c r="L57" s="264"/>
      <c r="M57" s="264"/>
      <c r="N57" s="264"/>
      <c r="O57" s="264"/>
      <c r="P57" s="264"/>
      <c r="Q57" s="265"/>
    </row>
    <row r="58" spans="2:17" x14ac:dyDescent="0.3">
      <c r="B58" s="263"/>
      <c r="C58" s="264"/>
      <c r="D58" s="264"/>
      <c r="E58" s="264"/>
      <c r="F58" s="264"/>
      <c r="G58" s="264"/>
      <c r="H58" s="264"/>
      <c r="I58" s="264"/>
      <c r="J58" s="264"/>
      <c r="K58" s="264"/>
      <c r="L58" s="264"/>
      <c r="M58" s="264"/>
      <c r="N58" s="264"/>
      <c r="O58" s="264"/>
      <c r="P58" s="264"/>
      <c r="Q58" s="265"/>
    </row>
    <row r="59" spans="2:17" x14ac:dyDescent="0.3">
      <c r="B59" s="263"/>
      <c r="C59" s="264"/>
      <c r="D59" s="264"/>
      <c r="E59" s="264"/>
      <c r="F59" s="264"/>
      <c r="G59" s="264"/>
      <c r="H59" s="264"/>
      <c r="I59" s="264"/>
      <c r="J59" s="264"/>
      <c r="K59" s="264"/>
      <c r="L59" s="264"/>
      <c r="M59" s="264"/>
      <c r="N59" s="264"/>
      <c r="O59" s="264"/>
      <c r="P59" s="264"/>
      <c r="Q59" s="265"/>
    </row>
    <row r="60" spans="2:17" x14ac:dyDescent="0.3">
      <c r="B60" s="263"/>
      <c r="C60" s="264"/>
      <c r="D60" s="264"/>
      <c r="E60" s="264"/>
      <c r="F60" s="264"/>
      <c r="G60" s="264"/>
      <c r="H60" s="264"/>
      <c r="I60" s="264"/>
      <c r="J60" s="264"/>
      <c r="K60" s="264"/>
      <c r="L60" s="264"/>
      <c r="M60" s="264"/>
      <c r="N60" s="264"/>
      <c r="O60" s="264"/>
      <c r="P60" s="264"/>
      <c r="Q60" s="265"/>
    </row>
    <row r="61" spans="2:17" x14ac:dyDescent="0.3">
      <c r="B61" s="263"/>
      <c r="C61" s="264"/>
      <c r="D61" s="264"/>
      <c r="E61" s="264"/>
      <c r="F61" s="264"/>
      <c r="G61" s="264"/>
      <c r="H61" s="264"/>
      <c r="I61" s="264"/>
      <c r="J61" s="264"/>
      <c r="K61" s="264"/>
      <c r="L61" s="264"/>
      <c r="M61" s="264"/>
      <c r="N61" s="264"/>
      <c r="O61" s="264"/>
      <c r="P61" s="264"/>
      <c r="Q61" s="265"/>
    </row>
    <row r="62" spans="2:17" ht="16.2" thickBot="1" x14ac:dyDescent="0.35">
      <c r="B62" s="266"/>
      <c r="C62" s="267"/>
      <c r="D62" s="267"/>
      <c r="E62" s="267"/>
      <c r="F62" s="267"/>
      <c r="G62" s="267"/>
      <c r="H62" s="267"/>
      <c r="I62" s="267"/>
      <c r="J62" s="267"/>
      <c r="K62" s="267"/>
      <c r="L62" s="267"/>
      <c r="M62" s="267"/>
      <c r="N62" s="267"/>
      <c r="O62" s="267"/>
      <c r="P62" s="267"/>
      <c r="Q62" s="268"/>
    </row>
    <row r="63" spans="2:17" ht="15.6" customHeight="1" x14ac:dyDescent="0.3">
      <c r="B63" s="248" t="s">
        <v>15</v>
      </c>
      <c r="C63" s="249"/>
      <c r="D63" s="249"/>
      <c r="E63" s="249"/>
      <c r="F63" s="249"/>
      <c r="G63" s="249"/>
      <c r="H63" s="249"/>
      <c r="I63" s="249"/>
      <c r="J63" s="249"/>
      <c r="K63" s="249"/>
      <c r="L63" s="249"/>
      <c r="M63" s="249"/>
      <c r="N63" s="249"/>
      <c r="O63" s="249"/>
      <c r="P63" s="249"/>
      <c r="Q63" s="250"/>
    </row>
    <row r="64" spans="2:17" ht="15.6" customHeight="1" x14ac:dyDescent="0.3">
      <c r="B64" s="251"/>
      <c r="C64" s="252"/>
      <c r="D64" s="252"/>
      <c r="E64" s="252"/>
      <c r="F64" s="252"/>
      <c r="G64" s="252"/>
      <c r="H64" s="252"/>
      <c r="I64" s="252"/>
      <c r="J64" s="252"/>
      <c r="K64" s="252"/>
      <c r="L64" s="252"/>
      <c r="M64" s="252"/>
      <c r="N64" s="252"/>
      <c r="O64" s="252"/>
      <c r="P64" s="252"/>
      <c r="Q64" s="253"/>
    </row>
    <row r="65" spans="2:17" ht="15.6" customHeight="1" x14ac:dyDescent="0.3">
      <c r="B65" s="14"/>
      <c r="C65" s="15"/>
      <c r="D65" s="269"/>
      <c r="E65" s="269"/>
      <c r="F65" s="269"/>
      <c r="G65" s="269"/>
      <c r="H65" s="269"/>
      <c r="I65" s="269"/>
      <c r="J65" s="269"/>
      <c r="K65" s="269"/>
      <c r="L65" s="269"/>
      <c r="M65" s="269"/>
      <c r="N65" s="269"/>
      <c r="O65" s="269"/>
      <c r="P65" s="269"/>
      <c r="Q65" s="269"/>
    </row>
    <row r="66" spans="2:17" ht="15.6" customHeight="1" x14ac:dyDescent="0.3">
      <c r="B66" s="263" t="s">
        <v>79</v>
      </c>
      <c r="C66" s="264"/>
      <c r="D66" s="264"/>
      <c r="E66" s="264"/>
      <c r="F66" s="264"/>
      <c r="G66" s="264"/>
      <c r="H66" s="264"/>
      <c r="I66" s="264"/>
      <c r="J66" s="264"/>
      <c r="K66" s="264"/>
      <c r="L66" s="264"/>
      <c r="M66" s="264"/>
      <c r="N66" s="264"/>
      <c r="O66" s="264"/>
      <c r="P66" s="264"/>
      <c r="Q66" s="265"/>
    </row>
    <row r="67" spans="2:17" ht="15.6" customHeight="1" x14ac:dyDescent="0.3">
      <c r="B67" s="263"/>
      <c r="C67" s="264"/>
      <c r="D67" s="264"/>
      <c r="E67" s="264"/>
      <c r="F67" s="264"/>
      <c r="G67" s="264"/>
      <c r="H67" s="264"/>
      <c r="I67" s="264"/>
      <c r="J67" s="264"/>
      <c r="K67" s="264"/>
      <c r="L67" s="264"/>
      <c r="M67" s="264"/>
      <c r="N67" s="264"/>
      <c r="O67" s="264"/>
      <c r="P67" s="264"/>
      <c r="Q67" s="265"/>
    </row>
    <row r="68" spans="2:17" ht="15.6" customHeight="1" x14ac:dyDescent="0.3">
      <c r="B68" s="263"/>
      <c r="C68" s="264"/>
      <c r="D68" s="264"/>
      <c r="E68" s="264"/>
      <c r="F68" s="264"/>
      <c r="G68" s="264"/>
      <c r="H68" s="264"/>
      <c r="I68" s="264"/>
      <c r="J68" s="264"/>
      <c r="K68" s="264"/>
      <c r="L68" s="264"/>
      <c r="M68" s="264"/>
      <c r="N68" s="264"/>
      <c r="O68" s="264"/>
      <c r="P68" s="264"/>
      <c r="Q68" s="265"/>
    </row>
    <row r="69" spans="2:17" ht="15.6" customHeight="1" x14ac:dyDescent="0.3">
      <c r="B69" s="263"/>
      <c r="C69" s="264"/>
      <c r="D69" s="264"/>
      <c r="E69" s="264"/>
      <c r="F69" s="264"/>
      <c r="G69" s="264"/>
      <c r="H69" s="264"/>
      <c r="I69" s="264"/>
      <c r="J69" s="264"/>
      <c r="K69" s="264"/>
      <c r="L69" s="264"/>
      <c r="M69" s="264"/>
      <c r="N69" s="264"/>
      <c r="O69" s="264"/>
      <c r="P69" s="264"/>
      <c r="Q69" s="265"/>
    </row>
    <row r="70" spans="2:17" ht="15.6" customHeight="1" x14ac:dyDescent="0.3">
      <c r="B70" s="263"/>
      <c r="C70" s="264"/>
      <c r="D70" s="264"/>
      <c r="E70" s="264"/>
      <c r="F70" s="264"/>
      <c r="G70" s="264"/>
      <c r="H70" s="264"/>
      <c r="I70" s="264"/>
      <c r="J70" s="264"/>
      <c r="K70" s="264"/>
      <c r="L70" s="264"/>
      <c r="M70" s="264"/>
      <c r="N70" s="264"/>
      <c r="O70" s="264"/>
      <c r="P70" s="264"/>
      <c r="Q70" s="265"/>
    </row>
    <row r="71" spans="2:17" ht="15.6" customHeight="1" x14ac:dyDescent="0.3">
      <c r="B71" s="263"/>
      <c r="C71" s="264"/>
      <c r="D71" s="264"/>
      <c r="E71" s="264"/>
      <c r="F71" s="264"/>
      <c r="G71" s="264"/>
      <c r="H71" s="264"/>
      <c r="I71" s="264"/>
      <c r="J71" s="264"/>
      <c r="K71" s="264"/>
      <c r="L71" s="264"/>
      <c r="M71" s="264"/>
      <c r="N71" s="264"/>
      <c r="O71" s="264"/>
      <c r="P71" s="264"/>
      <c r="Q71" s="265"/>
    </row>
    <row r="72" spans="2:17" ht="15.6" customHeight="1" x14ac:dyDescent="0.3">
      <c r="B72" s="263"/>
      <c r="C72" s="264"/>
      <c r="D72" s="264"/>
      <c r="E72" s="264"/>
      <c r="F72" s="264"/>
      <c r="G72" s="264"/>
      <c r="H72" s="264"/>
      <c r="I72" s="264"/>
      <c r="J72" s="264"/>
      <c r="K72" s="264"/>
      <c r="L72" s="264"/>
      <c r="M72" s="264"/>
      <c r="N72" s="264"/>
      <c r="O72" s="264"/>
      <c r="P72" s="264"/>
      <c r="Q72" s="265"/>
    </row>
    <row r="73" spans="2:17" ht="15.6" customHeight="1" x14ac:dyDescent="0.3">
      <c r="B73" s="263"/>
      <c r="C73" s="264"/>
      <c r="D73" s="264"/>
      <c r="E73" s="264"/>
      <c r="F73" s="264"/>
      <c r="G73" s="264"/>
      <c r="H73" s="264"/>
      <c r="I73" s="264"/>
      <c r="J73" s="264"/>
      <c r="K73" s="264"/>
      <c r="L73" s="264"/>
      <c r="M73" s="264"/>
      <c r="N73" s="264"/>
      <c r="O73" s="264"/>
      <c r="P73" s="264"/>
      <c r="Q73" s="265"/>
    </row>
    <row r="74" spans="2:17" ht="16.05" customHeight="1" thickBot="1" x14ac:dyDescent="0.35">
      <c r="B74" s="266"/>
      <c r="C74" s="267"/>
      <c r="D74" s="267"/>
      <c r="E74" s="267"/>
      <c r="F74" s="267"/>
      <c r="G74" s="267"/>
      <c r="H74" s="267"/>
      <c r="I74" s="267"/>
      <c r="J74" s="267"/>
      <c r="K74" s="267"/>
      <c r="L74" s="267"/>
      <c r="M74" s="267"/>
      <c r="N74" s="267"/>
      <c r="O74" s="267"/>
      <c r="P74" s="267"/>
      <c r="Q74" s="268"/>
    </row>
    <row r="75" spans="2:17" ht="15.6" customHeight="1" x14ac:dyDescent="0.3">
      <c r="B75" s="248" t="s">
        <v>95</v>
      </c>
      <c r="C75" s="249"/>
      <c r="D75" s="249"/>
      <c r="E75" s="249"/>
      <c r="F75" s="249"/>
      <c r="G75" s="249"/>
      <c r="H75" s="249"/>
      <c r="I75" s="249"/>
      <c r="J75" s="249"/>
      <c r="K75" s="249"/>
      <c r="L75" s="249"/>
      <c r="M75" s="249"/>
      <c r="N75" s="249"/>
      <c r="O75" s="249"/>
      <c r="P75" s="249"/>
      <c r="Q75" s="250"/>
    </row>
    <row r="76" spans="2:17" ht="25.05" customHeight="1" x14ac:dyDescent="0.3">
      <c r="B76" s="251"/>
      <c r="C76" s="252"/>
      <c r="D76" s="252"/>
      <c r="E76" s="252"/>
      <c r="F76" s="252"/>
      <c r="G76" s="252"/>
      <c r="H76" s="252"/>
      <c r="I76" s="252"/>
      <c r="J76" s="252"/>
      <c r="K76" s="252"/>
      <c r="L76" s="252"/>
      <c r="M76" s="252"/>
      <c r="N76" s="252"/>
      <c r="O76" s="252"/>
      <c r="P76" s="252"/>
      <c r="Q76" s="253"/>
    </row>
    <row r="77" spans="2:17" ht="25.05" customHeight="1" x14ac:dyDescent="0.3">
      <c r="B77" s="14"/>
      <c r="C77" s="269" t="s">
        <v>38</v>
      </c>
      <c r="D77" s="269"/>
      <c r="E77" s="269"/>
      <c r="F77" s="269"/>
      <c r="G77" s="269"/>
      <c r="H77" s="269"/>
      <c r="I77" s="269"/>
      <c r="J77" s="269"/>
      <c r="K77" s="269"/>
      <c r="L77" s="269"/>
      <c r="M77" s="269"/>
      <c r="N77" s="269"/>
      <c r="O77" s="269"/>
      <c r="P77" s="269"/>
      <c r="Q77" s="16"/>
    </row>
    <row r="78" spans="2:17" ht="25.05" customHeight="1" x14ac:dyDescent="0.3">
      <c r="B78" s="333" t="s">
        <v>99</v>
      </c>
      <c r="C78" s="334"/>
      <c r="D78" s="334"/>
      <c r="E78" s="334"/>
      <c r="F78" s="334"/>
      <c r="G78" s="334"/>
      <c r="H78" s="334"/>
      <c r="I78" s="334"/>
      <c r="J78" s="334"/>
      <c r="K78" s="334"/>
      <c r="L78" s="334"/>
      <c r="M78" s="334"/>
      <c r="N78" s="334"/>
      <c r="O78" s="334"/>
      <c r="P78" s="334"/>
      <c r="Q78" s="335"/>
    </row>
    <row r="79" spans="2:17" ht="25.05" customHeight="1" x14ac:dyDescent="0.3">
      <c r="B79" s="333"/>
      <c r="C79" s="334"/>
      <c r="D79" s="334"/>
      <c r="E79" s="334"/>
      <c r="F79" s="334"/>
      <c r="G79" s="334"/>
      <c r="H79" s="334"/>
      <c r="I79" s="334"/>
      <c r="J79" s="334"/>
      <c r="K79" s="334"/>
      <c r="L79" s="334"/>
      <c r="M79" s="334"/>
      <c r="N79" s="334"/>
      <c r="O79" s="334"/>
      <c r="P79" s="334"/>
      <c r="Q79" s="335"/>
    </row>
    <row r="80" spans="2:17" ht="25.05" customHeight="1" x14ac:dyDescent="0.3">
      <c r="B80" s="72"/>
      <c r="C80" s="73"/>
      <c r="D80" s="73"/>
      <c r="E80" s="102"/>
      <c r="F80" s="276" t="s">
        <v>84</v>
      </c>
      <c r="G80" s="276"/>
      <c r="H80" s="276"/>
      <c r="I80" s="276" t="s">
        <v>85</v>
      </c>
      <c r="J80" s="276"/>
      <c r="K80" s="276"/>
      <c r="L80" s="276"/>
      <c r="M80" s="104" t="s">
        <v>128</v>
      </c>
      <c r="N80" s="73"/>
      <c r="O80" s="73"/>
      <c r="P80" s="73"/>
      <c r="Q80" s="74"/>
    </row>
    <row r="81" spans="2:17" x14ac:dyDescent="0.3">
      <c r="B81" s="72"/>
      <c r="C81" s="73"/>
      <c r="D81" s="73"/>
      <c r="E81" s="296" t="str">
        <f>'Felix 2.0--Details'!$C$7</f>
        <v>Procure TPC DAM Felix 2.0 boards  (DAQ THROUGHPPUT TEST)</v>
      </c>
      <c r="F81" s="296"/>
      <c r="G81" s="296"/>
      <c r="H81" s="296"/>
      <c r="I81" s="326">
        <f>'Felix 2.0--Details'!I7</f>
        <v>73523.499999999985</v>
      </c>
      <c r="J81" s="326"/>
      <c r="K81" s="326"/>
      <c r="L81" s="326"/>
      <c r="M81" s="102"/>
      <c r="N81" s="73"/>
      <c r="O81" s="73"/>
      <c r="P81" s="73"/>
      <c r="Q81" s="74"/>
    </row>
    <row r="82" spans="2:17" x14ac:dyDescent="0.3">
      <c r="B82" s="72"/>
      <c r="C82" s="73"/>
      <c r="D82" s="73"/>
      <c r="E82" s="102"/>
      <c r="F82" s="328" t="str">
        <f>'Felix 2.0--Details'!C16</f>
        <v>Procure Full Set of Data Fiber for Design Validation</v>
      </c>
      <c r="G82" s="329"/>
      <c r="H82" s="330"/>
      <c r="I82" s="331">
        <f>'Felix 2.0--Details'!I16</f>
        <v>2875.76</v>
      </c>
      <c r="J82" s="332"/>
      <c r="K82" s="167"/>
      <c r="L82" s="167"/>
      <c r="M82" s="102"/>
      <c r="N82" s="73"/>
      <c r="O82" s="73"/>
      <c r="P82" s="73"/>
      <c r="Q82" s="74"/>
    </row>
    <row r="83" spans="2:17" ht="25.05" customHeight="1" x14ac:dyDescent="0.3">
      <c r="B83" s="72"/>
      <c r="C83" s="73"/>
      <c r="D83" s="73"/>
      <c r="E83" s="102"/>
      <c r="F83" s="296" t="str">
        <f>'Felix 2.0--Details'!$C$25</f>
        <v>FPGA Algorithm development</v>
      </c>
      <c r="G83" s="296"/>
      <c r="H83" s="296"/>
      <c r="I83" s="326">
        <f>'Felix 2.0--Details'!I25</f>
        <v>2563.35</v>
      </c>
      <c r="J83" s="326"/>
      <c r="K83" s="326"/>
      <c r="L83" s="326"/>
      <c r="M83" s="102"/>
      <c r="N83" s="73"/>
      <c r="O83" s="73"/>
      <c r="P83" s="73"/>
      <c r="Q83" s="74"/>
    </row>
    <row r="84" spans="2:17" ht="25.05" customHeight="1" x14ac:dyDescent="0.3">
      <c r="B84" s="72"/>
      <c r="C84" s="73"/>
      <c r="D84" s="73"/>
      <c r="E84" s="102"/>
      <c r="F84" s="327" t="s">
        <v>32</v>
      </c>
      <c r="G84" s="327"/>
      <c r="H84" s="327"/>
      <c r="I84" s="326">
        <f>'Felix 2.0--Details'!J3</f>
        <v>78962.609999999986</v>
      </c>
      <c r="J84" s="326"/>
      <c r="K84" s="326"/>
      <c r="L84" s="326"/>
      <c r="M84" s="103">
        <f>'Felix 2.0--Details'!F44</f>
        <v>3089</v>
      </c>
      <c r="N84" s="73"/>
      <c r="O84" s="73"/>
      <c r="P84" s="73"/>
      <c r="Q84" s="74"/>
    </row>
    <row r="85" spans="2:17" ht="15.6" customHeight="1" x14ac:dyDescent="0.3">
      <c r="B85" s="72"/>
      <c r="C85" s="73"/>
      <c r="D85" s="73"/>
      <c r="E85" s="73"/>
      <c r="F85" s="73"/>
      <c r="G85" s="73"/>
      <c r="H85" s="73"/>
      <c r="I85" s="73"/>
      <c r="J85" s="73"/>
      <c r="K85" s="73"/>
      <c r="L85" s="73"/>
      <c r="M85" s="73"/>
      <c r="N85" s="73"/>
      <c r="O85" s="73"/>
      <c r="P85" s="73"/>
      <c r="Q85" s="74"/>
    </row>
    <row r="86" spans="2:17" ht="16.05" customHeight="1" thickBot="1" x14ac:dyDescent="0.35">
      <c r="B86" s="75"/>
      <c r="C86" s="76"/>
      <c r="D86" s="76"/>
      <c r="E86" s="76"/>
      <c r="F86" s="76"/>
      <c r="G86" s="76"/>
      <c r="H86" s="76"/>
      <c r="I86" s="76"/>
      <c r="J86" s="76"/>
      <c r="K86" s="76"/>
      <c r="L86" s="76"/>
      <c r="M86" s="76"/>
      <c r="N86" s="76"/>
      <c r="O86" s="76"/>
      <c r="P86" s="76"/>
      <c r="Q86" s="77"/>
    </row>
    <row r="87" spans="2:17" ht="15.6" customHeight="1" x14ac:dyDescent="0.3">
      <c r="B87" s="248" t="s">
        <v>97</v>
      </c>
      <c r="C87" s="249"/>
      <c r="D87" s="249"/>
      <c r="E87" s="249"/>
      <c r="F87" s="249"/>
      <c r="G87" s="249"/>
      <c r="H87" s="249"/>
      <c r="I87" s="249"/>
      <c r="J87" s="249"/>
      <c r="K87" s="249"/>
      <c r="L87" s="249"/>
      <c r="M87" s="249"/>
      <c r="N87" s="249"/>
      <c r="O87" s="249"/>
      <c r="P87" s="249"/>
      <c r="Q87" s="250"/>
    </row>
    <row r="88" spans="2:17" ht="15.6" customHeight="1" x14ac:dyDescent="0.3">
      <c r="B88" s="251"/>
      <c r="C88" s="252"/>
      <c r="D88" s="252"/>
      <c r="E88" s="252"/>
      <c r="F88" s="252"/>
      <c r="G88" s="252"/>
      <c r="H88" s="252"/>
      <c r="I88" s="252"/>
      <c r="J88" s="252"/>
      <c r="K88" s="252"/>
      <c r="L88" s="252"/>
      <c r="M88" s="252"/>
      <c r="N88" s="252"/>
      <c r="O88" s="252"/>
      <c r="P88" s="252"/>
      <c r="Q88" s="253"/>
    </row>
    <row r="89" spans="2:17" ht="25.05" customHeight="1" x14ac:dyDescent="0.3">
      <c r="B89" s="242" t="s">
        <v>100</v>
      </c>
      <c r="C89" s="243"/>
      <c r="D89" s="243"/>
      <c r="E89" s="243"/>
      <c r="F89" s="243"/>
      <c r="G89" s="243"/>
      <c r="H89" s="243"/>
      <c r="I89" s="243"/>
      <c r="J89" s="243"/>
      <c r="K89" s="243"/>
      <c r="L89" s="243"/>
      <c r="M89" s="243"/>
      <c r="N89" s="243"/>
      <c r="O89" s="243"/>
      <c r="P89" s="243"/>
      <c r="Q89" s="244"/>
    </row>
    <row r="90" spans="2:17" x14ac:dyDescent="0.3">
      <c r="B90" s="242"/>
      <c r="C90" s="243"/>
      <c r="D90" s="243"/>
      <c r="E90" s="243"/>
      <c r="F90" s="243"/>
      <c r="G90" s="243"/>
      <c r="H90" s="243"/>
      <c r="I90" s="243"/>
      <c r="J90" s="243"/>
      <c r="K90" s="243"/>
      <c r="L90" s="243"/>
      <c r="M90" s="243"/>
      <c r="N90" s="243"/>
      <c r="O90" s="243"/>
      <c r="P90" s="243"/>
      <c r="Q90" s="244"/>
    </row>
    <row r="91" spans="2:17" x14ac:dyDescent="0.3">
      <c r="B91" s="242"/>
      <c r="C91" s="243"/>
      <c r="D91" s="243"/>
      <c r="E91" s="243"/>
      <c r="F91" s="243"/>
      <c r="G91" s="243"/>
      <c r="H91" s="243"/>
      <c r="I91" s="243"/>
      <c r="J91" s="243"/>
      <c r="K91" s="243"/>
      <c r="L91" s="243"/>
      <c r="M91" s="243"/>
      <c r="N91" s="243"/>
      <c r="O91" s="243"/>
      <c r="P91" s="243"/>
      <c r="Q91" s="244"/>
    </row>
    <row r="92" spans="2:17" x14ac:dyDescent="0.3">
      <c r="B92" s="242"/>
      <c r="C92" s="243"/>
      <c r="D92" s="243"/>
      <c r="E92" s="243"/>
      <c r="F92" s="243"/>
      <c r="G92" s="243"/>
      <c r="H92" s="243"/>
      <c r="I92" s="243"/>
      <c r="J92" s="243"/>
      <c r="K92" s="243"/>
      <c r="L92" s="243"/>
      <c r="M92" s="243"/>
      <c r="N92" s="243"/>
      <c r="O92" s="243"/>
      <c r="P92" s="243"/>
      <c r="Q92" s="244"/>
    </row>
    <row r="93" spans="2:17" x14ac:dyDescent="0.3">
      <c r="B93" s="242"/>
      <c r="C93" s="243"/>
      <c r="D93" s="243"/>
      <c r="E93" s="243"/>
      <c r="F93" s="243"/>
      <c r="G93" s="243"/>
      <c r="H93" s="243"/>
      <c r="I93" s="243"/>
      <c r="J93" s="243"/>
      <c r="K93" s="243"/>
      <c r="L93" s="243"/>
      <c r="M93" s="243"/>
      <c r="N93" s="243"/>
      <c r="O93" s="243"/>
      <c r="P93" s="243"/>
      <c r="Q93" s="244"/>
    </row>
    <row r="94" spans="2:17" x14ac:dyDescent="0.3">
      <c r="B94" s="242"/>
      <c r="C94" s="243"/>
      <c r="D94" s="243"/>
      <c r="E94" s="243"/>
      <c r="F94" s="243"/>
      <c r="G94" s="243"/>
      <c r="H94" s="243"/>
      <c r="I94" s="243"/>
      <c r="J94" s="243"/>
      <c r="K94" s="243"/>
      <c r="L94" s="243"/>
      <c r="M94" s="243"/>
      <c r="N94" s="243"/>
      <c r="O94" s="243"/>
      <c r="P94" s="243"/>
      <c r="Q94" s="244"/>
    </row>
    <row r="95" spans="2:17" x14ac:dyDescent="0.3">
      <c r="B95" s="242"/>
      <c r="C95" s="243"/>
      <c r="D95" s="243"/>
      <c r="E95" s="243"/>
      <c r="F95" s="243"/>
      <c r="G95" s="243"/>
      <c r="H95" s="243"/>
      <c r="I95" s="243"/>
      <c r="J95" s="243"/>
      <c r="K95" s="243"/>
      <c r="L95" s="243"/>
      <c r="M95" s="243"/>
      <c r="N95" s="243"/>
      <c r="O95" s="243"/>
      <c r="P95" s="243"/>
      <c r="Q95" s="244"/>
    </row>
    <row r="96" spans="2:17" x14ac:dyDescent="0.3">
      <c r="B96" s="242"/>
      <c r="C96" s="243"/>
      <c r="D96" s="243"/>
      <c r="E96" s="243"/>
      <c r="F96" s="243"/>
      <c r="G96" s="243"/>
      <c r="H96" s="243"/>
      <c r="I96" s="243"/>
      <c r="J96" s="243"/>
      <c r="K96" s="243"/>
      <c r="L96" s="243"/>
      <c r="M96" s="243"/>
      <c r="N96" s="243"/>
      <c r="O96" s="243"/>
      <c r="P96" s="243"/>
      <c r="Q96" s="244"/>
    </row>
    <row r="97" spans="2:17" x14ac:dyDescent="0.3">
      <c r="B97" s="242"/>
      <c r="C97" s="243"/>
      <c r="D97" s="243"/>
      <c r="E97" s="243"/>
      <c r="F97" s="243"/>
      <c r="G97" s="243"/>
      <c r="H97" s="243"/>
      <c r="I97" s="243"/>
      <c r="J97" s="243"/>
      <c r="K97" s="243"/>
      <c r="L97" s="243"/>
      <c r="M97" s="243"/>
      <c r="N97" s="243"/>
      <c r="O97" s="243"/>
      <c r="P97" s="243"/>
      <c r="Q97" s="244"/>
    </row>
    <row r="98" spans="2:17" x14ac:dyDescent="0.3">
      <c r="B98" s="242"/>
      <c r="C98" s="243"/>
      <c r="D98" s="243"/>
      <c r="E98" s="243"/>
      <c r="F98" s="243"/>
      <c r="G98" s="243"/>
      <c r="H98" s="243"/>
      <c r="I98" s="243"/>
      <c r="J98" s="243"/>
      <c r="K98" s="243"/>
      <c r="L98" s="243"/>
      <c r="M98" s="243"/>
      <c r="N98" s="243"/>
      <c r="O98" s="243"/>
      <c r="P98" s="243"/>
      <c r="Q98" s="244"/>
    </row>
    <row r="99" spans="2:17" ht="21" customHeight="1" x14ac:dyDescent="0.3">
      <c r="B99" s="242"/>
      <c r="C99" s="243"/>
      <c r="D99" s="243"/>
      <c r="E99" s="243"/>
      <c r="F99" s="243"/>
      <c r="G99" s="243"/>
      <c r="H99" s="243"/>
      <c r="I99" s="243"/>
      <c r="J99" s="243"/>
      <c r="K99" s="243"/>
      <c r="L99" s="243"/>
      <c r="M99" s="243"/>
      <c r="N99" s="243"/>
      <c r="O99" s="243"/>
      <c r="P99" s="243"/>
      <c r="Q99" s="244"/>
    </row>
    <row r="100" spans="2:17" x14ac:dyDescent="0.3">
      <c r="B100" s="242"/>
      <c r="C100" s="243"/>
      <c r="D100" s="243"/>
      <c r="E100" s="243"/>
      <c r="F100" s="243"/>
      <c r="G100" s="243"/>
      <c r="H100" s="243"/>
      <c r="I100" s="243"/>
      <c r="J100" s="243"/>
      <c r="K100" s="243"/>
      <c r="L100" s="243"/>
      <c r="M100" s="243"/>
      <c r="N100" s="243"/>
      <c r="O100" s="243"/>
      <c r="P100" s="243"/>
      <c r="Q100" s="244"/>
    </row>
    <row r="101" spans="2:17" ht="16.2" thickBot="1" x14ac:dyDescent="0.35">
      <c r="B101" s="245"/>
      <c r="C101" s="246"/>
      <c r="D101" s="246"/>
      <c r="E101" s="246"/>
      <c r="F101" s="246"/>
      <c r="G101" s="246"/>
      <c r="H101" s="246"/>
      <c r="I101" s="246"/>
      <c r="J101" s="246"/>
      <c r="K101" s="246"/>
      <c r="L101" s="246"/>
      <c r="M101" s="246"/>
      <c r="N101" s="246"/>
      <c r="O101" s="246"/>
      <c r="P101" s="246"/>
      <c r="Q101" s="247"/>
    </row>
  </sheetData>
  <mergeCells count="42">
    <mergeCell ref="B87:Q88"/>
    <mergeCell ref="B89:Q101"/>
    <mergeCell ref="B47:Q62"/>
    <mergeCell ref="B63:Q64"/>
    <mergeCell ref="D65:Q65"/>
    <mergeCell ref="B66:Q74"/>
    <mergeCell ref="B75:Q76"/>
    <mergeCell ref="C77:P77"/>
    <mergeCell ref="B78:Q79"/>
    <mergeCell ref="F80:H80"/>
    <mergeCell ref="I80:J80"/>
    <mergeCell ref="K80:L80"/>
    <mergeCell ref="F83:H83"/>
    <mergeCell ref="I81:J81"/>
    <mergeCell ref="I83:J83"/>
    <mergeCell ref="K81:L81"/>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 ref="K83:L83"/>
    <mergeCell ref="F84:H84"/>
    <mergeCell ref="I84:J84"/>
    <mergeCell ref="K84:L84"/>
    <mergeCell ref="E81:H81"/>
    <mergeCell ref="F82:H82"/>
    <mergeCell ref="I82:J82"/>
  </mergeCells>
  <hyperlinks>
    <hyperlink ref="C77" location="'v1 Field Cage--Details'!A1" display="(follow link for detailed summary)" xr:uid="{00000000-0004-0000-0200-000000000000}"/>
    <hyperlink ref="C77:P77" location="'Felix 2.0--Details'!A1" display="(follow link for detailed summary)" xr:uid="{00000000-0004-0000-0200-000001000000}"/>
    <hyperlink ref="I81:J81" location="'Felix 2.0--Details'!K3" display="'Felix 2.0--Details'!K3" xr:uid="{00000000-0004-0000-0200-000002000000}"/>
    <hyperlink ref="I83:J83" location="'Felix 2.0--Details'!K10" display="'Felix 2.0--Details'!K10" xr:uid="{00000000-0004-0000-0200-000004000000}"/>
    <hyperlink ref="I84:J84" location="'Felix 2.0--Details'!N2" display="'Felix 2.0--Details'!N2" xr:uid="{00000000-0004-0000-0200-000006000000}"/>
  </hyperlinks>
  <pageMargins left="0.75" right="0.75" top="1" bottom="1" header="0.5" footer="0.5"/>
  <pageSetup orientation="portrait" horizontalDpi="4294967292" verticalDpi="4294967292"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101"/>
  <sheetViews>
    <sheetView zoomScale="85" zoomScaleNormal="85" workbookViewId="0">
      <selection activeCell="N2" sqref="N2:Q3"/>
    </sheetView>
  </sheetViews>
  <sheetFormatPr defaultColWidth="10.8984375" defaultRowHeight="15.6" x14ac:dyDescent="0.3"/>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x14ac:dyDescent="0.35"/>
    <row r="2" spans="2:17" ht="26.1" customHeight="1" x14ac:dyDescent="0.3">
      <c r="B2" s="1"/>
      <c r="C2" s="2"/>
      <c r="D2" s="2"/>
      <c r="E2" s="2"/>
      <c r="F2" s="304" t="s">
        <v>18</v>
      </c>
      <c r="G2" s="234"/>
      <c r="H2" s="234"/>
      <c r="I2" s="234"/>
      <c r="J2" s="234"/>
      <c r="K2" s="234"/>
      <c r="L2" s="305"/>
      <c r="M2" s="313" t="s">
        <v>1</v>
      </c>
      <c r="N2" s="308">
        <v>43509</v>
      </c>
      <c r="O2" s="309"/>
      <c r="P2" s="309"/>
      <c r="Q2" s="310"/>
    </row>
    <row r="3" spans="2:17" ht="16.05" customHeight="1" thickBot="1" x14ac:dyDescent="0.35">
      <c r="B3" s="3"/>
      <c r="C3" s="4"/>
      <c r="D3" s="4"/>
      <c r="E3" s="4"/>
      <c r="F3" s="306"/>
      <c r="G3" s="237"/>
      <c r="H3" s="237"/>
      <c r="I3" s="237"/>
      <c r="J3" s="237"/>
      <c r="K3" s="237"/>
      <c r="L3" s="307"/>
      <c r="M3" s="314"/>
      <c r="N3" s="311"/>
      <c r="O3" s="311"/>
      <c r="P3" s="311"/>
      <c r="Q3" s="312"/>
    </row>
    <row r="4" spans="2:17" ht="18" customHeight="1" x14ac:dyDescent="0.3">
      <c r="B4" s="3"/>
      <c r="C4" s="4"/>
      <c r="D4" s="4"/>
      <c r="E4" s="4"/>
      <c r="F4" s="306"/>
      <c r="G4" s="237"/>
      <c r="H4" s="237"/>
      <c r="I4" s="237"/>
      <c r="J4" s="237"/>
      <c r="K4" s="237"/>
      <c r="L4" s="307"/>
      <c r="M4" s="313" t="s">
        <v>0</v>
      </c>
      <c r="N4" s="309" t="s">
        <v>71</v>
      </c>
      <c r="O4" s="309"/>
      <c r="P4" s="309"/>
      <c r="Q4" s="310"/>
    </row>
    <row r="5" spans="2:17" ht="16.2" thickBot="1" x14ac:dyDescent="0.35">
      <c r="B5" s="3"/>
      <c r="C5" s="4"/>
      <c r="D5" s="4"/>
      <c r="E5" s="4"/>
      <c r="F5" s="306"/>
      <c r="G5" s="237"/>
      <c r="H5" s="237"/>
      <c r="I5" s="237"/>
      <c r="J5" s="237"/>
      <c r="K5" s="237"/>
      <c r="L5" s="307"/>
      <c r="M5" s="315"/>
      <c r="N5" s="316"/>
      <c r="O5" s="316"/>
      <c r="P5" s="316"/>
      <c r="Q5" s="317"/>
    </row>
    <row r="6" spans="2:17" ht="21" customHeight="1" x14ac:dyDescent="0.3">
      <c r="B6" s="3"/>
      <c r="C6" s="4"/>
      <c r="D6" s="4"/>
      <c r="E6" s="4"/>
      <c r="F6" s="306"/>
      <c r="G6" s="237"/>
      <c r="H6" s="237"/>
      <c r="I6" s="237"/>
      <c r="J6" s="237"/>
      <c r="K6" s="237"/>
      <c r="L6" s="237"/>
      <c r="M6" s="318" t="s">
        <v>2</v>
      </c>
      <c r="N6" s="320" t="str">
        <f>'Felix 1.5-Summary'!N6:Q7</f>
        <v>138 v3</v>
      </c>
      <c r="O6" s="321"/>
      <c r="P6" s="321"/>
      <c r="Q6" s="322"/>
    </row>
    <row r="7" spans="2:17" ht="16.2" thickBot="1" x14ac:dyDescent="0.35">
      <c r="B7" s="3"/>
      <c r="C7" s="4"/>
      <c r="D7" s="4"/>
      <c r="E7" s="4"/>
      <c r="F7" s="306"/>
      <c r="G7" s="240"/>
      <c r="H7" s="240"/>
      <c r="I7" s="240"/>
      <c r="J7" s="240"/>
      <c r="K7" s="240"/>
      <c r="L7" s="240"/>
      <c r="M7" s="319"/>
      <c r="N7" s="323"/>
      <c r="O7" s="324"/>
      <c r="P7" s="324"/>
      <c r="Q7" s="325"/>
    </row>
    <row r="8" spans="2:17" s="13" customFormat="1" ht="27" customHeight="1" x14ac:dyDescent="0.3">
      <c r="B8" s="284" t="s">
        <v>19</v>
      </c>
      <c r="C8" s="285"/>
      <c r="D8" s="285"/>
      <c r="E8" s="285"/>
      <c r="F8" s="286"/>
      <c r="G8" s="284" t="s">
        <v>20</v>
      </c>
      <c r="H8" s="285"/>
      <c r="I8" s="285"/>
      <c r="J8" s="285"/>
      <c r="K8" s="285"/>
      <c r="L8" s="285"/>
      <c r="M8" s="289"/>
      <c r="N8" s="287" t="s">
        <v>21</v>
      </c>
      <c r="O8" s="288"/>
      <c r="P8" s="288"/>
      <c r="Q8" s="289"/>
    </row>
    <row r="9" spans="2:17" x14ac:dyDescent="0.3">
      <c r="B9" s="278" t="s">
        <v>66</v>
      </c>
      <c r="C9" s="279"/>
      <c r="D9" s="279"/>
      <c r="E9" s="279"/>
      <c r="F9" s="280"/>
      <c r="G9" s="278" t="s">
        <v>91</v>
      </c>
      <c r="H9" s="279"/>
      <c r="I9" s="279"/>
      <c r="J9" s="279"/>
      <c r="K9" s="279"/>
      <c r="L9" s="279"/>
      <c r="M9" s="280"/>
      <c r="N9" s="290"/>
      <c r="O9" s="291"/>
      <c r="P9" s="291"/>
      <c r="Q9" s="292"/>
    </row>
    <row r="10" spans="2:17" ht="16.2" thickBot="1" x14ac:dyDescent="0.35">
      <c r="B10" s="281"/>
      <c r="C10" s="282"/>
      <c r="D10" s="282"/>
      <c r="E10" s="282"/>
      <c r="F10" s="283"/>
      <c r="G10" s="281"/>
      <c r="H10" s="282"/>
      <c r="I10" s="282"/>
      <c r="J10" s="282"/>
      <c r="K10" s="282"/>
      <c r="L10" s="282"/>
      <c r="M10" s="283"/>
      <c r="N10" s="293"/>
      <c r="O10" s="294"/>
      <c r="P10" s="294"/>
      <c r="Q10" s="295"/>
    </row>
    <row r="11" spans="2:17" s="13" customFormat="1" ht="27" customHeight="1" x14ac:dyDescent="0.3">
      <c r="B11" s="284" t="s">
        <v>3</v>
      </c>
      <c r="C11" s="285"/>
      <c r="D11" s="285"/>
      <c r="E11" s="285"/>
      <c r="F11" s="285"/>
      <c r="G11" s="285"/>
      <c r="H11" s="285"/>
      <c r="I11" s="285"/>
      <c r="J11" s="285"/>
      <c r="K11" s="285"/>
      <c r="L11" s="285"/>
      <c r="M11" s="285"/>
      <c r="N11" s="285"/>
      <c r="O11" s="285"/>
      <c r="P11" s="285"/>
      <c r="Q11" s="286"/>
    </row>
    <row r="12" spans="2:17" ht="18" customHeight="1" x14ac:dyDescent="0.3">
      <c r="B12" s="297" t="s">
        <v>80</v>
      </c>
      <c r="C12" s="298"/>
      <c r="D12" s="298"/>
      <c r="E12" s="298"/>
      <c r="F12" s="298"/>
      <c r="G12" s="298"/>
      <c r="H12" s="298"/>
      <c r="I12" s="298"/>
      <c r="J12" s="298"/>
      <c r="K12" s="298"/>
      <c r="L12" s="298"/>
      <c r="M12" s="298"/>
      <c r="N12" s="298"/>
      <c r="O12" s="298"/>
      <c r="P12" s="298"/>
      <c r="Q12" s="299"/>
    </row>
    <row r="13" spans="2:17" ht="18" customHeight="1" x14ac:dyDescent="0.3">
      <c r="B13" s="300"/>
      <c r="C13" s="298"/>
      <c r="D13" s="298"/>
      <c r="E13" s="298"/>
      <c r="F13" s="298"/>
      <c r="G13" s="298"/>
      <c r="H13" s="298"/>
      <c r="I13" s="298"/>
      <c r="J13" s="298"/>
      <c r="K13" s="298"/>
      <c r="L13" s="298"/>
      <c r="M13" s="298"/>
      <c r="N13" s="298"/>
      <c r="O13" s="298"/>
      <c r="P13" s="298"/>
      <c r="Q13" s="299"/>
    </row>
    <row r="14" spans="2:17" ht="18" customHeight="1" x14ac:dyDescent="0.3">
      <c r="B14" s="300"/>
      <c r="C14" s="298"/>
      <c r="D14" s="298"/>
      <c r="E14" s="298"/>
      <c r="F14" s="298"/>
      <c r="G14" s="298"/>
      <c r="H14" s="298"/>
      <c r="I14" s="298"/>
      <c r="J14" s="298"/>
      <c r="K14" s="298"/>
      <c r="L14" s="298"/>
      <c r="M14" s="298"/>
      <c r="N14" s="298"/>
      <c r="O14" s="298"/>
      <c r="P14" s="298"/>
      <c r="Q14" s="299"/>
    </row>
    <row r="15" spans="2:17" x14ac:dyDescent="0.3">
      <c r="B15" s="300"/>
      <c r="C15" s="298"/>
      <c r="D15" s="298"/>
      <c r="E15" s="298"/>
      <c r="F15" s="298"/>
      <c r="G15" s="298"/>
      <c r="H15" s="298"/>
      <c r="I15" s="298"/>
      <c r="J15" s="298"/>
      <c r="K15" s="298"/>
      <c r="L15" s="298"/>
      <c r="M15" s="298"/>
      <c r="N15" s="298"/>
      <c r="O15" s="298"/>
      <c r="P15" s="298"/>
      <c r="Q15" s="299"/>
    </row>
    <row r="16" spans="2:17" x14ac:dyDescent="0.3">
      <c r="B16" s="300"/>
      <c r="C16" s="298"/>
      <c r="D16" s="298"/>
      <c r="E16" s="298"/>
      <c r="F16" s="298"/>
      <c r="G16" s="298"/>
      <c r="H16" s="298"/>
      <c r="I16" s="298"/>
      <c r="J16" s="298"/>
      <c r="K16" s="298"/>
      <c r="L16" s="298"/>
      <c r="M16" s="298"/>
      <c r="N16" s="298"/>
      <c r="O16" s="298"/>
      <c r="P16" s="298"/>
      <c r="Q16" s="299"/>
    </row>
    <row r="17" spans="2:17" x14ac:dyDescent="0.3">
      <c r="B17" s="300"/>
      <c r="C17" s="298"/>
      <c r="D17" s="298"/>
      <c r="E17" s="298"/>
      <c r="F17" s="298"/>
      <c r="G17" s="298"/>
      <c r="H17" s="298"/>
      <c r="I17" s="298"/>
      <c r="J17" s="298"/>
      <c r="K17" s="298"/>
      <c r="L17" s="298"/>
      <c r="M17" s="298"/>
      <c r="N17" s="298"/>
      <c r="O17" s="298"/>
      <c r="P17" s="298"/>
      <c r="Q17" s="299"/>
    </row>
    <row r="18" spans="2:17" ht="16.2" thickBot="1" x14ac:dyDescent="0.35">
      <c r="B18" s="300"/>
      <c r="C18" s="298"/>
      <c r="D18" s="298"/>
      <c r="E18" s="298"/>
      <c r="F18" s="298"/>
      <c r="G18" s="298"/>
      <c r="H18" s="298"/>
      <c r="I18" s="298"/>
      <c r="J18" s="298"/>
      <c r="K18" s="298"/>
      <c r="L18" s="298"/>
      <c r="M18" s="298"/>
      <c r="N18" s="298"/>
      <c r="O18" s="298"/>
      <c r="P18" s="298"/>
      <c r="Q18" s="299"/>
    </row>
    <row r="19" spans="2:17" s="13" customFormat="1" ht="27" customHeight="1" x14ac:dyDescent="0.3">
      <c r="B19" s="284" t="s">
        <v>4</v>
      </c>
      <c r="C19" s="285"/>
      <c r="D19" s="285"/>
      <c r="E19" s="285"/>
      <c r="F19" s="285"/>
      <c r="G19" s="285"/>
      <c r="H19" s="285"/>
      <c r="I19" s="285"/>
      <c r="J19" s="285"/>
      <c r="K19" s="285"/>
      <c r="L19" s="285"/>
      <c r="M19" s="285"/>
      <c r="N19" s="285"/>
      <c r="O19" s="285"/>
      <c r="P19" s="285"/>
      <c r="Q19" s="286"/>
    </row>
    <row r="20" spans="2:17" x14ac:dyDescent="0.3">
      <c r="B20" s="5"/>
      <c r="Q20" s="7"/>
    </row>
    <row r="21" spans="2:17" x14ac:dyDescent="0.3">
      <c r="B21" s="5"/>
      <c r="Q21" s="7"/>
    </row>
    <row r="22" spans="2:17" ht="18.600000000000001" thickBot="1" x14ac:dyDescent="0.4">
      <c r="B22" s="5"/>
      <c r="C22" s="12"/>
      <c r="D22" s="11" t="s">
        <v>5</v>
      </c>
      <c r="Q22" s="7"/>
    </row>
    <row r="23" spans="2:17" ht="18.600000000000001" thickBot="1" x14ac:dyDescent="0.4">
      <c r="B23" s="5"/>
      <c r="C23" s="12"/>
      <c r="D23" s="11" t="s">
        <v>6</v>
      </c>
      <c r="Q23" s="7"/>
    </row>
    <row r="24" spans="2:17" ht="18.600000000000001" thickBot="1" x14ac:dyDescent="0.4">
      <c r="B24" s="5"/>
      <c r="C24" s="12" t="s">
        <v>39</v>
      </c>
      <c r="D24" s="11" t="s">
        <v>7</v>
      </c>
      <c r="Q24" s="7"/>
    </row>
    <row r="25" spans="2:17" ht="18.600000000000001" thickBot="1" x14ac:dyDescent="0.4">
      <c r="B25" s="5"/>
      <c r="C25" s="12"/>
      <c r="D25" s="11" t="s">
        <v>8</v>
      </c>
      <c r="Q25" s="7"/>
    </row>
    <row r="26" spans="2:17" ht="18.600000000000001" thickBot="1" x14ac:dyDescent="0.4">
      <c r="B26" s="5"/>
      <c r="C26" s="12"/>
      <c r="D26" s="11" t="s">
        <v>9</v>
      </c>
      <c r="Q26" s="7"/>
    </row>
    <row r="27" spans="2:17" ht="18.600000000000001" thickBot="1" x14ac:dyDescent="0.4">
      <c r="B27" s="5"/>
      <c r="C27" s="12" t="s">
        <v>39</v>
      </c>
      <c r="D27" s="11" t="s">
        <v>10</v>
      </c>
      <c r="Q27" s="7"/>
    </row>
    <row r="28" spans="2:17" ht="18.600000000000001" thickBot="1" x14ac:dyDescent="0.4">
      <c r="B28" s="5"/>
      <c r="C28" s="12"/>
      <c r="D28" s="11" t="s">
        <v>11</v>
      </c>
      <c r="Q28" s="7"/>
    </row>
    <row r="29" spans="2:17" ht="18.600000000000001" thickBot="1" x14ac:dyDescent="0.4">
      <c r="B29" s="5"/>
      <c r="C29" s="12" t="s">
        <v>39</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48" t="s">
        <v>13</v>
      </c>
      <c r="C32" s="249"/>
      <c r="D32" s="249"/>
      <c r="E32" s="249"/>
      <c r="F32" s="249"/>
      <c r="G32" s="249"/>
      <c r="H32" s="249"/>
      <c r="I32" s="249"/>
      <c r="J32" s="249"/>
      <c r="K32" s="249"/>
      <c r="L32" s="249"/>
      <c r="M32" s="249"/>
      <c r="N32" s="249"/>
      <c r="O32" s="249"/>
      <c r="P32" s="249"/>
      <c r="Q32" s="250"/>
    </row>
    <row r="33" spans="2:17" x14ac:dyDescent="0.3">
      <c r="B33" s="336"/>
      <c r="C33" s="255"/>
      <c r="D33" s="255"/>
      <c r="E33" s="255"/>
      <c r="F33" s="255"/>
      <c r="G33" s="255"/>
      <c r="H33" s="255"/>
      <c r="I33" s="255"/>
      <c r="J33" s="255"/>
      <c r="K33" s="255"/>
      <c r="L33" s="255"/>
      <c r="M33" s="255"/>
      <c r="N33" s="255"/>
      <c r="O33" s="255"/>
      <c r="P33" s="255"/>
      <c r="Q33" s="256"/>
    </row>
    <row r="34" spans="2:17" x14ac:dyDescent="0.3">
      <c r="B34" s="257"/>
      <c r="C34" s="258"/>
      <c r="D34" s="258"/>
      <c r="E34" s="258"/>
      <c r="F34" s="258"/>
      <c r="G34" s="258"/>
      <c r="H34" s="258"/>
      <c r="I34" s="258"/>
      <c r="J34" s="258"/>
      <c r="K34" s="258"/>
      <c r="L34" s="258"/>
      <c r="M34" s="258"/>
      <c r="N34" s="258"/>
      <c r="O34" s="258"/>
      <c r="P34" s="258"/>
      <c r="Q34" s="259"/>
    </row>
    <row r="35" spans="2:17" x14ac:dyDescent="0.3">
      <c r="B35" s="257"/>
      <c r="C35" s="258"/>
      <c r="D35" s="258"/>
      <c r="E35" s="258"/>
      <c r="F35" s="258"/>
      <c r="G35" s="258"/>
      <c r="H35" s="258"/>
      <c r="I35" s="258"/>
      <c r="J35" s="258"/>
      <c r="K35" s="258"/>
      <c r="L35" s="258"/>
      <c r="M35" s="258"/>
      <c r="N35" s="258"/>
      <c r="O35" s="258"/>
      <c r="P35" s="258"/>
      <c r="Q35" s="259"/>
    </row>
    <row r="36" spans="2:17" x14ac:dyDescent="0.3">
      <c r="B36" s="257"/>
      <c r="C36" s="258"/>
      <c r="D36" s="258"/>
      <c r="E36" s="258"/>
      <c r="F36" s="258"/>
      <c r="G36" s="258"/>
      <c r="H36" s="258"/>
      <c r="I36" s="258"/>
      <c r="J36" s="258"/>
      <c r="K36" s="258"/>
      <c r="L36" s="258"/>
      <c r="M36" s="258"/>
      <c r="N36" s="258"/>
      <c r="O36" s="258"/>
      <c r="P36" s="258"/>
      <c r="Q36" s="259"/>
    </row>
    <row r="37" spans="2:17" x14ac:dyDescent="0.3">
      <c r="B37" s="257"/>
      <c r="C37" s="258"/>
      <c r="D37" s="258"/>
      <c r="E37" s="258"/>
      <c r="F37" s="258"/>
      <c r="G37" s="258"/>
      <c r="H37" s="258"/>
      <c r="I37" s="258"/>
      <c r="J37" s="258"/>
      <c r="K37" s="258"/>
      <c r="L37" s="258"/>
      <c r="M37" s="258"/>
      <c r="N37" s="258"/>
      <c r="O37" s="258"/>
      <c r="P37" s="258"/>
      <c r="Q37" s="259"/>
    </row>
    <row r="38" spans="2:17" x14ac:dyDescent="0.3">
      <c r="B38" s="257"/>
      <c r="C38" s="258"/>
      <c r="D38" s="258"/>
      <c r="E38" s="258"/>
      <c r="F38" s="258"/>
      <c r="G38" s="258"/>
      <c r="H38" s="258"/>
      <c r="I38" s="258"/>
      <c r="J38" s="258"/>
      <c r="K38" s="258"/>
      <c r="L38" s="258"/>
      <c r="M38" s="258"/>
      <c r="N38" s="258"/>
      <c r="O38" s="258"/>
      <c r="P38" s="258"/>
      <c r="Q38" s="259"/>
    </row>
    <row r="39" spans="2:17" x14ac:dyDescent="0.3">
      <c r="B39" s="257"/>
      <c r="C39" s="258"/>
      <c r="D39" s="258"/>
      <c r="E39" s="258"/>
      <c r="F39" s="258"/>
      <c r="G39" s="258"/>
      <c r="H39" s="258"/>
      <c r="I39" s="258"/>
      <c r="J39" s="258"/>
      <c r="K39" s="258"/>
      <c r="L39" s="258"/>
      <c r="M39" s="258"/>
      <c r="N39" s="258"/>
      <c r="O39" s="258"/>
      <c r="P39" s="258"/>
      <c r="Q39" s="259"/>
    </row>
    <row r="40" spans="2:17" x14ac:dyDescent="0.3">
      <c r="B40" s="257"/>
      <c r="C40" s="258"/>
      <c r="D40" s="258"/>
      <c r="E40" s="258"/>
      <c r="F40" s="258"/>
      <c r="G40" s="258"/>
      <c r="H40" s="258"/>
      <c r="I40" s="258"/>
      <c r="J40" s="258"/>
      <c r="K40" s="258"/>
      <c r="L40" s="258"/>
      <c r="M40" s="258"/>
      <c r="N40" s="258"/>
      <c r="O40" s="258"/>
      <c r="P40" s="258"/>
      <c r="Q40" s="259"/>
    </row>
    <row r="41" spans="2:17" x14ac:dyDescent="0.3">
      <c r="B41" s="257"/>
      <c r="C41" s="258"/>
      <c r="D41" s="258"/>
      <c r="E41" s="258"/>
      <c r="F41" s="258"/>
      <c r="G41" s="258"/>
      <c r="H41" s="258"/>
      <c r="I41" s="258"/>
      <c r="J41" s="258"/>
      <c r="K41" s="258"/>
      <c r="L41" s="258"/>
      <c r="M41" s="258"/>
      <c r="N41" s="258"/>
      <c r="O41" s="258"/>
      <c r="P41" s="258"/>
      <c r="Q41" s="259"/>
    </row>
    <row r="42" spans="2:17" x14ac:dyDescent="0.3">
      <c r="B42" s="257"/>
      <c r="C42" s="258"/>
      <c r="D42" s="258"/>
      <c r="E42" s="258"/>
      <c r="F42" s="258"/>
      <c r="G42" s="258"/>
      <c r="H42" s="258"/>
      <c r="I42" s="258"/>
      <c r="J42" s="258"/>
      <c r="K42" s="258"/>
      <c r="L42" s="258"/>
      <c r="M42" s="258"/>
      <c r="N42" s="258"/>
      <c r="O42" s="258"/>
      <c r="P42" s="258"/>
      <c r="Q42" s="259"/>
    </row>
    <row r="43" spans="2:17" x14ac:dyDescent="0.3">
      <c r="B43" s="257"/>
      <c r="C43" s="258"/>
      <c r="D43" s="258"/>
      <c r="E43" s="258"/>
      <c r="F43" s="258"/>
      <c r="G43" s="258"/>
      <c r="H43" s="258"/>
      <c r="I43" s="258"/>
      <c r="J43" s="258"/>
      <c r="K43" s="258"/>
      <c r="L43" s="258"/>
      <c r="M43" s="258"/>
      <c r="N43" s="258"/>
      <c r="O43" s="258"/>
      <c r="P43" s="258"/>
      <c r="Q43" s="259"/>
    </row>
    <row r="44" spans="2:17" ht="16.2" thickBot="1" x14ac:dyDescent="0.35">
      <c r="B44" s="260"/>
      <c r="C44" s="261"/>
      <c r="D44" s="261"/>
      <c r="E44" s="261"/>
      <c r="F44" s="261"/>
      <c r="G44" s="261"/>
      <c r="H44" s="261"/>
      <c r="I44" s="261"/>
      <c r="J44" s="261"/>
      <c r="K44" s="261"/>
      <c r="L44" s="261"/>
      <c r="M44" s="261"/>
      <c r="N44" s="261"/>
      <c r="O44" s="261"/>
      <c r="P44" s="261"/>
      <c r="Q44" s="262"/>
    </row>
    <row r="45" spans="2:17" x14ac:dyDescent="0.3">
      <c r="B45" s="248" t="s">
        <v>14</v>
      </c>
      <c r="C45" s="249"/>
      <c r="D45" s="249"/>
      <c r="E45" s="249"/>
      <c r="F45" s="249"/>
      <c r="G45" s="249"/>
      <c r="H45" s="249"/>
      <c r="I45" s="249"/>
      <c r="J45" s="249"/>
      <c r="K45" s="249"/>
      <c r="L45" s="249"/>
      <c r="M45" s="249"/>
      <c r="N45" s="249"/>
      <c r="O45" s="249"/>
      <c r="P45" s="249"/>
      <c r="Q45" s="250"/>
    </row>
    <row r="46" spans="2:17" x14ac:dyDescent="0.3">
      <c r="B46" s="251"/>
      <c r="C46" s="252"/>
      <c r="D46" s="252"/>
      <c r="E46" s="252"/>
      <c r="F46" s="252"/>
      <c r="G46" s="252"/>
      <c r="H46" s="252"/>
      <c r="I46" s="252"/>
      <c r="J46" s="252"/>
      <c r="K46" s="252"/>
      <c r="L46" s="252"/>
      <c r="M46" s="252"/>
      <c r="N46" s="252"/>
      <c r="O46" s="252"/>
      <c r="P46" s="252"/>
      <c r="Q46" s="253"/>
    </row>
    <row r="47" spans="2:17" x14ac:dyDescent="0.3">
      <c r="B47" s="263" t="s">
        <v>81</v>
      </c>
      <c r="C47" s="264"/>
      <c r="D47" s="264"/>
      <c r="E47" s="264"/>
      <c r="F47" s="264"/>
      <c r="G47" s="264"/>
      <c r="H47" s="264"/>
      <c r="I47" s="264"/>
      <c r="J47" s="264"/>
      <c r="K47" s="264"/>
      <c r="L47" s="264"/>
      <c r="M47" s="264"/>
      <c r="N47" s="264"/>
      <c r="O47" s="264"/>
      <c r="P47" s="264"/>
      <c r="Q47" s="265"/>
    </row>
    <row r="48" spans="2:17" x14ac:dyDescent="0.3">
      <c r="B48" s="263"/>
      <c r="C48" s="264"/>
      <c r="D48" s="264"/>
      <c r="E48" s="264"/>
      <c r="F48" s="264"/>
      <c r="G48" s="264"/>
      <c r="H48" s="264"/>
      <c r="I48" s="264"/>
      <c r="J48" s="264"/>
      <c r="K48" s="264"/>
      <c r="L48" s="264"/>
      <c r="M48" s="264"/>
      <c r="N48" s="264"/>
      <c r="O48" s="264"/>
      <c r="P48" s="264"/>
      <c r="Q48" s="265"/>
    </row>
    <row r="49" spans="2:17" x14ac:dyDescent="0.3">
      <c r="B49" s="263"/>
      <c r="C49" s="264"/>
      <c r="D49" s="264"/>
      <c r="E49" s="264"/>
      <c r="F49" s="264"/>
      <c r="G49" s="264"/>
      <c r="H49" s="264"/>
      <c r="I49" s="264"/>
      <c r="J49" s="264"/>
      <c r="K49" s="264"/>
      <c r="L49" s="264"/>
      <c r="M49" s="264"/>
      <c r="N49" s="264"/>
      <c r="O49" s="264"/>
      <c r="P49" s="264"/>
      <c r="Q49" s="265"/>
    </row>
    <row r="50" spans="2:17" x14ac:dyDescent="0.3">
      <c r="B50" s="263"/>
      <c r="C50" s="264"/>
      <c r="D50" s="264"/>
      <c r="E50" s="264"/>
      <c r="F50" s="264"/>
      <c r="G50" s="264"/>
      <c r="H50" s="264"/>
      <c r="I50" s="264"/>
      <c r="J50" s="264"/>
      <c r="K50" s="264"/>
      <c r="L50" s="264"/>
      <c r="M50" s="264"/>
      <c r="N50" s="264"/>
      <c r="O50" s="264"/>
      <c r="P50" s="264"/>
      <c r="Q50" s="265"/>
    </row>
    <row r="51" spans="2:17" x14ac:dyDescent="0.3">
      <c r="B51" s="263"/>
      <c r="C51" s="264"/>
      <c r="D51" s="264"/>
      <c r="E51" s="264"/>
      <c r="F51" s="264"/>
      <c r="G51" s="264"/>
      <c r="H51" s="264"/>
      <c r="I51" s="264"/>
      <c r="J51" s="264"/>
      <c r="K51" s="264"/>
      <c r="L51" s="264"/>
      <c r="M51" s="264"/>
      <c r="N51" s="264"/>
      <c r="O51" s="264"/>
      <c r="P51" s="264"/>
      <c r="Q51" s="265"/>
    </row>
    <row r="52" spans="2:17" x14ac:dyDescent="0.3">
      <c r="B52" s="263"/>
      <c r="C52" s="264"/>
      <c r="D52" s="264"/>
      <c r="E52" s="264"/>
      <c r="F52" s="264"/>
      <c r="G52" s="264"/>
      <c r="H52" s="264"/>
      <c r="I52" s="264"/>
      <c r="J52" s="264"/>
      <c r="K52" s="264"/>
      <c r="L52" s="264"/>
      <c r="M52" s="264"/>
      <c r="N52" s="264"/>
      <c r="O52" s="264"/>
      <c r="P52" s="264"/>
      <c r="Q52" s="265"/>
    </row>
    <row r="53" spans="2:17" x14ac:dyDescent="0.3">
      <c r="B53" s="263"/>
      <c r="C53" s="264"/>
      <c r="D53" s="264"/>
      <c r="E53" s="264"/>
      <c r="F53" s="264"/>
      <c r="G53" s="264"/>
      <c r="H53" s="264"/>
      <c r="I53" s="264"/>
      <c r="J53" s="264"/>
      <c r="K53" s="264"/>
      <c r="L53" s="264"/>
      <c r="M53" s="264"/>
      <c r="N53" s="264"/>
      <c r="O53" s="264"/>
      <c r="P53" s="264"/>
      <c r="Q53" s="265"/>
    </row>
    <row r="54" spans="2:17" x14ac:dyDescent="0.3">
      <c r="B54" s="263"/>
      <c r="C54" s="264"/>
      <c r="D54" s="264"/>
      <c r="E54" s="264"/>
      <c r="F54" s="264"/>
      <c r="G54" s="264"/>
      <c r="H54" s="264"/>
      <c r="I54" s="264"/>
      <c r="J54" s="264"/>
      <c r="K54" s="264"/>
      <c r="L54" s="264"/>
      <c r="M54" s="264"/>
      <c r="N54" s="264"/>
      <c r="O54" s="264"/>
      <c r="P54" s="264"/>
      <c r="Q54" s="265"/>
    </row>
    <row r="55" spans="2:17" x14ac:dyDescent="0.3">
      <c r="B55" s="263"/>
      <c r="C55" s="264"/>
      <c r="D55" s="264"/>
      <c r="E55" s="264"/>
      <c r="F55" s="264"/>
      <c r="G55" s="264"/>
      <c r="H55" s="264"/>
      <c r="I55" s="264"/>
      <c r="J55" s="264"/>
      <c r="K55" s="264"/>
      <c r="L55" s="264"/>
      <c r="M55" s="264"/>
      <c r="N55" s="264"/>
      <c r="O55" s="264"/>
      <c r="P55" s="264"/>
      <c r="Q55" s="265"/>
    </row>
    <row r="56" spans="2:17" x14ac:dyDescent="0.3">
      <c r="B56" s="263"/>
      <c r="C56" s="264"/>
      <c r="D56" s="264"/>
      <c r="E56" s="264"/>
      <c r="F56" s="264"/>
      <c r="G56" s="264"/>
      <c r="H56" s="264"/>
      <c r="I56" s="264"/>
      <c r="J56" s="264"/>
      <c r="K56" s="264"/>
      <c r="L56" s="264"/>
      <c r="M56" s="264"/>
      <c r="N56" s="264"/>
      <c r="O56" s="264"/>
      <c r="P56" s="264"/>
      <c r="Q56" s="265"/>
    </row>
    <row r="57" spans="2:17" x14ac:dyDescent="0.3">
      <c r="B57" s="263"/>
      <c r="C57" s="264"/>
      <c r="D57" s="264"/>
      <c r="E57" s="264"/>
      <c r="F57" s="264"/>
      <c r="G57" s="264"/>
      <c r="H57" s="264"/>
      <c r="I57" s="264"/>
      <c r="J57" s="264"/>
      <c r="K57" s="264"/>
      <c r="L57" s="264"/>
      <c r="M57" s="264"/>
      <c r="N57" s="264"/>
      <c r="O57" s="264"/>
      <c r="P57" s="264"/>
      <c r="Q57" s="265"/>
    </row>
    <row r="58" spans="2:17" x14ac:dyDescent="0.3">
      <c r="B58" s="263"/>
      <c r="C58" s="264"/>
      <c r="D58" s="264"/>
      <c r="E58" s="264"/>
      <c r="F58" s="264"/>
      <c r="G58" s="264"/>
      <c r="H58" s="264"/>
      <c r="I58" s="264"/>
      <c r="J58" s="264"/>
      <c r="K58" s="264"/>
      <c r="L58" s="264"/>
      <c r="M58" s="264"/>
      <c r="N58" s="264"/>
      <c r="O58" s="264"/>
      <c r="P58" s="264"/>
      <c r="Q58" s="265"/>
    </row>
    <row r="59" spans="2:17" x14ac:dyDescent="0.3">
      <c r="B59" s="263"/>
      <c r="C59" s="264"/>
      <c r="D59" s="264"/>
      <c r="E59" s="264"/>
      <c r="F59" s="264"/>
      <c r="G59" s="264"/>
      <c r="H59" s="264"/>
      <c r="I59" s="264"/>
      <c r="J59" s="264"/>
      <c r="K59" s="264"/>
      <c r="L59" s="264"/>
      <c r="M59" s="264"/>
      <c r="N59" s="264"/>
      <c r="O59" s="264"/>
      <c r="P59" s="264"/>
      <c r="Q59" s="265"/>
    </row>
    <row r="60" spans="2:17" x14ac:dyDescent="0.3">
      <c r="B60" s="263"/>
      <c r="C60" s="264"/>
      <c r="D60" s="264"/>
      <c r="E60" s="264"/>
      <c r="F60" s="264"/>
      <c r="G60" s="264"/>
      <c r="H60" s="264"/>
      <c r="I60" s="264"/>
      <c r="J60" s="264"/>
      <c r="K60" s="264"/>
      <c r="L60" s="264"/>
      <c r="M60" s="264"/>
      <c r="N60" s="264"/>
      <c r="O60" s="264"/>
      <c r="P60" s="264"/>
      <c r="Q60" s="265"/>
    </row>
    <row r="61" spans="2:17" x14ac:dyDescent="0.3">
      <c r="B61" s="263"/>
      <c r="C61" s="264"/>
      <c r="D61" s="264"/>
      <c r="E61" s="264"/>
      <c r="F61" s="264"/>
      <c r="G61" s="264"/>
      <c r="H61" s="264"/>
      <c r="I61" s="264"/>
      <c r="J61" s="264"/>
      <c r="K61" s="264"/>
      <c r="L61" s="264"/>
      <c r="M61" s="264"/>
      <c r="N61" s="264"/>
      <c r="O61" s="264"/>
      <c r="P61" s="264"/>
      <c r="Q61" s="265"/>
    </row>
    <row r="62" spans="2:17" ht="16.2" thickBot="1" x14ac:dyDescent="0.35">
      <c r="B62" s="266"/>
      <c r="C62" s="267"/>
      <c r="D62" s="267"/>
      <c r="E62" s="267"/>
      <c r="F62" s="267"/>
      <c r="G62" s="267"/>
      <c r="H62" s="267"/>
      <c r="I62" s="267"/>
      <c r="J62" s="267"/>
      <c r="K62" s="267"/>
      <c r="L62" s="267"/>
      <c r="M62" s="267"/>
      <c r="N62" s="267"/>
      <c r="O62" s="267"/>
      <c r="P62" s="267"/>
      <c r="Q62" s="268"/>
    </row>
    <row r="63" spans="2:17" x14ac:dyDescent="0.3">
      <c r="B63" s="248" t="s">
        <v>15</v>
      </c>
      <c r="C63" s="249"/>
      <c r="D63" s="249"/>
      <c r="E63" s="249"/>
      <c r="F63" s="249"/>
      <c r="G63" s="249"/>
      <c r="H63" s="249"/>
      <c r="I63" s="249"/>
      <c r="J63" s="249"/>
      <c r="K63" s="249"/>
      <c r="L63" s="249"/>
      <c r="M63" s="249"/>
      <c r="N63" s="249"/>
      <c r="O63" s="249"/>
      <c r="P63" s="249"/>
      <c r="Q63" s="250"/>
    </row>
    <row r="64" spans="2:17" x14ac:dyDescent="0.3">
      <c r="B64" s="251"/>
      <c r="C64" s="252"/>
      <c r="D64" s="252"/>
      <c r="E64" s="252"/>
      <c r="F64" s="252"/>
      <c r="G64" s="252"/>
      <c r="H64" s="252"/>
      <c r="I64" s="252"/>
      <c r="J64" s="252"/>
      <c r="K64" s="252"/>
      <c r="L64" s="252"/>
      <c r="M64" s="252"/>
      <c r="N64" s="252"/>
      <c r="O64" s="252"/>
      <c r="P64" s="252"/>
      <c r="Q64" s="253"/>
    </row>
    <row r="65" spans="2:17" ht="15.6" customHeight="1" x14ac:dyDescent="0.3">
      <c r="B65" s="14"/>
      <c r="C65" s="15"/>
      <c r="D65" s="269"/>
      <c r="E65" s="269"/>
      <c r="F65" s="269"/>
      <c r="G65" s="269"/>
      <c r="H65" s="269"/>
      <c r="I65" s="269"/>
      <c r="J65" s="269"/>
      <c r="K65" s="269"/>
      <c r="L65" s="269"/>
      <c r="M65" s="269"/>
      <c r="N65" s="269"/>
      <c r="O65" s="269"/>
      <c r="P65" s="269"/>
      <c r="Q65" s="269"/>
    </row>
    <row r="66" spans="2:17" ht="15.6" customHeight="1" x14ac:dyDescent="0.3">
      <c r="B66" s="270" t="s">
        <v>75</v>
      </c>
      <c r="C66" s="271"/>
      <c r="D66" s="271"/>
      <c r="E66" s="271"/>
      <c r="F66" s="271"/>
      <c r="G66" s="271"/>
      <c r="H66" s="271"/>
      <c r="I66" s="271"/>
      <c r="J66" s="271"/>
      <c r="K66" s="271"/>
      <c r="L66" s="271"/>
      <c r="M66" s="271"/>
      <c r="N66" s="271"/>
      <c r="O66" s="271"/>
      <c r="P66" s="271"/>
      <c r="Q66" s="272"/>
    </row>
    <row r="67" spans="2:17" ht="15.6" customHeight="1" x14ac:dyDescent="0.3">
      <c r="B67" s="270"/>
      <c r="C67" s="271"/>
      <c r="D67" s="271"/>
      <c r="E67" s="271"/>
      <c r="F67" s="271"/>
      <c r="G67" s="271"/>
      <c r="H67" s="271"/>
      <c r="I67" s="271"/>
      <c r="J67" s="271"/>
      <c r="K67" s="271"/>
      <c r="L67" s="271"/>
      <c r="M67" s="271"/>
      <c r="N67" s="271"/>
      <c r="O67" s="271"/>
      <c r="P67" s="271"/>
      <c r="Q67" s="272"/>
    </row>
    <row r="68" spans="2:17" ht="15.6" customHeight="1" x14ac:dyDescent="0.3">
      <c r="B68" s="270"/>
      <c r="C68" s="271"/>
      <c r="D68" s="271"/>
      <c r="E68" s="271"/>
      <c r="F68" s="271"/>
      <c r="G68" s="271"/>
      <c r="H68" s="271"/>
      <c r="I68" s="271"/>
      <c r="J68" s="271"/>
      <c r="K68" s="271"/>
      <c r="L68" s="271"/>
      <c r="M68" s="271"/>
      <c r="N68" s="271"/>
      <c r="O68" s="271"/>
      <c r="P68" s="271"/>
      <c r="Q68" s="272"/>
    </row>
    <row r="69" spans="2:17" ht="15.6" customHeight="1" x14ac:dyDescent="0.3">
      <c r="B69" s="270"/>
      <c r="C69" s="271"/>
      <c r="D69" s="271"/>
      <c r="E69" s="271"/>
      <c r="F69" s="271"/>
      <c r="G69" s="271"/>
      <c r="H69" s="271"/>
      <c r="I69" s="271"/>
      <c r="J69" s="271"/>
      <c r="K69" s="271"/>
      <c r="L69" s="271"/>
      <c r="M69" s="271"/>
      <c r="N69" s="271"/>
      <c r="O69" s="271"/>
      <c r="P69" s="271"/>
      <c r="Q69" s="272"/>
    </row>
    <row r="70" spans="2:17" ht="15.6" customHeight="1" x14ac:dyDescent="0.3">
      <c r="B70" s="270"/>
      <c r="C70" s="271"/>
      <c r="D70" s="271"/>
      <c r="E70" s="271"/>
      <c r="F70" s="271"/>
      <c r="G70" s="271"/>
      <c r="H70" s="271"/>
      <c r="I70" s="271"/>
      <c r="J70" s="271"/>
      <c r="K70" s="271"/>
      <c r="L70" s="271"/>
      <c r="M70" s="271"/>
      <c r="N70" s="271"/>
      <c r="O70" s="271"/>
      <c r="P70" s="271"/>
      <c r="Q70" s="272"/>
    </row>
    <row r="71" spans="2:17" ht="15.6" customHeight="1" x14ac:dyDescent="0.3">
      <c r="B71" s="270"/>
      <c r="C71" s="271"/>
      <c r="D71" s="271"/>
      <c r="E71" s="271"/>
      <c r="F71" s="271"/>
      <c r="G71" s="271"/>
      <c r="H71" s="271"/>
      <c r="I71" s="271"/>
      <c r="J71" s="271"/>
      <c r="K71" s="271"/>
      <c r="L71" s="271"/>
      <c r="M71" s="271"/>
      <c r="N71" s="271"/>
      <c r="O71" s="271"/>
      <c r="P71" s="271"/>
      <c r="Q71" s="272"/>
    </row>
    <row r="72" spans="2:17" ht="15.6" customHeight="1" x14ac:dyDescent="0.3">
      <c r="B72" s="270"/>
      <c r="C72" s="271"/>
      <c r="D72" s="271"/>
      <c r="E72" s="271"/>
      <c r="F72" s="271"/>
      <c r="G72" s="271"/>
      <c r="H72" s="271"/>
      <c r="I72" s="271"/>
      <c r="J72" s="271"/>
      <c r="K72" s="271"/>
      <c r="L72" s="271"/>
      <c r="M72" s="271"/>
      <c r="N72" s="271"/>
      <c r="O72" s="271"/>
      <c r="P72" s="271"/>
      <c r="Q72" s="272"/>
    </row>
    <row r="73" spans="2:17" ht="15.6" customHeight="1" x14ac:dyDescent="0.3">
      <c r="B73" s="270"/>
      <c r="C73" s="271"/>
      <c r="D73" s="271"/>
      <c r="E73" s="271"/>
      <c r="F73" s="271"/>
      <c r="G73" s="271"/>
      <c r="H73" s="271"/>
      <c r="I73" s="271"/>
      <c r="J73" s="271"/>
      <c r="K73" s="271"/>
      <c r="L73" s="271"/>
      <c r="M73" s="271"/>
      <c r="N73" s="271"/>
      <c r="O73" s="271"/>
      <c r="P73" s="271"/>
      <c r="Q73" s="272"/>
    </row>
    <row r="74" spans="2:17" ht="16.05" customHeight="1" thickBot="1" x14ac:dyDescent="0.35">
      <c r="B74" s="273"/>
      <c r="C74" s="274"/>
      <c r="D74" s="274"/>
      <c r="E74" s="274"/>
      <c r="F74" s="274"/>
      <c r="G74" s="274"/>
      <c r="H74" s="274"/>
      <c r="I74" s="274"/>
      <c r="J74" s="274"/>
      <c r="K74" s="274"/>
      <c r="L74" s="274"/>
      <c r="M74" s="274"/>
      <c r="N74" s="274"/>
      <c r="O74" s="274"/>
      <c r="P74" s="274"/>
      <c r="Q74" s="275"/>
    </row>
    <row r="75" spans="2:17" x14ac:dyDescent="0.3">
      <c r="B75" s="248" t="s">
        <v>95</v>
      </c>
      <c r="C75" s="249"/>
      <c r="D75" s="249"/>
      <c r="E75" s="249"/>
      <c r="F75" s="249"/>
      <c r="G75" s="249"/>
      <c r="H75" s="249"/>
      <c r="I75" s="249"/>
      <c r="J75" s="249"/>
      <c r="K75" s="249"/>
      <c r="L75" s="249"/>
      <c r="M75" s="249"/>
      <c r="N75" s="249"/>
      <c r="O75" s="249"/>
      <c r="P75" s="249"/>
      <c r="Q75" s="250"/>
    </row>
    <row r="76" spans="2:17" ht="25.05" customHeight="1" x14ac:dyDescent="0.3">
      <c r="B76" s="251"/>
      <c r="C76" s="252"/>
      <c r="D76" s="252"/>
      <c r="E76" s="252"/>
      <c r="F76" s="252"/>
      <c r="G76" s="252"/>
      <c r="H76" s="252"/>
      <c r="I76" s="252"/>
      <c r="J76" s="252"/>
      <c r="K76" s="252"/>
      <c r="L76" s="252"/>
      <c r="M76" s="252"/>
      <c r="N76" s="252"/>
      <c r="O76" s="252"/>
      <c r="P76" s="252"/>
      <c r="Q76" s="253"/>
    </row>
    <row r="77" spans="2:17" ht="25.05" customHeight="1" x14ac:dyDescent="0.3">
      <c r="B77" s="14"/>
      <c r="C77" s="269" t="s">
        <v>38</v>
      </c>
      <c r="D77" s="269"/>
      <c r="E77" s="269"/>
      <c r="F77" s="269"/>
      <c r="G77" s="269"/>
      <c r="H77" s="269"/>
      <c r="I77" s="269"/>
      <c r="J77" s="269"/>
      <c r="K77" s="269"/>
      <c r="L77" s="269"/>
      <c r="M77" s="269"/>
      <c r="N77" s="269"/>
      <c r="O77" s="269"/>
      <c r="P77" s="269"/>
      <c r="Q77" s="16"/>
    </row>
    <row r="78" spans="2:17" ht="25.05" customHeight="1" x14ac:dyDescent="0.3">
      <c r="B78" s="333" t="s">
        <v>101</v>
      </c>
      <c r="C78" s="334"/>
      <c r="D78" s="334"/>
      <c r="E78" s="334"/>
      <c r="F78" s="334"/>
      <c r="G78" s="334"/>
      <c r="H78" s="334"/>
      <c r="I78" s="334"/>
      <c r="J78" s="334"/>
      <c r="K78" s="334"/>
      <c r="L78" s="334"/>
      <c r="M78" s="334"/>
      <c r="N78" s="334"/>
      <c r="O78" s="334"/>
      <c r="P78" s="334"/>
      <c r="Q78" s="335"/>
    </row>
    <row r="79" spans="2:17" ht="25.05" customHeight="1" x14ac:dyDescent="0.3">
      <c r="B79" s="333"/>
      <c r="C79" s="334"/>
      <c r="D79" s="334"/>
      <c r="E79" s="334"/>
      <c r="F79" s="334"/>
      <c r="G79" s="334"/>
      <c r="H79" s="334"/>
      <c r="I79" s="334"/>
      <c r="J79" s="334"/>
      <c r="K79" s="334"/>
      <c r="L79" s="334"/>
      <c r="M79" s="334"/>
      <c r="N79" s="334"/>
      <c r="O79" s="334"/>
      <c r="P79" s="334"/>
      <c r="Q79" s="335"/>
    </row>
    <row r="80" spans="2:17" ht="25.05" customHeight="1" x14ac:dyDescent="0.3">
      <c r="B80" s="72"/>
      <c r="C80" s="73"/>
      <c r="D80" s="73"/>
      <c r="E80" s="276" t="s">
        <v>84</v>
      </c>
      <c r="F80" s="276"/>
      <c r="G80" s="276"/>
      <c r="H80" s="276"/>
      <c r="I80" s="276" t="s">
        <v>85</v>
      </c>
      <c r="J80" s="276"/>
      <c r="K80" s="276"/>
      <c r="L80" s="276"/>
      <c r="M80" s="104" t="s">
        <v>128</v>
      </c>
      <c r="N80" s="73"/>
      <c r="O80" s="73"/>
      <c r="P80" s="73"/>
      <c r="Q80" s="74"/>
    </row>
    <row r="81" spans="2:17" ht="25.05" customHeight="1" x14ac:dyDescent="0.3">
      <c r="B81" s="72"/>
      <c r="C81" s="73"/>
      <c r="D81" s="73"/>
      <c r="E81" s="296" t="str">
        <f>'Production--Details'!C4</f>
        <v>Procure TPC DAM Felix 2.0 boards</v>
      </c>
      <c r="F81" s="296"/>
      <c r="G81" s="296"/>
      <c r="H81" s="296"/>
      <c r="I81" s="277">
        <f>'Production--Details'!I4</f>
        <v>130361.99999999999</v>
      </c>
      <c r="J81" s="277"/>
      <c r="K81" s="277"/>
      <c r="L81" s="277"/>
      <c r="M81" s="102"/>
      <c r="N81" s="73"/>
      <c r="O81" s="73"/>
      <c r="P81" s="73"/>
      <c r="Q81" s="74"/>
    </row>
    <row r="82" spans="2:17" ht="25.05" customHeight="1" x14ac:dyDescent="0.3">
      <c r="B82" s="72"/>
      <c r="C82" s="73"/>
      <c r="D82" s="73"/>
      <c r="E82" s="296" t="str">
        <f>'Production--Details'!C13</f>
        <v>Optical data fiber and distribution</v>
      </c>
      <c r="F82" s="296"/>
      <c r="G82" s="296"/>
      <c r="H82" s="296"/>
      <c r="I82" s="277">
        <f>'Production--Details'!I13</f>
        <v>80745</v>
      </c>
      <c r="J82" s="277"/>
      <c r="K82" s="277"/>
      <c r="L82" s="277"/>
      <c r="M82" s="102"/>
      <c r="N82" s="73"/>
      <c r="O82" s="73"/>
      <c r="P82" s="73"/>
      <c r="Q82" s="74"/>
    </row>
    <row r="83" spans="2:17" ht="25.05" customHeight="1" x14ac:dyDescent="0.3">
      <c r="B83" s="72"/>
      <c r="C83" s="73"/>
      <c r="D83" s="73"/>
      <c r="E83" s="296" t="str">
        <f>'Production--Details'!$C$22</f>
        <v>Procure TPC EDBC Computers and Peripherals</v>
      </c>
      <c r="F83" s="296"/>
      <c r="G83" s="296"/>
      <c r="H83" s="296"/>
      <c r="I83" s="277">
        <f>'Production--Details'!I$22</f>
        <v>210882.9</v>
      </c>
      <c r="J83" s="277"/>
      <c r="K83" s="277"/>
      <c r="L83" s="277"/>
      <c r="M83" s="102"/>
      <c r="N83" s="73"/>
      <c r="O83" s="73"/>
      <c r="P83" s="73"/>
      <c r="Q83" s="74"/>
    </row>
    <row r="84" spans="2:17" ht="25.05" customHeight="1" x14ac:dyDescent="0.3">
      <c r="B84" s="72"/>
      <c r="C84" s="73"/>
      <c r="D84" s="73"/>
      <c r="E84" s="327" t="s">
        <v>32</v>
      </c>
      <c r="F84" s="327"/>
      <c r="G84" s="327"/>
      <c r="H84" s="327"/>
      <c r="I84" s="337">
        <f>'Production--Details'!J3</f>
        <v>421989.9</v>
      </c>
      <c r="J84" s="337"/>
      <c r="K84" s="337"/>
      <c r="L84" s="337"/>
      <c r="M84" s="103">
        <f>'Production--Details'!F53</f>
        <v>5106</v>
      </c>
      <c r="N84" s="73"/>
      <c r="O84" s="73"/>
      <c r="P84" s="73"/>
      <c r="Q84" s="74"/>
    </row>
    <row r="85" spans="2:17" ht="15.6" customHeight="1" x14ac:dyDescent="0.3">
      <c r="B85" s="72"/>
      <c r="C85" s="73"/>
      <c r="D85" s="73"/>
      <c r="E85" s="73"/>
      <c r="F85" s="73"/>
      <c r="G85" s="73"/>
      <c r="H85" s="73"/>
      <c r="I85" s="73"/>
      <c r="J85" s="73"/>
      <c r="K85" s="73"/>
      <c r="L85" s="73"/>
      <c r="M85" s="73"/>
      <c r="N85" s="73"/>
      <c r="O85" s="73"/>
      <c r="P85" s="73"/>
      <c r="Q85" s="74"/>
    </row>
    <row r="86" spans="2:17" ht="16.05" customHeight="1" thickBot="1" x14ac:dyDescent="0.35">
      <c r="B86" s="75"/>
      <c r="C86" s="76"/>
      <c r="D86" s="76"/>
      <c r="E86" s="76"/>
      <c r="F86" s="76"/>
      <c r="G86" s="76"/>
      <c r="H86" s="76"/>
      <c r="I86" s="76"/>
      <c r="J86" s="76"/>
      <c r="K86" s="76"/>
      <c r="L86" s="76"/>
      <c r="M86" s="76"/>
      <c r="N86" s="76"/>
      <c r="O86" s="76"/>
      <c r="P86" s="76"/>
      <c r="Q86" s="77"/>
    </row>
    <row r="87" spans="2:17" ht="15.6" customHeight="1" x14ac:dyDescent="0.3">
      <c r="B87" s="248" t="s">
        <v>97</v>
      </c>
      <c r="C87" s="249"/>
      <c r="D87" s="249"/>
      <c r="E87" s="249"/>
      <c r="F87" s="249"/>
      <c r="G87" s="249"/>
      <c r="H87" s="249"/>
      <c r="I87" s="249"/>
      <c r="J87" s="249"/>
      <c r="K87" s="249"/>
      <c r="L87" s="249"/>
      <c r="M87" s="249"/>
      <c r="N87" s="249"/>
      <c r="O87" s="249"/>
      <c r="P87" s="249"/>
      <c r="Q87" s="250"/>
    </row>
    <row r="88" spans="2:17" ht="15.6" customHeight="1" x14ac:dyDescent="0.3">
      <c r="B88" s="251"/>
      <c r="C88" s="252"/>
      <c r="D88" s="252"/>
      <c r="E88" s="252"/>
      <c r="F88" s="252"/>
      <c r="G88" s="252"/>
      <c r="H88" s="252"/>
      <c r="I88" s="252"/>
      <c r="J88" s="252"/>
      <c r="K88" s="252"/>
      <c r="L88" s="252"/>
      <c r="M88" s="252"/>
      <c r="N88" s="252"/>
      <c r="O88" s="252"/>
      <c r="P88" s="252"/>
      <c r="Q88" s="253"/>
    </row>
    <row r="89" spans="2:17" ht="25.05" customHeight="1" x14ac:dyDescent="0.3">
      <c r="B89" s="242" t="s">
        <v>102</v>
      </c>
      <c r="C89" s="243"/>
      <c r="D89" s="243"/>
      <c r="E89" s="243"/>
      <c r="F89" s="243"/>
      <c r="G89" s="243"/>
      <c r="H89" s="243"/>
      <c r="I89" s="243"/>
      <c r="J89" s="243"/>
      <c r="K89" s="243"/>
      <c r="L89" s="243"/>
      <c r="M89" s="243"/>
      <c r="N89" s="243"/>
      <c r="O89" s="243"/>
      <c r="P89" s="243"/>
      <c r="Q89" s="244"/>
    </row>
    <row r="90" spans="2:17" x14ac:dyDescent="0.3">
      <c r="B90" s="242"/>
      <c r="C90" s="243"/>
      <c r="D90" s="243"/>
      <c r="E90" s="243"/>
      <c r="F90" s="243"/>
      <c r="G90" s="243"/>
      <c r="H90" s="243"/>
      <c r="I90" s="243"/>
      <c r="J90" s="243"/>
      <c r="K90" s="243"/>
      <c r="L90" s="243"/>
      <c r="M90" s="243"/>
      <c r="N90" s="243"/>
      <c r="O90" s="243"/>
      <c r="P90" s="243"/>
      <c r="Q90" s="244"/>
    </row>
    <row r="91" spans="2:17" x14ac:dyDescent="0.3">
      <c r="B91" s="242"/>
      <c r="C91" s="243"/>
      <c r="D91" s="243"/>
      <c r="E91" s="243"/>
      <c r="F91" s="243"/>
      <c r="G91" s="243"/>
      <c r="H91" s="243"/>
      <c r="I91" s="243"/>
      <c r="J91" s="243"/>
      <c r="K91" s="243"/>
      <c r="L91" s="243"/>
      <c r="M91" s="243"/>
      <c r="N91" s="243"/>
      <c r="O91" s="243"/>
      <c r="P91" s="243"/>
      <c r="Q91" s="244"/>
    </row>
    <row r="92" spans="2:17" x14ac:dyDescent="0.3">
      <c r="B92" s="242"/>
      <c r="C92" s="243"/>
      <c r="D92" s="243"/>
      <c r="E92" s="243"/>
      <c r="F92" s="243"/>
      <c r="G92" s="243"/>
      <c r="H92" s="243"/>
      <c r="I92" s="243"/>
      <c r="J92" s="243"/>
      <c r="K92" s="243"/>
      <c r="L92" s="243"/>
      <c r="M92" s="243"/>
      <c r="N92" s="243"/>
      <c r="O92" s="243"/>
      <c r="P92" s="243"/>
      <c r="Q92" s="244"/>
    </row>
    <row r="93" spans="2:17" x14ac:dyDescent="0.3">
      <c r="B93" s="242"/>
      <c r="C93" s="243"/>
      <c r="D93" s="243"/>
      <c r="E93" s="243"/>
      <c r="F93" s="243"/>
      <c r="G93" s="243"/>
      <c r="H93" s="243"/>
      <c r="I93" s="243"/>
      <c r="J93" s="243"/>
      <c r="K93" s="243"/>
      <c r="L93" s="243"/>
      <c r="M93" s="243"/>
      <c r="N93" s="243"/>
      <c r="O93" s="243"/>
      <c r="P93" s="243"/>
      <c r="Q93" s="244"/>
    </row>
    <row r="94" spans="2:17" x14ac:dyDescent="0.3">
      <c r="B94" s="242"/>
      <c r="C94" s="243"/>
      <c r="D94" s="243"/>
      <c r="E94" s="243"/>
      <c r="F94" s="243"/>
      <c r="G94" s="243"/>
      <c r="H94" s="243"/>
      <c r="I94" s="243"/>
      <c r="J94" s="243"/>
      <c r="K94" s="243"/>
      <c r="L94" s="243"/>
      <c r="M94" s="243"/>
      <c r="N94" s="243"/>
      <c r="O94" s="243"/>
      <c r="P94" s="243"/>
      <c r="Q94" s="244"/>
    </row>
    <row r="95" spans="2:17" x14ac:dyDescent="0.3">
      <c r="B95" s="242"/>
      <c r="C95" s="243"/>
      <c r="D95" s="243"/>
      <c r="E95" s="243"/>
      <c r="F95" s="243"/>
      <c r="G95" s="243"/>
      <c r="H95" s="243"/>
      <c r="I95" s="243"/>
      <c r="J95" s="243"/>
      <c r="K95" s="243"/>
      <c r="L95" s="243"/>
      <c r="M95" s="243"/>
      <c r="N95" s="243"/>
      <c r="O95" s="243"/>
      <c r="P95" s="243"/>
      <c r="Q95" s="244"/>
    </row>
    <row r="96" spans="2:17" x14ac:dyDescent="0.3">
      <c r="B96" s="242"/>
      <c r="C96" s="243"/>
      <c r="D96" s="243"/>
      <c r="E96" s="243"/>
      <c r="F96" s="243"/>
      <c r="G96" s="243"/>
      <c r="H96" s="243"/>
      <c r="I96" s="243"/>
      <c r="J96" s="243"/>
      <c r="K96" s="243"/>
      <c r="L96" s="243"/>
      <c r="M96" s="243"/>
      <c r="N96" s="243"/>
      <c r="O96" s="243"/>
      <c r="P96" s="243"/>
      <c r="Q96" s="244"/>
    </row>
    <row r="97" spans="2:17" x14ac:dyDescent="0.3">
      <c r="B97" s="242"/>
      <c r="C97" s="243"/>
      <c r="D97" s="243"/>
      <c r="E97" s="243"/>
      <c r="F97" s="243"/>
      <c r="G97" s="243"/>
      <c r="H97" s="243"/>
      <c r="I97" s="243"/>
      <c r="J97" s="243"/>
      <c r="K97" s="243"/>
      <c r="L97" s="243"/>
      <c r="M97" s="243"/>
      <c r="N97" s="243"/>
      <c r="O97" s="243"/>
      <c r="P97" s="243"/>
      <c r="Q97" s="244"/>
    </row>
    <row r="98" spans="2:17" x14ac:dyDescent="0.3">
      <c r="B98" s="242"/>
      <c r="C98" s="243"/>
      <c r="D98" s="243"/>
      <c r="E98" s="243"/>
      <c r="F98" s="243"/>
      <c r="G98" s="243"/>
      <c r="H98" s="243"/>
      <c r="I98" s="243"/>
      <c r="J98" s="243"/>
      <c r="K98" s="243"/>
      <c r="L98" s="243"/>
      <c r="M98" s="243"/>
      <c r="N98" s="243"/>
      <c r="O98" s="243"/>
      <c r="P98" s="243"/>
      <c r="Q98" s="244"/>
    </row>
    <row r="99" spans="2:17" ht="21" customHeight="1" x14ac:dyDescent="0.3">
      <c r="B99" s="242"/>
      <c r="C99" s="243"/>
      <c r="D99" s="243"/>
      <c r="E99" s="243"/>
      <c r="F99" s="243"/>
      <c r="G99" s="243"/>
      <c r="H99" s="243"/>
      <c r="I99" s="243"/>
      <c r="J99" s="243"/>
      <c r="K99" s="243"/>
      <c r="L99" s="243"/>
      <c r="M99" s="243"/>
      <c r="N99" s="243"/>
      <c r="O99" s="243"/>
      <c r="P99" s="243"/>
      <c r="Q99" s="244"/>
    </row>
    <row r="100" spans="2:17" x14ac:dyDescent="0.3">
      <c r="B100" s="242"/>
      <c r="C100" s="243"/>
      <c r="D100" s="243"/>
      <c r="E100" s="243"/>
      <c r="F100" s="243"/>
      <c r="G100" s="243"/>
      <c r="H100" s="243"/>
      <c r="I100" s="243"/>
      <c r="J100" s="243"/>
      <c r="K100" s="243"/>
      <c r="L100" s="243"/>
      <c r="M100" s="243"/>
      <c r="N100" s="243"/>
      <c r="O100" s="243"/>
      <c r="P100" s="243"/>
      <c r="Q100" s="244"/>
    </row>
    <row r="101" spans="2:17" ht="16.2" thickBot="1" x14ac:dyDescent="0.35">
      <c r="B101" s="245"/>
      <c r="C101" s="246"/>
      <c r="D101" s="246"/>
      <c r="E101" s="246"/>
      <c r="F101" s="246"/>
      <c r="G101" s="246"/>
      <c r="H101" s="246"/>
      <c r="I101" s="246"/>
      <c r="J101" s="246"/>
      <c r="K101" s="246"/>
      <c r="L101" s="246"/>
      <c r="M101" s="246"/>
      <c r="N101" s="246"/>
      <c r="O101" s="246"/>
      <c r="P101" s="246"/>
      <c r="Q101" s="247"/>
    </row>
  </sheetData>
  <mergeCells count="43">
    <mergeCell ref="E82:H82"/>
    <mergeCell ref="E81:H81"/>
    <mergeCell ref="I81:J81"/>
    <mergeCell ref="K81:L81"/>
    <mergeCell ref="I82:J82"/>
    <mergeCell ref="K82:L82"/>
    <mergeCell ref="B87:Q88"/>
    <mergeCell ref="B89:Q101"/>
    <mergeCell ref="B47:Q62"/>
    <mergeCell ref="B63:Q64"/>
    <mergeCell ref="D65:Q65"/>
    <mergeCell ref="B66:Q74"/>
    <mergeCell ref="B75:Q76"/>
    <mergeCell ref="C77:P77"/>
    <mergeCell ref="B78:Q79"/>
    <mergeCell ref="I80:J80"/>
    <mergeCell ref="K80:L80"/>
    <mergeCell ref="E80:H80"/>
    <mergeCell ref="I83:J83"/>
    <mergeCell ref="K83:L83"/>
    <mergeCell ref="I84:J84"/>
    <mergeCell ref="K84:L84"/>
    <mergeCell ref="B11:Q11"/>
    <mergeCell ref="B12:Q18"/>
    <mergeCell ref="B19:Q19"/>
    <mergeCell ref="B32:Q32"/>
    <mergeCell ref="B33:Q44"/>
    <mergeCell ref="E83:H83"/>
    <mergeCell ref="E84:H84"/>
    <mergeCell ref="F2:L7"/>
    <mergeCell ref="M2:M3"/>
    <mergeCell ref="N2:Q3"/>
    <mergeCell ref="M4:M5"/>
    <mergeCell ref="N4:Q5"/>
    <mergeCell ref="M6:M7"/>
    <mergeCell ref="N6:Q7"/>
    <mergeCell ref="B45:Q46"/>
    <mergeCell ref="B8:F8"/>
    <mergeCell ref="G8:M8"/>
    <mergeCell ref="N8:Q8"/>
    <mergeCell ref="B9:F10"/>
    <mergeCell ref="G9:M10"/>
    <mergeCell ref="N9:Q10"/>
  </mergeCells>
  <hyperlinks>
    <hyperlink ref="C77" location="'v1 Field Cage--Details'!A1" display="(follow link for detailed summary)" xr:uid="{00000000-0004-0000-0300-000000000000}"/>
    <hyperlink ref="C77:P77" location="'Production--Details'!A1" display="(follow link for detailed summary)" xr:uid="{00000000-0004-0000-0300-000001000000}"/>
    <hyperlink ref="I84:J84" location="'Production--Details'!N2" display="'Production--Details'!N2" xr:uid="{00000000-0004-0000-0300-000002000000}"/>
  </hyperlinks>
  <pageMargins left="0.75" right="0.75" top="1" bottom="1" header="0.5" footer="0.5"/>
  <pageSetup orientation="portrait" horizontalDpi="4294967292" verticalDpi="4294967292"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23"/>
  <sheetViews>
    <sheetView zoomScale="80" zoomScaleNormal="80" workbookViewId="0">
      <pane ySplit="1" topLeftCell="A2" activePane="bottomLeft" state="frozen"/>
      <selection pane="bottomLeft" activeCell="I16" sqref="I16"/>
    </sheetView>
  </sheetViews>
  <sheetFormatPr defaultRowHeight="15.6" x14ac:dyDescent="0.3"/>
  <cols>
    <col min="1" max="1" width="21.3984375" bestFit="1" customWidth="1"/>
    <col min="2" max="2" width="21.3984375" customWidth="1"/>
    <col min="3" max="3" width="37.8984375" bestFit="1" customWidth="1"/>
    <col min="4" max="4" width="34.09765625" bestFit="1" customWidth="1"/>
    <col min="5" max="5" width="16.59765625" bestFit="1" customWidth="1"/>
    <col min="6" max="6" width="4.59765625" style="43" bestFit="1" customWidth="1"/>
    <col min="7" max="7" width="10.3984375" bestFit="1" customWidth="1"/>
    <col min="8" max="8" width="13.8984375" bestFit="1" customWidth="1"/>
    <col min="9" max="9" width="10.09765625" style="46" bestFit="1" customWidth="1"/>
    <col min="10" max="10" width="14.19921875" bestFit="1" customWidth="1"/>
    <col min="11" max="11" width="13" style="62" bestFit="1" customWidth="1"/>
    <col min="12" max="12" width="6" style="63" bestFit="1" customWidth="1"/>
    <col min="13" max="13" width="10.09765625" style="63" bestFit="1" customWidth="1"/>
    <col min="14" max="14" width="17.09765625" style="63" bestFit="1" customWidth="1"/>
    <col min="15" max="15" width="9.8984375" style="63" bestFit="1" customWidth="1"/>
    <col min="16" max="16" width="22.3984375" style="63" bestFit="1" customWidth="1"/>
  </cols>
  <sheetData>
    <row r="1" spans="1:16" s="64" customFormat="1" ht="21.6" thickBot="1" x14ac:dyDescent="0.45">
      <c r="A1" s="115" t="s">
        <v>103</v>
      </c>
      <c r="B1" s="116"/>
      <c r="C1" s="116"/>
      <c r="D1" s="116"/>
      <c r="E1" s="116"/>
      <c r="F1" s="117"/>
      <c r="G1" s="116"/>
      <c r="H1" s="116"/>
      <c r="I1" s="118"/>
      <c r="J1" s="119"/>
      <c r="K1" s="81"/>
      <c r="L1" s="80"/>
      <c r="M1" s="80"/>
      <c r="N1" s="80"/>
      <c r="O1" s="80"/>
      <c r="P1" s="80"/>
    </row>
    <row r="2" spans="1:16" x14ac:dyDescent="0.3">
      <c r="A2" s="17" t="s">
        <v>16</v>
      </c>
      <c r="B2" s="370" t="s">
        <v>199</v>
      </c>
      <c r="C2" s="18" t="s">
        <v>17</v>
      </c>
      <c r="D2" s="18" t="s">
        <v>30</v>
      </c>
      <c r="E2" s="18" t="s">
        <v>31</v>
      </c>
      <c r="F2" s="40" t="s">
        <v>32</v>
      </c>
      <c r="G2" s="18" t="s">
        <v>33</v>
      </c>
      <c r="H2" s="18" t="s">
        <v>34</v>
      </c>
      <c r="I2" s="40" t="s">
        <v>32</v>
      </c>
      <c r="J2" s="42" t="s">
        <v>40</v>
      </c>
      <c r="K2" s="106"/>
      <c r="M2" s="107"/>
      <c r="N2" s="107"/>
      <c r="P2" s="107"/>
    </row>
    <row r="3" spans="1:16" s="59" customFormat="1" ht="16.2" thickBot="1" x14ac:dyDescent="0.35">
      <c r="A3" s="376" t="s">
        <v>93</v>
      </c>
      <c r="B3" s="377"/>
      <c r="C3" s="378" t="s">
        <v>41</v>
      </c>
      <c r="D3" s="378"/>
      <c r="E3" s="378"/>
      <c r="F3" s="379"/>
      <c r="G3" s="378"/>
      <c r="H3" s="378"/>
      <c r="I3" s="380"/>
      <c r="J3" s="381">
        <f>SUM(I:I)</f>
        <v>1631</v>
      </c>
      <c r="K3" s="62"/>
      <c r="M3" s="63"/>
      <c r="N3" s="63"/>
      <c r="P3" s="63"/>
    </row>
    <row r="4" spans="1:16" x14ac:dyDescent="0.3">
      <c r="A4" s="382" t="s">
        <v>93</v>
      </c>
      <c r="B4" s="383">
        <v>143700</v>
      </c>
      <c r="C4" s="384" t="s">
        <v>42</v>
      </c>
      <c r="D4" s="384"/>
      <c r="E4" s="384"/>
      <c r="F4" s="385"/>
      <c r="G4" s="384"/>
      <c r="H4" s="384"/>
      <c r="I4" s="385">
        <f>SUM(F5:F11)</f>
        <v>1631</v>
      </c>
      <c r="J4" s="386"/>
      <c r="K4" s="108"/>
      <c r="M4" s="109"/>
      <c r="N4" s="109"/>
      <c r="O4" s="109"/>
      <c r="P4" s="109"/>
    </row>
    <row r="5" spans="1:16" x14ac:dyDescent="0.3">
      <c r="A5" s="387"/>
      <c r="B5" s="388"/>
      <c r="C5" s="389"/>
      <c r="D5" s="375" t="s">
        <v>43</v>
      </c>
      <c r="E5" s="375" t="s">
        <v>44</v>
      </c>
      <c r="F5" s="390">
        <v>490</v>
      </c>
      <c r="G5" s="375" t="s">
        <v>35</v>
      </c>
      <c r="H5" s="375"/>
      <c r="I5" s="391"/>
      <c r="J5" s="392"/>
      <c r="K5" s="110"/>
      <c r="M5" s="111"/>
      <c r="N5" s="111"/>
      <c r="O5" s="111"/>
      <c r="P5" s="111"/>
    </row>
    <row r="6" spans="1:16" x14ac:dyDescent="0.3">
      <c r="A6" s="387"/>
      <c r="B6" s="388"/>
      <c r="C6" s="389"/>
      <c r="D6" s="375" t="s">
        <v>45</v>
      </c>
      <c r="E6" s="375" t="s">
        <v>46</v>
      </c>
      <c r="F6" s="390">
        <v>0</v>
      </c>
      <c r="G6" s="375" t="s">
        <v>35</v>
      </c>
      <c r="H6" s="375" t="s">
        <v>47</v>
      </c>
      <c r="I6" s="391"/>
      <c r="J6" s="392"/>
      <c r="K6" s="110"/>
      <c r="M6" s="111"/>
      <c r="N6" s="111"/>
      <c r="O6" s="111"/>
      <c r="P6" s="111"/>
    </row>
    <row r="7" spans="1:16" s="78" customFormat="1" ht="15.6" customHeight="1" x14ac:dyDescent="0.3">
      <c r="A7" s="387"/>
      <c r="B7" s="388"/>
      <c r="C7" s="389"/>
      <c r="D7" s="375" t="s">
        <v>48</v>
      </c>
      <c r="E7" s="375" t="s">
        <v>49</v>
      </c>
      <c r="F7" s="390">
        <v>0</v>
      </c>
      <c r="G7" s="375" t="s">
        <v>35</v>
      </c>
      <c r="H7" s="375" t="s">
        <v>47</v>
      </c>
      <c r="I7" s="391"/>
      <c r="J7" s="392"/>
      <c r="K7" s="110"/>
      <c r="L7" s="112"/>
      <c r="M7" s="111"/>
      <c r="N7" s="111"/>
      <c r="O7" s="111"/>
      <c r="P7" s="111"/>
    </row>
    <row r="8" spans="1:16" s="78" customFormat="1" ht="15.6" customHeight="1" x14ac:dyDescent="0.3">
      <c r="A8" s="387"/>
      <c r="B8" s="388"/>
      <c r="C8" s="375"/>
      <c r="D8" s="375" t="s">
        <v>50</v>
      </c>
      <c r="E8" s="375" t="s">
        <v>51</v>
      </c>
      <c r="F8" s="390">
        <v>436</v>
      </c>
      <c r="G8" s="375" t="s">
        <v>35</v>
      </c>
      <c r="H8" s="375" t="s">
        <v>52</v>
      </c>
      <c r="I8" s="390"/>
      <c r="J8" s="392"/>
      <c r="K8" s="113"/>
      <c r="L8" s="112"/>
      <c r="M8" s="114"/>
      <c r="N8" s="114"/>
      <c r="O8" s="114"/>
      <c r="P8" s="114"/>
    </row>
    <row r="9" spans="1:16" s="78" customFormat="1" ht="15.6" customHeight="1" x14ac:dyDescent="0.3">
      <c r="A9" s="387"/>
      <c r="B9" s="388"/>
      <c r="C9" s="375"/>
      <c r="D9" s="375" t="s">
        <v>53</v>
      </c>
      <c r="E9" s="375" t="s">
        <v>51</v>
      </c>
      <c r="F9" s="390">
        <v>137</v>
      </c>
      <c r="G9" s="375" t="s">
        <v>35</v>
      </c>
      <c r="H9" s="375" t="s">
        <v>52</v>
      </c>
      <c r="I9" s="390"/>
      <c r="J9" s="392"/>
      <c r="K9" s="113"/>
      <c r="L9" s="112"/>
      <c r="M9" s="114"/>
      <c r="N9" s="114"/>
      <c r="O9" s="114"/>
      <c r="P9" s="114"/>
    </row>
    <row r="10" spans="1:16" s="78" customFormat="1" ht="15.6" customHeight="1" x14ac:dyDescent="0.3">
      <c r="A10" s="387"/>
      <c r="B10" s="388"/>
      <c r="C10" s="375"/>
      <c r="D10" s="375" t="s">
        <v>54</v>
      </c>
      <c r="E10" s="375" t="s">
        <v>51</v>
      </c>
      <c r="F10" s="390">
        <v>68</v>
      </c>
      <c r="G10" s="375" t="s">
        <v>35</v>
      </c>
      <c r="H10" s="375" t="s">
        <v>52</v>
      </c>
      <c r="I10" s="390"/>
      <c r="J10" s="392"/>
      <c r="K10" s="113"/>
      <c r="L10" s="112"/>
      <c r="M10" s="114"/>
      <c r="N10" s="114"/>
      <c r="O10" s="114"/>
      <c r="P10" s="114"/>
    </row>
    <row r="11" spans="1:16" ht="16.2" thickBot="1" x14ac:dyDescent="0.35">
      <c r="A11" s="393"/>
      <c r="B11" s="394"/>
      <c r="C11" s="395"/>
      <c r="D11" s="395" t="s">
        <v>55</v>
      </c>
      <c r="E11" s="395" t="s">
        <v>56</v>
      </c>
      <c r="F11" s="396">
        <v>500</v>
      </c>
      <c r="G11" s="395" t="s">
        <v>35</v>
      </c>
      <c r="H11" s="395" t="s">
        <v>94</v>
      </c>
      <c r="I11" s="396"/>
      <c r="J11" s="397"/>
      <c r="K11" s="113"/>
      <c r="M11" s="114"/>
      <c r="N11" s="114"/>
      <c r="O11" s="114"/>
      <c r="P11" s="114"/>
    </row>
    <row r="13" spans="1:16" ht="21.6" thickBot="1" x14ac:dyDescent="0.45">
      <c r="A13" s="82" t="s">
        <v>104</v>
      </c>
      <c r="B13" s="82"/>
      <c r="C13" s="82"/>
      <c r="D13" s="82"/>
      <c r="E13" s="82"/>
      <c r="F13" s="82"/>
      <c r="G13" s="83"/>
    </row>
    <row r="14" spans="1:16" ht="16.2" thickBot="1" x14ac:dyDescent="0.35">
      <c r="A14" s="84" t="s">
        <v>16</v>
      </c>
      <c r="B14" s="374" t="s">
        <v>199</v>
      </c>
      <c r="C14" s="85" t="s">
        <v>17</v>
      </c>
      <c r="D14" s="86" t="s">
        <v>105</v>
      </c>
      <c r="E14" s="87" t="s">
        <v>106</v>
      </c>
      <c r="F14" s="87" t="s">
        <v>107</v>
      </c>
      <c r="G14" s="88" t="s">
        <v>108</v>
      </c>
    </row>
    <row r="15" spans="1:16" x14ac:dyDescent="0.3">
      <c r="A15" s="398" t="s">
        <v>93</v>
      </c>
      <c r="B15" s="399">
        <v>143600</v>
      </c>
      <c r="C15" s="400" t="s">
        <v>42</v>
      </c>
      <c r="D15" s="400" t="s">
        <v>114</v>
      </c>
      <c r="E15" s="401" t="s">
        <v>109</v>
      </c>
      <c r="F15" s="401">
        <v>160</v>
      </c>
      <c r="G15" s="402">
        <f>SUM(F15:F16)</f>
        <v>320</v>
      </c>
      <c r="I15"/>
      <c r="J15" s="428"/>
    </row>
    <row r="16" spans="1:16" ht="16.2" thickBot="1" x14ac:dyDescent="0.35">
      <c r="A16" s="403"/>
      <c r="B16" s="404"/>
      <c r="C16" s="405"/>
      <c r="D16" s="405"/>
      <c r="E16" s="406" t="s">
        <v>110</v>
      </c>
      <c r="F16" s="406">
        <v>160</v>
      </c>
      <c r="G16" s="407"/>
      <c r="I16"/>
    </row>
    <row r="17" spans="1:13" x14ac:dyDescent="0.3">
      <c r="A17" s="398" t="s">
        <v>93</v>
      </c>
      <c r="B17" s="399">
        <v>143800</v>
      </c>
      <c r="C17" s="400" t="s">
        <v>111</v>
      </c>
      <c r="D17" s="400" t="s">
        <v>115</v>
      </c>
      <c r="E17" s="401" t="s">
        <v>109</v>
      </c>
      <c r="F17" s="401">
        <f>120+120</f>
        <v>240</v>
      </c>
      <c r="G17" s="402">
        <f>SUM(F17:F18)</f>
        <v>480</v>
      </c>
      <c r="I17"/>
    </row>
    <row r="18" spans="1:13" ht="16.2" thickBot="1" x14ac:dyDescent="0.35">
      <c r="A18" s="403"/>
      <c r="B18" s="404"/>
      <c r="C18" s="405"/>
      <c r="D18" s="405"/>
      <c r="E18" s="406" t="s">
        <v>110</v>
      </c>
      <c r="F18" s="406">
        <f>120+120</f>
        <v>240</v>
      </c>
      <c r="G18" s="407"/>
      <c r="I18"/>
    </row>
    <row r="19" spans="1:13" x14ac:dyDescent="0.3">
      <c r="A19" s="398" t="s">
        <v>93</v>
      </c>
      <c r="B19" s="399">
        <v>143500</v>
      </c>
      <c r="C19" s="400" t="s">
        <v>112</v>
      </c>
      <c r="D19" s="400" t="s">
        <v>116</v>
      </c>
      <c r="E19" s="401" t="s">
        <v>109</v>
      </c>
      <c r="F19" s="401">
        <v>62</v>
      </c>
      <c r="G19" s="402">
        <f>SUM(F19:F21)</f>
        <v>177</v>
      </c>
      <c r="I19"/>
    </row>
    <row r="20" spans="1:13" x14ac:dyDescent="0.3">
      <c r="A20" s="408"/>
      <c r="B20" s="409"/>
      <c r="C20" s="410"/>
      <c r="D20" s="410"/>
      <c r="E20" s="411" t="s">
        <v>113</v>
      </c>
      <c r="F20" s="411">
        <v>53</v>
      </c>
      <c r="G20" s="412"/>
      <c r="I20"/>
    </row>
    <row r="21" spans="1:13" ht="16.2" thickBot="1" x14ac:dyDescent="0.35">
      <c r="A21" s="403"/>
      <c r="B21" s="404"/>
      <c r="C21" s="405"/>
      <c r="D21" s="405"/>
      <c r="E21" s="406" t="s">
        <v>110</v>
      </c>
      <c r="F21" s="406">
        <v>62</v>
      </c>
      <c r="G21" s="407"/>
      <c r="I21"/>
    </row>
    <row r="22" spans="1:13" ht="16.2" thickBot="1" x14ac:dyDescent="0.35">
      <c r="A22" s="413"/>
      <c r="B22" s="414"/>
      <c r="C22" s="415" t="s">
        <v>40</v>
      </c>
      <c r="D22" s="415"/>
      <c r="E22" s="416"/>
      <c r="F22" s="416">
        <f>SUM(F15:F21)</f>
        <v>977</v>
      </c>
      <c r="G22" s="417">
        <f>SUM(G15:G21)</f>
        <v>977</v>
      </c>
      <c r="H22" s="418" t="s">
        <v>198</v>
      </c>
      <c r="I22" s="419"/>
      <c r="J22" s="200"/>
      <c r="K22" s="420"/>
      <c r="L22" s="421"/>
      <c r="M22" s="422"/>
    </row>
    <row r="23" spans="1:13" ht="16.2" thickBot="1" x14ac:dyDescent="0.35">
      <c r="H23" s="423" t="s">
        <v>131</v>
      </c>
      <c r="I23" s="424"/>
      <c r="J23" s="201"/>
      <c r="K23" s="425"/>
      <c r="L23" s="426"/>
      <c r="M23" s="427"/>
    </row>
  </sheetData>
  <sortState xmlns:xlrd2="http://schemas.microsoft.com/office/spreadsheetml/2017/richdata2" ref="A15:G21">
    <sortCondition ref="C15:C21"/>
  </sortState>
  <mergeCells count="17">
    <mergeCell ref="G15:G16"/>
    <mergeCell ref="G17:G18"/>
    <mergeCell ref="G19:G21"/>
    <mergeCell ref="B4:B11"/>
    <mergeCell ref="A4:A11"/>
    <mergeCell ref="B15:B16"/>
    <mergeCell ref="B17:B18"/>
    <mergeCell ref="B19:B21"/>
    <mergeCell ref="A19:A21"/>
    <mergeCell ref="C19:C21"/>
    <mergeCell ref="D19:D21"/>
    <mergeCell ref="A15:A16"/>
    <mergeCell ref="C15:C16"/>
    <mergeCell ref="D15:D16"/>
    <mergeCell ref="A17:A18"/>
    <mergeCell ref="C17:C18"/>
    <mergeCell ref="D17:D18"/>
  </mergeCells>
  <hyperlinks>
    <hyperlink ref="H8" location="'Quotations - v1.5 Peripheral'!A1" display="Quote" xr:uid="{00000000-0004-0000-0400-000000000000}"/>
    <hyperlink ref="H9" location="'Quotations - v1.5 Peripheral'!A1" display="Quote" xr:uid="{00000000-0004-0000-0400-000001000000}"/>
    <hyperlink ref="H10" location="'Quotations - v1.5 Peripheral'!A1" display="Quote" xr:uid="{00000000-0004-0000-0400-000002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L57"/>
  <sheetViews>
    <sheetView zoomScale="70" zoomScaleNormal="70" workbookViewId="0">
      <pane ySplit="1" topLeftCell="A25" activePane="bottomLeft" state="frozen"/>
      <selection pane="bottomLeft" activeCell="I35" sqref="I35"/>
    </sheetView>
  </sheetViews>
  <sheetFormatPr defaultRowHeight="15.6" x14ac:dyDescent="0.3"/>
  <cols>
    <col min="1" max="1" width="10.59765625" bestFit="1" customWidth="1"/>
    <col min="2" max="2" width="10.59765625" customWidth="1"/>
    <col min="3" max="3" width="66.8984375" bestFit="1" customWidth="1"/>
    <col min="4" max="4" width="54.3984375" bestFit="1" customWidth="1"/>
    <col min="5" max="5" width="18.59765625" bestFit="1" customWidth="1"/>
    <col min="6" max="6" width="7.59765625" style="43" bestFit="1" customWidth="1"/>
    <col min="7" max="7" width="9.3984375" bestFit="1" customWidth="1"/>
    <col min="8" max="8" width="51.59765625" bestFit="1" customWidth="1"/>
    <col min="9" max="9" width="7.3984375" style="46" bestFit="1" customWidth="1"/>
    <col min="10" max="10" width="9.8984375" bestFit="1" customWidth="1"/>
    <col min="11" max="11" width="8.69921875" style="62" bestFit="1" customWidth="1"/>
    <col min="12" max="12" width="8.69921875" style="62" customWidth="1"/>
    <col min="13" max="13" width="7.59765625" style="63" bestFit="1" customWidth="1"/>
    <col min="14" max="14" width="19.3984375" style="63" bestFit="1" customWidth="1"/>
    <col min="15" max="15" width="30.8984375" style="63" bestFit="1" customWidth="1"/>
    <col min="16" max="16" width="9.8984375" style="63" bestFit="1" customWidth="1"/>
    <col min="17" max="17" width="22.3984375" style="63" bestFit="1" customWidth="1"/>
  </cols>
  <sheetData>
    <row r="1" spans="1:90" s="64" customFormat="1" ht="21.6" thickBot="1" x14ac:dyDescent="0.45">
      <c r="A1" s="79" t="s">
        <v>103</v>
      </c>
      <c r="B1" s="79"/>
      <c r="C1" s="79"/>
      <c r="D1" s="79"/>
      <c r="E1" s="79"/>
      <c r="F1" s="80"/>
      <c r="G1" s="79"/>
      <c r="H1" s="79"/>
      <c r="I1" s="81"/>
      <c r="J1" s="79"/>
      <c r="K1" s="148"/>
      <c r="L1" s="445"/>
      <c r="M1" s="128"/>
      <c r="N1" s="128"/>
      <c r="O1" s="128"/>
      <c r="P1" s="128"/>
      <c r="Q1" s="128"/>
      <c r="Y1" s="439"/>
      <c r="Z1" s="439"/>
      <c r="AA1" s="439"/>
      <c r="AB1" s="439"/>
      <c r="AC1" s="439"/>
      <c r="AD1" s="439"/>
      <c r="AE1" s="439"/>
      <c r="AF1" s="439"/>
      <c r="AG1" s="439"/>
      <c r="AH1" s="439"/>
      <c r="AI1" s="439"/>
      <c r="AJ1" s="439"/>
      <c r="AK1" s="439"/>
      <c r="AL1" s="439"/>
      <c r="AM1" s="439"/>
      <c r="AN1" s="439"/>
      <c r="AO1" s="439"/>
      <c r="AP1" s="439"/>
      <c r="AQ1" s="439"/>
      <c r="AR1" s="439"/>
      <c r="AS1" s="439"/>
      <c r="AT1" s="439"/>
      <c r="AU1" s="439"/>
      <c r="AV1" s="439"/>
      <c r="AW1" s="439"/>
      <c r="AX1" s="439"/>
      <c r="AY1" s="439"/>
      <c r="AZ1" s="439"/>
      <c r="BA1" s="439"/>
      <c r="BB1" s="439"/>
      <c r="BC1" s="439"/>
      <c r="BD1" s="439"/>
      <c r="BE1" s="439"/>
      <c r="BF1" s="439"/>
      <c r="BG1" s="439"/>
      <c r="BH1" s="439"/>
      <c r="BI1" s="439"/>
      <c r="BJ1" s="439"/>
      <c r="BK1" s="439"/>
      <c r="BL1" s="439"/>
      <c r="BM1" s="439"/>
      <c r="BN1" s="439"/>
      <c r="BO1" s="439"/>
      <c r="BP1" s="439"/>
      <c r="BQ1" s="439"/>
      <c r="BR1" s="439"/>
      <c r="BS1" s="439"/>
      <c r="BT1" s="439"/>
      <c r="BU1" s="439"/>
      <c r="BV1" s="439"/>
      <c r="BW1" s="439"/>
      <c r="BX1" s="439"/>
      <c r="BY1" s="439"/>
      <c r="BZ1" s="439"/>
      <c r="CA1" s="439"/>
      <c r="CB1" s="439"/>
      <c r="CC1" s="439"/>
      <c r="CD1" s="439"/>
      <c r="CE1" s="439"/>
      <c r="CF1" s="439"/>
      <c r="CG1" s="439"/>
      <c r="CH1" s="439"/>
      <c r="CI1" s="439"/>
      <c r="CJ1" s="439"/>
      <c r="CK1" s="439"/>
      <c r="CL1" s="439"/>
    </row>
    <row r="2" spans="1:90" x14ac:dyDescent="0.3">
      <c r="A2" s="17" t="s">
        <v>16</v>
      </c>
      <c r="B2" s="370" t="s">
        <v>199</v>
      </c>
      <c r="C2" s="18" t="s">
        <v>17</v>
      </c>
      <c r="D2" s="18" t="s">
        <v>30</v>
      </c>
      <c r="E2" s="18" t="s">
        <v>31</v>
      </c>
      <c r="F2" s="40" t="s">
        <v>32</v>
      </c>
      <c r="G2" s="18" t="s">
        <v>33</v>
      </c>
      <c r="H2" s="18" t="s">
        <v>34</v>
      </c>
      <c r="I2" s="40" t="s">
        <v>32</v>
      </c>
      <c r="J2" s="41" t="s">
        <v>40</v>
      </c>
      <c r="K2" s="149"/>
      <c r="L2" s="446"/>
      <c r="N2" s="193" t="s">
        <v>179</v>
      </c>
      <c r="O2" s="193" t="s">
        <v>190</v>
      </c>
      <c r="Q2" s="107"/>
      <c r="Y2" s="440"/>
      <c r="Z2" s="440"/>
      <c r="AA2" s="440"/>
      <c r="AB2" s="440"/>
      <c r="AC2" s="440"/>
      <c r="AD2" s="440"/>
      <c r="AE2" s="440"/>
      <c r="AF2" s="440"/>
      <c r="AG2" s="440"/>
      <c r="AH2" s="440"/>
      <c r="AI2" s="440"/>
      <c r="AJ2" s="440"/>
      <c r="AK2" s="440"/>
      <c r="AL2" s="440"/>
      <c r="AM2" s="440"/>
      <c r="AN2" s="440"/>
      <c r="AO2" s="440"/>
      <c r="AP2" s="440"/>
      <c r="AQ2" s="440"/>
      <c r="AR2" s="440"/>
      <c r="AS2" s="440"/>
      <c r="AT2" s="440"/>
      <c r="AU2" s="440"/>
      <c r="AV2" s="440"/>
      <c r="AW2" s="440"/>
      <c r="AX2" s="440"/>
      <c r="AY2" s="440"/>
      <c r="AZ2" s="440"/>
      <c r="BA2" s="440"/>
      <c r="BB2" s="440"/>
      <c r="BC2" s="440"/>
      <c r="BD2" s="440"/>
      <c r="BE2" s="440"/>
      <c r="BF2" s="440"/>
      <c r="BG2" s="440"/>
      <c r="BH2" s="440"/>
      <c r="BI2" s="440"/>
      <c r="BJ2" s="440"/>
      <c r="BK2" s="440"/>
      <c r="BL2" s="440"/>
      <c r="BM2" s="440"/>
      <c r="BN2" s="440"/>
      <c r="BO2" s="440"/>
      <c r="BP2" s="440"/>
      <c r="BQ2" s="440"/>
      <c r="BR2" s="440"/>
      <c r="BS2" s="440"/>
      <c r="BT2" s="440"/>
      <c r="BU2" s="440"/>
      <c r="BV2" s="440"/>
      <c r="BW2" s="440"/>
      <c r="BX2" s="440"/>
      <c r="BY2" s="440"/>
      <c r="BZ2" s="440"/>
      <c r="CA2" s="440"/>
      <c r="CB2" s="440"/>
      <c r="CC2" s="440"/>
      <c r="CD2" s="440"/>
      <c r="CE2" s="440"/>
      <c r="CF2" s="440"/>
      <c r="CG2" s="440"/>
      <c r="CH2" s="440"/>
      <c r="CI2" s="440"/>
      <c r="CJ2" s="440"/>
      <c r="CK2" s="440"/>
      <c r="CL2" s="440"/>
    </row>
    <row r="3" spans="1:90" s="59" customFormat="1" ht="16.2" thickBot="1" x14ac:dyDescent="0.35">
      <c r="A3" s="54" t="s">
        <v>92</v>
      </c>
      <c r="B3" s="371"/>
      <c r="C3" s="55" t="s">
        <v>57</v>
      </c>
      <c r="D3" s="55"/>
      <c r="E3" s="55"/>
      <c r="F3" s="56"/>
      <c r="G3" s="55"/>
      <c r="H3" s="55"/>
      <c r="I3" s="60"/>
      <c r="J3" s="61">
        <f>SUM(I7:I30)</f>
        <v>78962.609999999986</v>
      </c>
      <c r="K3" s="150"/>
      <c r="L3" s="447"/>
      <c r="N3" s="63"/>
      <c r="O3" s="63">
        <f>O7+O25</f>
        <v>76524</v>
      </c>
      <c r="Q3" s="63"/>
      <c r="Y3" s="441"/>
      <c r="Z3" s="441"/>
      <c r="AA3" s="441"/>
      <c r="AB3" s="441"/>
      <c r="AC3" s="441"/>
      <c r="AD3" s="441"/>
      <c r="AE3" s="441"/>
      <c r="AF3" s="441"/>
      <c r="AG3" s="441"/>
      <c r="AH3" s="441"/>
      <c r="AI3" s="441"/>
      <c r="AJ3" s="441"/>
      <c r="AK3" s="441"/>
      <c r="AL3" s="441"/>
      <c r="AM3" s="441"/>
      <c r="AN3" s="441"/>
      <c r="AO3" s="441"/>
      <c r="AP3" s="441"/>
      <c r="AQ3" s="441"/>
      <c r="AR3" s="441"/>
      <c r="AS3" s="441"/>
      <c r="AT3" s="441"/>
      <c r="AU3" s="441"/>
      <c r="AV3" s="441"/>
      <c r="AW3" s="441"/>
      <c r="AX3" s="441"/>
      <c r="AY3" s="441"/>
      <c r="AZ3" s="441"/>
      <c r="BA3" s="441"/>
      <c r="BB3" s="441"/>
      <c r="BC3" s="441"/>
      <c r="BD3" s="441"/>
      <c r="BE3" s="441"/>
      <c r="BF3" s="441"/>
      <c r="BG3" s="441"/>
      <c r="BH3" s="441"/>
      <c r="BI3" s="441"/>
      <c r="BJ3" s="441"/>
      <c r="BK3" s="441"/>
      <c r="BL3" s="441"/>
      <c r="BM3" s="441"/>
      <c r="BN3" s="441"/>
      <c r="BO3" s="441"/>
      <c r="BP3" s="441"/>
      <c r="BQ3" s="441"/>
      <c r="BR3" s="441"/>
      <c r="BS3" s="441"/>
      <c r="BT3" s="441"/>
      <c r="BU3" s="441"/>
      <c r="BV3" s="441"/>
      <c r="BW3" s="441"/>
      <c r="BX3" s="441"/>
      <c r="BY3" s="441"/>
      <c r="BZ3" s="441"/>
      <c r="CA3" s="441"/>
      <c r="CB3" s="441"/>
      <c r="CC3" s="441"/>
      <c r="CD3" s="441"/>
      <c r="CE3" s="441"/>
      <c r="CF3" s="441"/>
      <c r="CG3" s="441"/>
      <c r="CH3" s="441"/>
      <c r="CI3" s="441"/>
      <c r="CJ3" s="441"/>
      <c r="CK3" s="441"/>
      <c r="CL3" s="441"/>
    </row>
    <row r="4" spans="1:90" s="59" customFormat="1" x14ac:dyDescent="0.3">
      <c r="A4" s="435" t="s">
        <v>92</v>
      </c>
      <c r="B4" s="442"/>
      <c r="C4" s="384" t="s">
        <v>130</v>
      </c>
      <c r="D4" s="384"/>
      <c r="E4" s="384"/>
      <c r="F4" s="385"/>
      <c r="G4" s="384"/>
      <c r="H4" s="384"/>
      <c r="I4" s="385">
        <f>SUM(F5:F6)</f>
        <v>13953.060000000001</v>
      </c>
      <c r="J4" s="436"/>
      <c r="K4" s="151" t="s">
        <v>200</v>
      </c>
      <c r="L4" s="448"/>
      <c r="N4" s="109"/>
      <c r="O4" s="193" t="s">
        <v>185</v>
      </c>
      <c r="P4" s="109"/>
      <c r="Q4" s="109"/>
      <c r="Y4" s="441"/>
      <c r="Z4" s="441"/>
      <c r="AA4" s="441"/>
      <c r="AB4" s="441"/>
      <c r="AC4" s="441"/>
      <c r="AD4" s="441"/>
      <c r="AE4" s="441"/>
      <c r="AF4" s="441"/>
      <c r="AG4" s="441"/>
      <c r="AH4" s="441"/>
      <c r="AI4" s="441"/>
      <c r="AJ4" s="441"/>
      <c r="AK4" s="441"/>
      <c r="AL4" s="441"/>
      <c r="AM4" s="441"/>
      <c r="AN4" s="441"/>
      <c r="AO4" s="441"/>
      <c r="AP4" s="441"/>
      <c r="AQ4" s="441"/>
      <c r="AR4" s="441"/>
      <c r="AS4" s="441"/>
      <c r="AT4" s="441"/>
      <c r="AU4" s="441"/>
      <c r="AV4" s="441"/>
      <c r="AW4" s="441"/>
      <c r="AX4" s="441"/>
      <c r="AY4" s="441"/>
      <c r="AZ4" s="441"/>
      <c r="BA4" s="441"/>
      <c r="BB4" s="441"/>
      <c r="BC4" s="441"/>
      <c r="BD4" s="441"/>
      <c r="BE4" s="441"/>
      <c r="BF4" s="441"/>
      <c r="BG4" s="441"/>
      <c r="BH4" s="441"/>
      <c r="BI4" s="441"/>
      <c r="BJ4" s="441"/>
      <c r="BK4" s="441"/>
      <c r="BL4" s="441"/>
      <c r="BM4" s="441"/>
      <c r="BN4" s="441"/>
      <c r="BO4" s="441"/>
      <c r="BP4" s="441"/>
      <c r="BQ4" s="441"/>
      <c r="BR4" s="441"/>
      <c r="BS4" s="441"/>
      <c r="BT4" s="441"/>
      <c r="BU4" s="441"/>
      <c r="BV4" s="441"/>
      <c r="BW4" s="441"/>
      <c r="BX4" s="441"/>
      <c r="BY4" s="441"/>
      <c r="BZ4" s="441"/>
      <c r="CA4" s="441"/>
      <c r="CB4" s="441"/>
      <c r="CC4" s="441"/>
      <c r="CD4" s="441"/>
      <c r="CE4" s="441"/>
      <c r="CF4" s="441"/>
      <c r="CG4" s="441"/>
      <c r="CH4" s="441"/>
      <c r="CI4" s="441"/>
      <c r="CJ4" s="441"/>
      <c r="CK4" s="441"/>
      <c r="CL4" s="441"/>
    </row>
    <row r="5" spans="1:90" s="78" customFormat="1" ht="14.4" x14ac:dyDescent="0.3">
      <c r="A5" s="47"/>
      <c r="B5" s="373"/>
      <c r="C5" s="48"/>
      <c r="D5" s="49" t="s">
        <v>181</v>
      </c>
      <c r="E5" s="49" t="s">
        <v>58</v>
      </c>
      <c r="F5" s="50">
        <f>7855.06</f>
        <v>7855.06</v>
      </c>
      <c r="G5" s="49" t="s">
        <v>35</v>
      </c>
      <c r="I5" s="50"/>
      <c r="J5" s="199"/>
      <c r="K5" s="437"/>
      <c r="L5" s="449"/>
      <c r="M5" s="112"/>
      <c r="N5" s="114"/>
      <c r="O5" s="438"/>
      <c r="P5" s="114"/>
      <c r="Q5" s="114"/>
      <c r="R5" s="112"/>
      <c r="S5" s="112"/>
      <c r="T5" s="112"/>
      <c r="U5" s="112"/>
      <c r="V5" s="112"/>
      <c r="W5" s="112"/>
      <c r="X5" s="112"/>
      <c r="Y5" s="112"/>
      <c r="Z5" s="112"/>
      <c r="AA5" s="112"/>
      <c r="AB5" s="112"/>
      <c r="AC5" s="112"/>
      <c r="AD5" s="112"/>
      <c r="AE5" s="112"/>
      <c r="AF5" s="112"/>
      <c r="AG5" s="112"/>
      <c r="AH5" s="112"/>
      <c r="AI5" s="112"/>
      <c r="AJ5" s="112"/>
      <c r="AK5" s="112"/>
      <c r="AL5" s="112"/>
      <c r="AM5" s="112"/>
      <c r="AN5" s="112"/>
      <c r="AO5" s="112"/>
      <c r="AP5" s="112"/>
      <c r="AQ5" s="112"/>
      <c r="AR5" s="112"/>
      <c r="AS5" s="112"/>
      <c r="AT5" s="112"/>
      <c r="AU5" s="112"/>
      <c r="AV5" s="112"/>
      <c r="AW5" s="112"/>
      <c r="AX5" s="112"/>
      <c r="AY5" s="112"/>
      <c r="AZ5" s="112"/>
      <c r="BA5" s="112"/>
      <c r="BB5" s="112"/>
      <c r="BC5" s="112"/>
      <c r="BD5" s="112"/>
      <c r="BE5" s="112"/>
      <c r="BF5" s="112"/>
      <c r="BG5" s="112"/>
      <c r="BH5" s="112"/>
      <c r="BI5" s="112"/>
      <c r="BJ5" s="112"/>
      <c r="BK5" s="112"/>
      <c r="BL5" s="112"/>
      <c r="BM5" s="112"/>
      <c r="BN5" s="112"/>
      <c r="BO5" s="112"/>
      <c r="BP5" s="112"/>
      <c r="BQ5" s="112"/>
      <c r="BR5" s="112"/>
      <c r="BS5" s="112"/>
      <c r="BT5" s="112"/>
      <c r="BU5" s="112"/>
      <c r="BV5" s="112"/>
      <c r="BW5" s="112"/>
      <c r="BX5" s="112"/>
      <c r="BY5" s="112"/>
      <c r="BZ5" s="112"/>
      <c r="CA5" s="112"/>
      <c r="CB5" s="112"/>
      <c r="CC5" s="112"/>
      <c r="CD5" s="112"/>
      <c r="CE5" s="112"/>
      <c r="CF5" s="112"/>
      <c r="CG5" s="112"/>
      <c r="CH5" s="112"/>
      <c r="CI5" s="112"/>
      <c r="CJ5" s="112"/>
      <c r="CK5" s="112"/>
      <c r="CL5" s="112"/>
    </row>
    <row r="6" spans="1:90" s="78" customFormat="1" ht="15" thickBot="1" x14ac:dyDescent="0.35">
      <c r="A6" s="47"/>
      <c r="B6" s="373"/>
      <c r="C6" s="389"/>
      <c r="D6" s="49" t="s">
        <v>182</v>
      </c>
      <c r="E6" s="49" t="s">
        <v>59</v>
      </c>
      <c r="F6" s="50">
        <v>6098</v>
      </c>
      <c r="G6" s="49" t="s">
        <v>35</v>
      </c>
      <c r="H6" s="49"/>
      <c r="I6" s="50"/>
      <c r="J6" s="199"/>
      <c r="K6" s="437"/>
      <c r="L6" s="449"/>
      <c r="M6" s="112"/>
      <c r="N6" s="114"/>
      <c r="O6" s="438"/>
      <c r="P6" s="114"/>
      <c r="Q6" s="114"/>
      <c r="R6" s="112"/>
      <c r="S6" s="112"/>
      <c r="T6" s="112"/>
      <c r="U6" s="112"/>
      <c r="V6" s="112"/>
      <c r="W6" s="112"/>
      <c r="X6" s="112"/>
      <c r="Y6" s="112"/>
      <c r="Z6" s="112"/>
      <c r="AA6" s="112"/>
      <c r="AB6" s="112"/>
      <c r="AC6" s="112"/>
      <c r="AD6" s="112"/>
      <c r="AE6" s="112"/>
      <c r="AF6" s="112"/>
      <c r="AG6" s="112"/>
      <c r="AH6" s="112"/>
      <c r="AI6" s="112"/>
      <c r="AJ6" s="112"/>
      <c r="AK6" s="112"/>
      <c r="AL6" s="112"/>
      <c r="AM6" s="112"/>
      <c r="AN6" s="112"/>
      <c r="AO6" s="112"/>
      <c r="AP6" s="112"/>
      <c r="AQ6" s="112"/>
      <c r="AR6" s="112"/>
      <c r="AS6" s="112"/>
      <c r="AT6" s="112"/>
      <c r="AU6" s="112"/>
      <c r="AV6" s="112"/>
      <c r="AW6" s="112"/>
      <c r="AX6" s="112"/>
      <c r="AY6" s="112"/>
      <c r="AZ6" s="112"/>
      <c r="BA6" s="112"/>
      <c r="BB6" s="112"/>
      <c r="BC6" s="112"/>
      <c r="BD6" s="112"/>
      <c r="BE6" s="112"/>
      <c r="BF6" s="112"/>
      <c r="BG6" s="112"/>
      <c r="BH6" s="112"/>
      <c r="BI6" s="112"/>
      <c r="BJ6" s="112"/>
      <c r="BK6" s="112"/>
      <c r="BL6" s="112"/>
      <c r="BM6" s="112"/>
      <c r="BN6" s="112"/>
      <c r="BO6" s="112"/>
      <c r="BP6" s="112"/>
      <c r="BQ6" s="112"/>
      <c r="BR6" s="112"/>
      <c r="BS6" s="112"/>
      <c r="BT6" s="112"/>
      <c r="BU6" s="112"/>
      <c r="BV6" s="112"/>
      <c r="BW6" s="112"/>
      <c r="BX6" s="112"/>
      <c r="BY6" s="112"/>
      <c r="BZ6" s="112"/>
      <c r="CA6" s="112"/>
      <c r="CB6" s="112"/>
      <c r="CC6" s="112"/>
      <c r="CD6" s="112"/>
      <c r="CE6" s="112"/>
      <c r="CF6" s="112"/>
      <c r="CG6" s="112"/>
      <c r="CH6" s="112"/>
      <c r="CI6" s="112"/>
      <c r="CJ6" s="112"/>
      <c r="CK6" s="112"/>
      <c r="CL6" s="112"/>
    </row>
    <row r="7" spans="1:90" s="66" customFormat="1" ht="15.6" customHeight="1" x14ac:dyDescent="0.3">
      <c r="A7" s="463" t="s">
        <v>92</v>
      </c>
      <c r="B7" s="456">
        <v>145700</v>
      </c>
      <c r="C7" s="57" t="s">
        <v>129</v>
      </c>
      <c r="D7" s="57">
        <v>10</v>
      </c>
      <c r="E7" s="57"/>
      <c r="F7" s="58"/>
      <c r="G7" s="57"/>
      <c r="H7" s="57"/>
      <c r="I7" s="58">
        <f>SUM(F8:F15)</f>
        <v>73523.499999999985</v>
      </c>
      <c r="J7" s="145"/>
      <c r="K7" s="151"/>
      <c r="L7" s="448"/>
      <c r="M7" s="121"/>
      <c r="N7" s="193">
        <f>SUM(N8:N15)</f>
        <v>7352.3499999999995</v>
      </c>
      <c r="O7" s="193">
        <v>75000</v>
      </c>
      <c r="P7" s="109"/>
      <c r="Q7" s="109"/>
      <c r="R7" s="121"/>
      <c r="S7" s="121"/>
      <c r="T7" s="121"/>
      <c r="U7" s="121"/>
      <c r="V7" s="121"/>
      <c r="W7" s="121"/>
      <c r="X7" s="121"/>
      <c r="Y7" s="121"/>
      <c r="Z7" s="121"/>
      <c r="AA7" s="121"/>
      <c r="AB7" s="121"/>
      <c r="AC7" s="121"/>
      <c r="AD7" s="121"/>
      <c r="AE7" s="121"/>
      <c r="AF7" s="121"/>
      <c r="AG7" s="121"/>
      <c r="AH7" s="121"/>
      <c r="AI7" s="121"/>
      <c r="AJ7" s="121"/>
      <c r="AK7" s="121"/>
      <c r="AL7" s="121"/>
      <c r="AM7" s="121"/>
      <c r="AN7" s="121"/>
      <c r="AO7" s="121"/>
      <c r="AP7" s="121"/>
      <c r="AQ7" s="121"/>
      <c r="AR7" s="121"/>
      <c r="AS7" s="121"/>
      <c r="AT7" s="121"/>
      <c r="AU7" s="121"/>
      <c r="AV7" s="121"/>
      <c r="AW7" s="121"/>
      <c r="AX7" s="121"/>
      <c r="AY7" s="121"/>
      <c r="AZ7" s="121"/>
      <c r="BA7" s="121"/>
      <c r="BB7" s="121"/>
      <c r="BC7" s="121"/>
      <c r="BD7" s="121"/>
      <c r="BE7" s="121"/>
      <c r="BF7" s="121"/>
      <c r="BG7" s="121"/>
      <c r="BH7" s="121"/>
      <c r="BI7" s="121"/>
      <c r="BJ7" s="121"/>
      <c r="BK7" s="121"/>
      <c r="BL7" s="121"/>
      <c r="BM7" s="121"/>
      <c r="BN7" s="121"/>
      <c r="BO7" s="121"/>
      <c r="BP7" s="121"/>
      <c r="BQ7" s="121"/>
      <c r="BR7" s="121"/>
      <c r="BS7" s="121"/>
      <c r="BT7" s="121"/>
      <c r="BU7" s="121"/>
      <c r="BV7" s="121"/>
      <c r="BW7" s="121"/>
      <c r="BX7" s="121"/>
      <c r="BY7" s="121"/>
      <c r="BZ7" s="121"/>
      <c r="CA7" s="121"/>
      <c r="CB7" s="121"/>
      <c r="CC7" s="121"/>
      <c r="CD7" s="121"/>
      <c r="CE7" s="121"/>
      <c r="CF7" s="121"/>
      <c r="CG7" s="121"/>
      <c r="CH7" s="121"/>
      <c r="CI7" s="121"/>
      <c r="CJ7" s="121"/>
      <c r="CK7" s="121"/>
      <c r="CL7" s="121"/>
    </row>
    <row r="8" spans="1:90" s="66" customFormat="1" x14ac:dyDescent="0.3">
      <c r="A8" s="464"/>
      <c r="B8" s="457"/>
      <c r="C8" s="71"/>
      <c r="D8" s="51" t="s">
        <v>161</v>
      </c>
      <c r="E8" s="51" t="s">
        <v>162</v>
      </c>
      <c r="F8" s="52">
        <f>(D7)*3337</f>
        <v>33370</v>
      </c>
      <c r="G8" s="51" t="s">
        <v>36</v>
      </c>
      <c r="H8" s="69" t="s">
        <v>163</v>
      </c>
      <c r="I8" s="52"/>
      <c r="J8" s="53"/>
      <c r="K8" s="120"/>
      <c r="L8" s="450"/>
      <c r="M8" s="121"/>
      <c r="N8" s="192">
        <f>F8/(D$7)</f>
        <v>3337</v>
      </c>
      <c r="O8" s="193"/>
      <c r="P8" s="132"/>
      <c r="Q8" s="132"/>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1"/>
      <c r="AQ8" s="121"/>
      <c r="AR8" s="121"/>
      <c r="AS8" s="121"/>
      <c r="AT8" s="121"/>
      <c r="AU8" s="121"/>
      <c r="AV8" s="121"/>
      <c r="AW8" s="121"/>
      <c r="AX8" s="121"/>
      <c r="AY8" s="121"/>
      <c r="AZ8" s="121"/>
      <c r="BA8" s="121"/>
      <c r="BB8" s="121"/>
      <c r="BC8" s="121"/>
      <c r="BD8" s="121"/>
      <c r="BE8" s="121"/>
      <c r="BF8" s="121"/>
      <c r="BG8" s="121"/>
      <c r="BH8" s="121"/>
      <c r="BI8" s="121"/>
      <c r="BJ8" s="121"/>
      <c r="BK8" s="121"/>
      <c r="BL8" s="121"/>
      <c r="BM8" s="121"/>
      <c r="BN8" s="121"/>
      <c r="BO8" s="121"/>
      <c r="BP8" s="121"/>
      <c r="BQ8" s="121"/>
      <c r="BR8" s="121"/>
      <c r="BS8" s="121"/>
      <c r="BT8" s="121"/>
      <c r="BU8" s="121"/>
      <c r="BV8" s="121"/>
      <c r="BW8" s="121"/>
      <c r="BX8" s="121"/>
      <c r="BY8" s="121"/>
      <c r="BZ8" s="121"/>
      <c r="CA8" s="121"/>
      <c r="CB8" s="121"/>
      <c r="CC8" s="121"/>
      <c r="CD8" s="121"/>
      <c r="CE8" s="121"/>
      <c r="CF8" s="121"/>
      <c r="CG8" s="121"/>
      <c r="CH8" s="121"/>
      <c r="CI8" s="121"/>
      <c r="CJ8" s="121"/>
      <c r="CK8" s="121"/>
      <c r="CL8" s="121"/>
    </row>
    <row r="9" spans="1:90" s="66" customFormat="1" x14ac:dyDescent="0.3">
      <c r="A9" s="464"/>
      <c r="B9" s="457"/>
      <c r="C9" s="71"/>
      <c r="D9" s="51" t="s">
        <v>164</v>
      </c>
      <c r="E9" s="51" t="s">
        <v>170</v>
      </c>
      <c r="F9" s="52">
        <f>D7*685.51</f>
        <v>6855.1</v>
      </c>
      <c r="G9" s="51" t="s">
        <v>36</v>
      </c>
      <c r="H9" s="69" t="s">
        <v>171</v>
      </c>
      <c r="I9" s="52"/>
      <c r="J9" s="53"/>
      <c r="K9" s="120"/>
      <c r="L9" s="450"/>
      <c r="M9" s="121"/>
      <c r="N9" s="192">
        <f>F9/(D$7)</f>
        <v>685.51</v>
      </c>
      <c r="O9" s="193"/>
      <c r="P9" s="132"/>
      <c r="Q9" s="132"/>
      <c r="R9" s="121"/>
      <c r="S9" s="121"/>
      <c r="T9" s="121"/>
      <c r="U9" s="121"/>
      <c r="V9" s="121"/>
      <c r="W9" s="121"/>
      <c r="X9" s="121"/>
      <c r="Y9" s="121"/>
      <c r="Z9" s="121"/>
      <c r="AA9" s="121"/>
      <c r="AB9" s="121"/>
      <c r="AC9" s="121"/>
      <c r="AD9" s="121"/>
      <c r="AE9" s="121"/>
      <c r="AF9" s="121"/>
      <c r="AG9" s="121"/>
      <c r="AH9" s="121"/>
      <c r="AI9" s="121"/>
      <c r="AJ9" s="121"/>
      <c r="AK9" s="121"/>
      <c r="AL9" s="121"/>
      <c r="AM9" s="121"/>
      <c r="AN9" s="121"/>
      <c r="AO9" s="121"/>
      <c r="AP9" s="121"/>
      <c r="AQ9" s="121"/>
      <c r="AR9" s="121"/>
      <c r="AS9" s="121"/>
      <c r="AT9" s="121"/>
      <c r="AU9" s="121"/>
      <c r="AV9" s="121"/>
      <c r="AW9" s="121"/>
      <c r="AX9" s="121"/>
      <c r="AY9" s="121"/>
      <c r="AZ9" s="121"/>
      <c r="BA9" s="121"/>
      <c r="BB9" s="121"/>
      <c r="BC9" s="121"/>
      <c r="BD9" s="121"/>
      <c r="BE9" s="121"/>
      <c r="BF9" s="121"/>
      <c r="BG9" s="121"/>
      <c r="BH9" s="121"/>
      <c r="BI9" s="121"/>
      <c r="BJ9" s="121"/>
      <c r="BK9" s="121"/>
      <c r="BL9" s="121"/>
      <c r="BM9" s="121"/>
      <c r="BN9" s="121"/>
      <c r="BO9" s="121"/>
      <c r="BP9" s="121"/>
      <c r="BQ9" s="121"/>
      <c r="BR9" s="121"/>
      <c r="BS9" s="121"/>
      <c r="BT9" s="121"/>
      <c r="BU9" s="121"/>
      <c r="BV9" s="121"/>
      <c r="BW9" s="121"/>
      <c r="BX9" s="121"/>
      <c r="BY9" s="121"/>
      <c r="BZ9" s="121"/>
      <c r="CA9" s="121"/>
      <c r="CB9" s="121"/>
      <c r="CC9" s="121"/>
      <c r="CD9" s="121"/>
      <c r="CE9" s="121"/>
      <c r="CF9" s="121"/>
      <c r="CG9" s="121"/>
      <c r="CH9" s="121"/>
      <c r="CI9" s="121"/>
      <c r="CJ9" s="121"/>
      <c r="CK9" s="121"/>
      <c r="CL9" s="121"/>
    </row>
    <row r="10" spans="1:90" s="66" customFormat="1" x14ac:dyDescent="0.3">
      <c r="A10" s="464"/>
      <c r="B10" s="457"/>
      <c r="C10" s="71"/>
      <c r="D10" s="51" t="s">
        <v>172</v>
      </c>
      <c r="E10" s="51" t="s">
        <v>162</v>
      </c>
      <c r="F10" s="52">
        <f>789.96*D7</f>
        <v>7899.6</v>
      </c>
      <c r="G10" s="51" t="s">
        <v>36</v>
      </c>
      <c r="H10" s="69" t="s">
        <v>174</v>
      </c>
      <c r="I10" s="52"/>
      <c r="J10" s="53"/>
      <c r="K10" s="120"/>
      <c r="L10" s="450"/>
      <c r="M10" s="121"/>
      <c r="N10" s="192">
        <f>F10/(D$7)</f>
        <v>789.96</v>
      </c>
      <c r="O10" s="193"/>
      <c r="P10" s="132"/>
      <c r="Q10" s="132"/>
      <c r="R10" s="121"/>
      <c r="S10" s="121"/>
      <c r="T10" s="121"/>
      <c r="U10" s="121"/>
      <c r="V10" s="121"/>
      <c r="W10" s="121"/>
      <c r="X10" s="121"/>
      <c r="Y10" s="121"/>
      <c r="Z10" s="121"/>
      <c r="AA10" s="121"/>
      <c r="AB10" s="121"/>
      <c r="AC10" s="121"/>
      <c r="AD10" s="121"/>
      <c r="AE10" s="121"/>
      <c r="AF10" s="121"/>
      <c r="AG10" s="121"/>
      <c r="AH10" s="121"/>
      <c r="AI10" s="121"/>
      <c r="AJ10" s="121"/>
      <c r="AK10" s="121"/>
      <c r="AL10" s="121"/>
      <c r="AM10" s="121"/>
      <c r="AN10" s="121"/>
      <c r="AO10" s="121"/>
      <c r="AP10" s="121"/>
      <c r="AQ10" s="121"/>
      <c r="AR10" s="121"/>
      <c r="AS10" s="121"/>
      <c r="AT10" s="121"/>
      <c r="AU10" s="121"/>
      <c r="AV10" s="121"/>
      <c r="AW10" s="121"/>
      <c r="AX10" s="121"/>
      <c r="AY10" s="121"/>
      <c r="AZ10" s="121"/>
      <c r="BA10" s="121"/>
      <c r="BB10" s="121"/>
      <c r="BC10" s="121"/>
      <c r="BD10" s="121"/>
      <c r="BE10" s="121"/>
      <c r="BF10" s="121"/>
      <c r="BG10" s="121"/>
      <c r="BH10" s="121"/>
      <c r="BI10" s="121"/>
      <c r="BJ10" s="121"/>
      <c r="BK10" s="121"/>
      <c r="BL10" s="121"/>
      <c r="BM10" s="121"/>
      <c r="BN10" s="121"/>
      <c r="BO10" s="121"/>
      <c r="BP10" s="121"/>
      <c r="BQ10" s="121"/>
      <c r="BR10" s="121"/>
      <c r="BS10" s="121"/>
      <c r="BT10" s="121"/>
      <c r="BU10" s="121"/>
      <c r="BV10" s="121"/>
      <c r="BW10" s="121"/>
      <c r="BX10" s="121"/>
      <c r="BY10" s="121"/>
      <c r="BZ10" s="121"/>
      <c r="CA10" s="121"/>
      <c r="CB10" s="121"/>
      <c r="CC10" s="121"/>
      <c r="CD10" s="121"/>
      <c r="CE10" s="121"/>
      <c r="CF10" s="121"/>
      <c r="CG10" s="121"/>
      <c r="CH10" s="121"/>
      <c r="CI10" s="121"/>
      <c r="CJ10" s="121"/>
      <c r="CK10" s="121"/>
      <c r="CL10" s="121"/>
    </row>
    <row r="11" spans="1:90" s="66" customFormat="1" x14ac:dyDescent="0.3">
      <c r="A11" s="464"/>
      <c r="B11" s="457"/>
      <c r="C11" s="71"/>
      <c r="D11" s="51" t="s">
        <v>173</v>
      </c>
      <c r="E11" s="51" t="s">
        <v>162</v>
      </c>
      <c r="F11" s="52">
        <f>518.36*D7</f>
        <v>5183.6000000000004</v>
      </c>
      <c r="G11" s="51" t="s">
        <v>36</v>
      </c>
      <c r="H11" s="69" t="s">
        <v>174</v>
      </c>
      <c r="I11" s="52"/>
      <c r="J11" s="53"/>
      <c r="K11" s="120"/>
      <c r="L11" s="450"/>
      <c r="M11" s="121"/>
      <c r="N11" s="192">
        <f>F11/(D$7)</f>
        <v>518.36</v>
      </c>
      <c r="O11" s="193"/>
      <c r="P11" s="132"/>
      <c r="Q11" s="132"/>
      <c r="R11" s="121"/>
      <c r="S11" s="121"/>
      <c r="T11" s="121"/>
      <c r="U11" s="121"/>
      <c r="V11" s="121"/>
      <c r="W11" s="121"/>
      <c r="X11" s="121"/>
      <c r="Y11" s="121"/>
      <c r="Z11" s="121"/>
      <c r="AA11" s="121"/>
      <c r="AB11" s="121"/>
      <c r="AC11" s="121"/>
      <c r="AD11" s="121"/>
      <c r="AE11" s="121"/>
      <c r="AF11" s="121"/>
      <c r="AG11" s="121"/>
      <c r="AH11" s="121"/>
      <c r="AI11" s="121"/>
      <c r="AJ11" s="121"/>
      <c r="AK11" s="121"/>
      <c r="AL11" s="121"/>
      <c r="AM11" s="121"/>
      <c r="AN11" s="121"/>
      <c r="AO11" s="121"/>
      <c r="AP11" s="121"/>
      <c r="AQ11" s="121"/>
      <c r="AR11" s="121"/>
      <c r="AS11" s="121"/>
      <c r="AT11" s="121"/>
      <c r="AU11" s="121"/>
      <c r="AV11" s="121"/>
      <c r="AW11" s="121"/>
      <c r="AX11" s="121"/>
      <c r="AY11" s="121"/>
      <c r="AZ11" s="121"/>
      <c r="BA11" s="121"/>
      <c r="BB11" s="121"/>
      <c r="BC11" s="121"/>
      <c r="BD11" s="121"/>
      <c r="BE11" s="121"/>
      <c r="BF11" s="121"/>
      <c r="BG11" s="121"/>
      <c r="BH11" s="121"/>
      <c r="BI11" s="121"/>
      <c r="BJ11" s="121"/>
      <c r="BK11" s="121"/>
      <c r="BL11" s="121"/>
      <c r="BM11" s="121"/>
      <c r="BN11" s="121"/>
      <c r="BO11" s="121"/>
      <c r="BP11" s="121"/>
      <c r="BQ11" s="121"/>
      <c r="BR11" s="121"/>
      <c r="BS11" s="121"/>
      <c r="BT11" s="121"/>
      <c r="BU11" s="121"/>
      <c r="BV11" s="121"/>
      <c r="BW11" s="121"/>
      <c r="BX11" s="121"/>
      <c r="BY11" s="121"/>
      <c r="BZ11" s="121"/>
      <c r="CA11" s="121"/>
      <c r="CB11" s="121"/>
      <c r="CC11" s="121"/>
      <c r="CD11" s="121"/>
      <c r="CE11" s="121"/>
      <c r="CF11" s="121"/>
      <c r="CG11" s="121"/>
      <c r="CH11" s="121"/>
      <c r="CI11" s="121"/>
      <c r="CJ11" s="121"/>
      <c r="CK11" s="121"/>
      <c r="CL11" s="121"/>
    </row>
    <row r="12" spans="1:90" s="66" customFormat="1" ht="14.4" x14ac:dyDescent="0.3">
      <c r="A12" s="464"/>
      <c r="B12" s="457"/>
      <c r="C12" s="71"/>
      <c r="D12" s="51" t="s">
        <v>167</v>
      </c>
      <c r="E12" s="51" t="s">
        <v>169</v>
      </c>
      <c r="F12" s="52">
        <f>D7*851.98</f>
        <v>8519.7999999999993</v>
      </c>
      <c r="G12" s="51" t="s">
        <v>36</v>
      </c>
      <c r="H12" s="51" t="s">
        <v>175</v>
      </c>
      <c r="I12" s="52"/>
      <c r="J12" s="53"/>
      <c r="K12" s="120"/>
      <c r="L12" s="450"/>
      <c r="M12" s="121"/>
      <c r="N12" s="192">
        <f>F12/(D$7)</f>
        <v>851.9799999999999</v>
      </c>
      <c r="O12" s="193"/>
      <c r="P12" s="132"/>
      <c r="Q12" s="132"/>
      <c r="R12" s="121"/>
      <c r="S12" s="121"/>
      <c r="T12" s="121"/>
      <c r="U12" s="121"/>
      <c r="V12" s="121"/>
      <c r="W12" s="121"/>
      <c r="X12" s="121"/>
      <c r="Y12" s="121"/>
      <c r="Z12" s="121"/>
      <c r="AA12" s="121"/>
      <c r="AB12" s="121"/>
      <c r="AC12" s="121"/>
      <c r="AD12" s="121"/>
      <c r="AE12" s="121"/>
      <c r="AF12" s="121"/>
      <c r="AG12" s="121"/>
      <c r="AH12" s="121"/>
      <c r="AI12" s="121"/>
      <c r="AJ12" s="121"/>
      <c r="AK12" s="121"/>
      <c r="AL12" s="121"/>
      <c r="AM12" s="121"/>
      <c r="AN12" s="121"/>
      <c r="AO12" s="121"/>
      <c r="AP12" s="121"/>
      <c r="AQ12" s="121"/>
      <c r="AR12" s="121"/>
      <c r="AS12" s="121"/>
      <c r="AT12" s="121"/>
      <c r="AU12" s="121"/>
      <c r="AV12" s="121"/>
      <c r="AW12" s="121"/>
      <c r="AX12" s="121"/>
      <c r="AY12" s="121"/>
      <c r="AZ12" s="121"/>
      <c r="BA12" s="121"/>
      <c r="BB12" s="121"/>
      <c r="BC12" s="121"/>
      <c r="BD12" s="121"/>
      <c r="BE12" s="121"/>
      <c r="BF12" s="121"/>
      <c r="BG12" s="121"/>
      <c r="BH12" s="121"/>
      <c r="BI12" s="121"/>
      <c r="BJ12" s="121"/>
      <c r="BK12" s="121"/>
      <c r="BL12" s="121"/>
      <c r="BM12" s="121"/>
      <c r="BN12" s="121"/>
      <c r="BO12" s="121"/>
      <c r="BP12" s="121"/>
      <c r="BQ12" s="121"/>
      <c r="BR12" s="121"/>
      <c r="BS12" s="121"/>
      <c r="BT12" s="121"/>
      <c r="BU12" s="121"/>
      <c r="BV12" s="121"/>
      <c r="BW12" s="121"/>
      <c r="BX12" s="121"/>
      <c r="BY12" s="121"/>
      <c r="BZ12" s="121"/>
      <c r="CA12" s="121"/>
      <c r="CB12" s="121"/>
      <c r="CC12" s="121"/>
      <c r="CD12" s="121"/>
      <c r="CE12" s="121"/>
      <c r="CF12" s="121"/>
      <c r="CG12" s="121"/>
      <c r="CH12" s="121"/>
      <c r="CI12" s="121"/>
      <c r="CJ12" s="121"/>
      <c r="CK12" s="121"/>
      <c r="CL12" s="121"/>
    </row>
    <row r="13" spans="1:90" s="59" customFormat="1" x14ac:dyDescent="0.3">
      <c r="A13" s="464"/>
      <c r="B13" s="457"/>
      <c r="C13" s="71"/>
      <c r="D13" s="51" t="s">
        <v>165</v>
      </c>
      <c r="E13" s="51" t="s">
        <v>166</v>
      </c>
      <c r="F13" s="52">
        <f>D7*822.5</f>
        <v>8225</v>
      </c>
      <c r="G13" s="51" t="s">
        <v>36</v>
      </c>
      <c r="H13" s="51" t="s">
        <v>175</v>
      </c>
      <c r="I13" s="52"/>
      <c r="J13" s="53"/>
      <c r="K13" s="120"/>
      <c r="L13" s="450"/>
      <c r="M13" s="121"/>
      <c r="N13" s="192">
        <f>F13/(D$7)</f>
        <v>822.5</v>
      </c>
      <c r="O13" s="193"/>
      <c r="P13" s="132"/>
      <c r="Q13" s="132"/>
      <c r="Y13" s="441"/>
      <c r="Z13" s="441"/>
      <c r="AA13" s="441"/>
      <c r="AB13" s="441"/>
      <c r="AC13" s="441"/>
      <c r="AD13" s="441"/>
      <c r="AE13" s="441"/>
      <c r="AF13" s="441"/>
      <c r="AG13" s="441"/>
      <c r="AH13" s="441"/>
      <c r="AI13" s="441"/>
      <c r="AJ13" s="441"/>
      <c r="AK13" s="441"/>
      <c r="AL13" s="441"/>
      <c r="AM13" s="441"/>
      <c r="AN13" s="441"/>
      <c r="AO13" s="441"/>
      <c r="AP13" s="441"/>
      <c r="AQ13" s="441"/>
      <c r="AR13" s="441"/>
      <c r="AS13" s="441"/>
      <c r="AT13" s="441"/>
      <c r="AU13" s="441"/>
      <c r="AV13" s="441"/>
      <c r="AW13" s="441"/>
      <c r="AX13" s="441"/>
      <c r="AY13" s="441"/>
      <c r="AZ13" s="441"/>
      <c r="BA13" s="441"/>
      <c r="BB13" s="441"/>
      <c r="BC13" s="441"/>
      <c r="BD13" s="441"/>
      <c r="BE13" s="441"/>
      <c r="BF13" s="441"/>
      <c r="BG13" s="441"/>
      <c r="BH13" s="441"/>
      <c r="BI13" s="441"/>
      <c r="BJ13" s="441"/>
      <c r="BK13" s="441"/>
      <c r="BL13" s="441"/>
      <c r="BM13" s="441"/>
      <c r="BN13" s="441"/>
      <c r="BO13" s="441"/>
      <c r="BP13" s="441"/>
      <c r="BQ13" s="441"/>
      <c r="BR13" s="441"/>
      <c r="BS13" s="441"/>
      <c r="BT13" s="441"/>
      <c r="BU13" s="441"/>
      <c r="BV13" s="441"/>
      <c r="BW13" s="441"/>
      <c r="BX13" s="441"/>
      <c r="BY13" s="441"/>
      <c r="BZ13" s="441"/>
      <c r="CA13" s="441"/>
      <c r="CB13" s="441"/>
      <c r="CC13" s="441"/>
      <c r="CD13" s="441"/>
      <c r="CE13" s="441"/>
      <c r="CF13" s="441"/>
      <c r="CG13" s="441"/>
      <c r="CH13" s="441"/>
      <c r="CI13" s="441"/>
      <c r="CJ13" s="441"/>
      <c r="CK13" s="441"/>
      <c r="CL13" s="441"/>
    </row>
    <row r="14" spans="1:90" s="59" customFormat="1" x14ac:dyDescent="0.3">
      <c r="A14" s="464"/>
      <c r="B14" s="457"/>
      <c r="C14" s="71"/>
      <c r="D14" s="51" t="str">
        <f>D48</f>
        <v>MTP-48(M) to 4 x PRIZM-12 Fiber Assembly</v>
      </c>
      <c r="E14" s="51" t="s">
        <v>51</v>
      </c>
      <c r="F14" s="169">
        <f>D$7*'Production--Details'!I57</f>
        <v>1782</v>
      </c>
      <c r="G14" s="51" t="s">
        <v>36</v>
      </c>
      <c r="H14" s="69" t="str">
        <f>CONCATENATE("Quote: ",E48)</f>
        <v>Quote: CCI/1000681-L</v>
      </c>
      <c r="I14" s="52"/>
      <c r="J14" s="53"/>
      <c r="K14" s="120"/>
      <c r="L14" s="450"/>
      <c r="M14" s="121"/>
      <c r="N14" s="192">
        <f>F14/(D$7)</f>
        <v>178.2</v>
      </c>
      <c r="O14" s="193"/>
      <c r="P14" s="132"/>
      <c r="Q14" s="132"/>
      <c r="Y14" s="441"/>
      <c r="Z14" s="441"/>
      <c r="AA14" s="441"/>
      <c r="AB14" s="441"/>
      <c r="AC14" s="441"/>
      <c r="AD14" s="441"/>
      <c r="AE14" s="441"/>
      <c r="AF14" s="441"/>
      <c r="AG14" s="441"/>
      <c r="AH14" s="441"/>
      <c r="AI14" s="441"/>
      <c r="AJ14" s="441"/>
      <c r="AK14" s="441"/>
      <c r="AL14" s="441"/>
      <c r="AM14" s="441"/>
      <c r="AN14" s="441"/>
      <c r="AO14" s="441"/>
      <c r="AP14" s="441"/>
      <c r="AQ14" s="441"/>
      <c r="AR14" s="441"/>
      <c r="AS14" s="441"/>
      <c r="AT14" s="441"/>
      <c r="AU14" s="441"/>
      <c r="AV14" s="441"/>
      <c r="AW14" s="441"/>
      <c r="AX14" s="441"/>
      <c r="AY14" s="441"/>
      <c r="AZ14" s="441"/>
      <c r="BA14" s="441"/>
      <c r="BB14" s="441"/>
      <c r="BC14" s="441"/>
      <c r="BD14" s="441"/>
      <c r="BE14" s="441"/>
      <c r="BF14" s="441"/>
      <c r="BG14" s="441"/>
      <c r="BH14" s="441"/>
      <c r="BI14" s="441"/>
      <c r="BJ14" s="441"/>
      <c r="BK14" s="441"/>
      <c r="BL14" s="441"/>
      <c r="BM14" s="441"/>
      <c r="BN14" s="441"/>
      <c r="BO14" s="441"/>
      <c r="BP14" s="441"/>
      <c r="BQ14" s="441"/>
      <c r="BR14" s="441"/>
      <c r="BS14" s="441"/>
      <c r="BT14" s="441"/>
      <c r="BU14" s="441"/>
      <c r="BV14" s="441"/>
      <c r="BW14" s="441"/>
      <c r="BX14" s="441"/>
      <c r="BY14" s="441"/>
      <c r="BZ14" s="441"/>
      <c r="CA14" s="441"/>
      <c r="CB14" s="441"/>
      <c r="CC14" s="441"/>
      <c r="CD14" s="441"/>
      <c r="CE14" s="441"/>
      <c r="CF14" s="441"/>
      <c r="CG14" s="441"/>
      <c r="CH14" s="441"/>
      <c r="CI14" s="441"/>
      <c r="CJ14" s="441"/>
      <c r="CK14" s="441"/>
      <c r="CL14" s="441"/>
    </row>
    <row r="15" spans="1:90" s="59" customFormat="1" ht="18" customHeight="1" thickBot="1" x14ac:dyDescent="0.35">
      <c r="A15" s="465"/>
      <c r="B15" s="458"/>
      <c r="C15" s="71"/>
      <c r="D15" s="51" t="str">
        <f>D49</f>
        <v>MTP-48(M) to 4 x PRIZM-12 Fiber Assembly</v>
      </c>
      <c r="E15" s="51" t="s">
        <v>51</v>
      </c>
      <c r="F15" s="169">
        <f>D$7*'Production--Details'!I58</f>
        <v>1688.4</v>
      </c>
      <c r="G15" s="51" t="s">
        <v>36</v>
      </c>
      <c r="H15" s="69" t="str">
        <f>CONCATENATE("Quote: ",E49)</f>
        <v>Quote: CCI/1000681-S</v>
      </c>
      <c r="I15" s="52"/>
      <c r="J15" s="53"/>
      <c r="K15" s="452"/>
      <c r="L15" s="450"/>
      <c r="M15" s="121"/>
      <c r="N15" s="192">
        <f>F15/(D$7)</f>
        <v>168.84</v>
      </c>
      <c r="O15" s="193"/>
      <c r="P15" s="132"/>
      <c r="Q15" s="132"/>
      <c r="Y15" s="441"/>
      <c r="Z15" s="441"/>
      <c r="AA15" s="441"/>
      <c r="AB15" s="441"/>
      <c r="AC15" s="441"/>
      <c r="AD15" s="441"/>
      <c r="AE15" s="441"/>
      <c r="AF15" s="441"/>
      <c r="AG15" s="441"/>
      <c r="AH15" s="441"/>
      <c r="AI15" s="441"/>
      <c r="AJ15" s="441"/>
      <c r="AK15" s="441"/>
      <c r="AL15" s="441"/>
      <c r="AM15" s="441"/>
      <c r="AN15" s="441"/>
      <c r="AO15" s="441"/>
      <c r="AP15" s="441"/>
      <c r="AQ15" s="441"/>
      <c r="AR15" s="441"/>
      <c r="AS15" s="441"/>
      <c r="AT15" s="441"/>
      <c r="AU15" s="441"/>
      <c r="AV15" s="441"/>
      <c r="AW15" s="441"/>
      <c r="AX15" s="441"/>
      <c r="AY15" s="441"/>
      <c r="AZ15" s="441"/>
      <c r="BA15" s="441"/>
      <c r="BB15" s="441"/>
      <c r="BC15" s="441"/>
      <c r="BD15" s="441"/>
      <c r="BE15" s="441"/>
      <c r="BF15" s="441"/>
      <c r="BG15" s="441"/>
      <c r="BH15" s="441"/>
      <c r="BI15" s="441"/>
      <c r="BJ15" s="441"/>
      <c r="BK15" s="441"/>
      <c r="BL15" s="441"/>
      <c r="BM15" s="441"/>
      <c r="BN15" s="441"/>
      <c r="BO15" s="441"/>
      <c r="BP15" s="441"/>
      <c r="BQ15" s="441"/>
      <c r="BR15" s="441"/>
      <c r="BS15" s="441"/>
      <c r="BT15" s="441"/>
      <c r="BU15" s="441"/>
      <c r="BV15" s="441"/>
      <c r="BW15" s="441"/>
      <c r="BX15" s="441"/>
      <c r="BY15" s="441"/>
      <c r="BZ15" s="441"/>
      <c r="CA15" s="441"/>
      <c r="CB15" s="441"/>
      <c r="CC15" s="441"/>
      <c r="CD15" s="441"/>
      <c r="CE15" s="441"/>
      <c r="CF15" s="441"/>
      <c r="CG15" s="441"/>
      <c r="CH15" s="441"/>
      <c r="CI15" s="441"/>
      <c r="CJ15" s="441"/>
      <c r="CK15" s="441"/>
      <c r="CL15" s="441"/>
    </row>
    <row r="16" spans="1:90" s="66" customFormat="1" ht="16.2" customHeight="1" thickBot="1" x14ac:dyDescent="0.35">
      <c r="A16" s="466" t="s">
        <v>92</v>
      </c>
      <c r="B16" s="459" t="s">
        <v>202</v>
      </c>
      <c r="C16" s="372" t="s">
        <v>180</v>
      </c>
      <c r="D16" s="57">
        <v>2</v>
      </c>
      <c r="E16" s="57"/>
      <c r="F16" s="58"/>
      <c r="G16" s="57"/>
      <c r="H16" s="202"/>
      <c r="I16" s="58">
        <f>SUM(F17:F24)</f>
        <v>2875.76</v>
      </c>
      <c r="J16" s="145"/>
      <c r="K16" s="453" t="s">
        <v>201</v>
      </c>
      <c r="L16" s="454"/>
      <c r="M16" s="455"/>
      <c r="N16" s="198">
        <f>I16/D16</f>
        <v>1437.88</v>
      </c>
      <c r="O16" s="193" t="s">
        <v>184</v>
      </c>
      <c r="P16" s="109"/>
      <c r="Q16" s="109"/>
      <c r="R16" s="121"/>
      <c r="S16" s="121"/>
      <c r="T16" s="121"/>
      <c r="U16" s="121"/>
      <c r="V16" s="121"/>
      <c r="W16" s="121"/>
      <c r="X16" s="121"/>
      <c r="Y16" s="121"/>
      <c r="Z16" s="121"/>
      <c r="AA16" s="121"/>
      <c r="AB16" s="121"/>
      <c r="AC16" s="121"/>
      <c r="AD16" s="121"/>
      <c r="AE16" s="121"/>
      <c r="AF16" s="121"/>
      <c r="AG16" s="121"/>
      <c r="AH16" s="121"/>
      <c r="AI16" s="121"/>
      <c r="AJ16" s="121"/>
      <c r="AK16" s="121"/>
      <c r="AL16" s="121"/>
      <c r="AM16" s="121"/>
      <c r="AN16" s="121"/>
      <c r="AO16" s="121"/>
      <c r="AP16" s="121"/>
      <c r="AQ16" s="121"/>
      <c r="AR16" s="121"/>
      <c r="AS16" s="121"/>
      <c r="AT16" s="121"/>
      <c r="AU16" s="121"/>
      <c r="AV16" s="121"/>
      <c r="AW16" s="121"/>
      <c r="AX16" s="121"/>
      <c r="AY16" s="121"/>
      <c r="AZ16" s="121"/>
      <c r="BA16" s="121"/>
      <c r="BB16" s="121"/>
      <c r="BC16" s="121"/>
      <c r="BD16" s="121"/>
      <c r="BE16" s="121"/>
      <c r="BF16" s="121"/>
      <c r="BG16" s="121"/>
      <c r="BH16" s="121"/>
      <c r="BI16" s="121"/>
      <c r="BJ16" s="121"/>
      <c r="BK16" s="121"/>
      <c r="BL16" s="121"/>
      <c r="BM16" s="121"/>
      <c r="BN16" s="121"/>
      <c r="BO16" s="121"/>
      <c r="BP16" s="121"/>
      <c r="BQ16" s="121"/>
      <c r="BR16" s="121"/>
      <c r="BS16" s="121"/>
      <c r="BT16" s="121"/>
      <c r="BU16" s="121"/>
      <c r="BV16" s="121"/>
      <c r="BW16" s="121"/>
      <c r="BX16" s="121"/>
      <c r="BY16" s="121"/>
      <c r="BZ16" s="121"/>
      <c r="CA16" s="121"/>
      <c r="CB16" s="121"/>
      <c r="CC16" s="121"/>
      <c r="CD16" s="121"/>
      <c r="CE16" s="121"/>
      <c r="CF16" s="121"/>
      <c r="CG16" s="121"/>
      <c r="CH16" s="121"/>
      <c r="CI16" s="121"/>
      <c r="CJ16" s="121"/>
      <c r="CK16" s="121"/>
      <c r="CL16" s="121"/>
    </row>
    <row r="17" spans="1:90" s="59" customFormat="1" x14ac:dyDescent="0.3">
      <c r="A17" s="467"/>
      <c r="B17" s="460"/>
      <c r="C17" s="189"/>
      <c r="D17" s="197" t="str">
        <f>D50</f>
        <v>48-fiber MTP (F)-MTP (F) on OM3 cable, Polarity straight, 3m</v>
      </c>
      <c r="E17" s="51" t="s">
        <v>51</v>
      </c>
      <c r="F17" s="169">
        <f>H50</f>
        <v>406.4</v>
      </c>
      <c r="G17" s="51" t="s">
        <v>36</v>
      </c>
      <c r="H17" s="69" t="str">
        <f>CONCATENATE("Quote: ",E50)</f>
        <v>Quote: CCI/T40408PF48-003</v>
      </c>
      <c r="I17" s="169"/>
      <c r="J17" s="170"/>
      <c r="K17" s="152"/>
      <c r="L17" s="450"/>
      <c r="M17" s="121"/>
      <c r="N17" s="196">
        <f>F17/D$16</f>
        <v>203.2</v>
      </c>
      <c r="O17" s="193"/>
      <c r="P17" s="132"/>
      <c r="Q17" s="132"/>
      <c r="Y17" s="441"/>
      <c r="Z17" s="441"/>
      <c r="AA17" s="441"/>
      <c r="AB17" s="441"/>
      <c r="AC17" s="441"/>
      <c r="AD17" s="441"/>
      <c r="AE17" s="441"/>
      <c r="AF17" s="441"/>
      <c r="AG17" s="441"/>
      <c r="AH17" s="441"/>
      <c r="AI17" s="441"/>
      <c r="AJ17" s="441"/>
      <c r="AK17" s="441"/>
      <c r="AL17" s="441"/>
      <c r="AM17" s="441"/>
      <c r="AN17" s="441"/>
      <c r="AO17" s="441"/>
      <c r="AP17" s="441"/>
      <c r="AQ17" s="441"/>
      <c r="AR17" s="441"/>
      <c r="AS17" s="441"/>
      <c r="AT17" s="441"/>
      <c r="AU17" s="441"/>
      <c r="AV17" s="441"/>
      <c r="AW17" s="441"/>
      <c r="AX17" s="441"/>
      <c r="AY17" s="441"/>
      <c r="AZ17" s="441"/>
      <c r="BA17" s="441"/>
      <c r="BB17" s="441"/>
      <c r="BC17" s="441"/>
      <c r="BD17" s="441"/>
      <c r="BE17" s="441"/>
      <c r="BF17" s="441"/>
      <c r="BG17" s="441"/>
      <c r="BH17" s="441"/>
      <c r="BI17" s="441"/>
      <c r="BJ17" s="441"/>
      <c r="BK17" s="441"/>
      <c r="BL17" s="441"/>
      <c r="BM17" s="441"/>
      <c r="BN17" s="441"/>
      <c r="BO17" s="441"/>
      <c r="BP17" s="441"/>
      <c r="BQ17" s="441"/>
      <c r="BR17" s="441"/>
      <c r="BS17" s="441"/>
      <c r="BT17" s="441"/>
      <c r="BU17" s="441"/>
      <c r="BV17" s="441"/>
      <c r="BW17" s="441"/>
      <c r="BX17" s="441"/>
      <c r="BY17" s="441"/>
      <c r="BZ17" s="441"/>
      <c r="CA17" s="441"/>
      <c r="CB17" s="441"/>
      <c r="CC17" s="441"/>
      <c r="CD17" s="441"/>
      <c r="CE17" s="441"/>
      <c r="CF17" s="441"/>
      <c r="CG17" s="441"/>
      <c r="CH17" s="441"/>
      <c r="CI17" s="441"/>
      <c r="CJ17" s="441"/>
      <c r="CK17" s="441"/>
      <c r="CL17" s="441"/>
    </row>
    <row r="18" spans="1:90" s="59" customFormat="1" x14ac:dyDescent="0.3">
      <c r="A18" s="467"/>
      <c r="B18" s="460"/>
      <c r="C18" s="189"/>
      <c r="D18" s="197" t="str">
        <f t="shared" ref="D18:D24" si="0">D51</f>
        <v>48-fiber MTP (F)-MTP (M) on OM3 cable, Polarity straight, 58m</v>
      </c>
      <c r="E18" s="51" t="s">
        <v>51</v>
      </c>
      <c r="F18" s="169">
        <f t="shared" ref="F18:F24" si="1">H51</f>
        <v>1086.4000000000001</v>
      </c>
      <c r="G18" s="51" t="s">
        <v>36</v>
      </c>
      <c r="H18" s="69" t="str">
        <f t="shared" ref="H18:H24" si="2">CONCATENATE("Quote: ",E51)</f>
        <v>Quote: CCI/T40418PF48-058</v>
      </c>
      <c r="I18" s="169"/>
      <c r="J18" s="170"/>
      <c r="K18" s="152"/>
      <c r="L18" s="450"/>
      <c r="M18" s="121"/>
      <c r="N18" s="196">
        <f>F18/D$16</f>
        <v>543.20000000000005</v>
      </c>
      <c r="O18" s="193"/>
      <c r="P18" s="132"/>
      <c r="Q18" s="132"/>
      <c r="Y18" s="441"/>
      <c r="Z18" s="441"/>
      <c r="AA18" s="441"/>
      <c r="AB18" s="441"/>
      <c r="AC18" s="441"/>
      <c r="AD18" s="441"/>
      <c r="AE18" s="441"/>
      <c r="AF18" s="441"/>
      <c r="AG18" s="441"/>
      <c r="AH18" s="441"/>
      <c r="AI18" s="441"/>
      <c r="AJ18" s="441"/>
      <c r="AK18" s="441"/>
      <c r="AL18" s="441"/>
      <c r="AM18" s="441"/>
      <c r="AN18" s="441"/>
      <c r="AO18" s="441"/>
      <c r="AP18" s="441"/>
      <c r="AQ18" s="441"/>
      <c r="AR18" s="441"/>
      <c r="AS18" s="441"/>
      <c r="AT18" s="441"/>
      <c r="AU18" s="441"/>
      <c r="AV18" s="441"/>
      <c r="AW18" s="441"/>
      <c r="AX18" s="441"/>
      <c r="AY18" s="441"/>
      <c r="AZ18" s="441"/>
      <c r="BA18" s="441"/>
      <c r="BB18" s="441"/>
      <c r="BC18" s="441"/>
      <c r="BD18" s="441"/>
      <c r="BE18" s="441"/>
      <c r="BF18" s="441"/>
      <c r="BG18" s="441"/>
      <c r="BH18" s="441"/>
      <c r="BI18" s="441"/>
      <c r="BJ18" s="441"/>
      <c r="BK18" s="441"/>
      <c r="BL18" s="441"/>
      <c r="BM18" s="441"/>
      <c r="BN18" s="441"/>
      <c r="BO18" s="441"/>
      <c r="BP18" s="441"/>
      <c r="BQ18" s="441"/>
      <c r="BR18" s="441"/>
      <c r="BS18" s="441"/>
      <c r="BT18" s="441"/>
      <c r="BU18" s="441"/>
      <c r="BV18" s="441"/>
      <c r="BW18" s="441"/>
      <c r="BX18" s="441"/>
      <c r="BY18" s="441"/>
      <c r="BZ18" s="441"/>
      <c r="CA18" s="441"/>
      <c r="CB18" s="441"/>
      <c r="CC18" s="441"/>
      <c r="CD18" s="441"/>
      <c r="CE18" s="441"/>
      <c r="CF18" s="441"/>
      <c r="CG18" s="441"/>
      <c r="CH18" s="441"/>
      <c r="CI18" s="441"/>
      <c r="CJ18" s="441"/>
      <c r="CK18" s="441"/>
      <c r="CL18" s="441"/>
    </row>
    <row r="19" spans="1:90" s="59" customFormat="1" x14ac:dyDescent="0.3">
      <c r="A19" s="467"/>
      <c r="B19" s="460"/>
      <c r="C19" s="189"/>
      <c r="D19" s="197" t="str">
        <f t="shared" si="0"/>
        <v>48-fiber MTP (F)-MTP (M) on OM3 cable, Polarity straight, 15m</v>
      </c>
      <c r="E19" s="51" t="s">
        <v>51</v>
      </c>
      <c r="F19" s="169">
        <f t="shared" si="1"/>
        <v>550.4</v>
      </c>
      <c r="G19" s="51" t="s">
        <v>36</v>
      </c>
      <c r="H19" s="69" t="str">
        <f t="shared" si="2"/>
        <v>Quote: CCI/T40418PF48-015</v>
      </c>
      <c r="I19" s="169"/>
      <c r="J19" s="170"/>
      <c r="K19" s="152"/>
      <c r="L19" s="450"/>
      <c r="M19" s="121"/>
      <c r="N19" s="196">
        <f>F19/D$16</f>
        <v>275.2</v>
      </c>
      <c r="O19" s="193"/>
      <c r="P19" s="132"/>
      <c r="Q19" s="132"/>
      <c r="Y19" s="441"/>
      <c r="Z19" s="441"/>
      <c r="AA19" s="441"/>
      <c r="AB19" s="441"/>
      <c r="AC19" s="441"/>
      <c r="AD19" s="441"/>
      <c r="AE19" s="441"/>
      <c r="AF19" s="441"/>
      <c r="AG19" s="441"/>
      <c r="AH19" s="441"/>
      <c r="AI19" s="441"/>
      <c r="AJ19" s="441"/>
      <c r="AK19" s="441"/>
      <c r="AL19" s="441"/>
      <c r="AM19" s="441"/>
      <c r="AN19" s="441"/>
      <c r="AO19" s="441"/>
      <c r="AP19" s="441"/>
      <c r="AQ19" s="441"/>
      <c r="AR19" s="441"/>
      <c r="AS19" s="441"/>
      <c r="AT19" s="441"/>
      <c r="AU19" s="441"/>
      <c r="AV19" s="441"/>
      <c r="AW19" s="441"/>
      <c r="AX19" s="441"/>
      <c r="AY19" s="441"/>
      <c r="AZ19" s="441"/>
      <c r="BA19" s="441"/>
      <c r="BB19" s="441"/>
      <c r="BC19" s="441"/>
      <c r="BD19" s="441"/>
      <c r="BE19" s="441"/>
      <c r="BF19" s="441"/>
      <c r="BG19" s="441"/>
      <c r="BH19" s="441"/>
      <c r="BI19" s="441"/>
      <c r="BJ19" s="441"/>
      <c r="BK19" s="441"/>
      <c r="BL19" s="441"/>
      <c r="BM19" s="441"/>
      <c r="BN19" s="441"/>
      <c r="BO19" s="441"/>
      <c r="BP19" s="441"/>
      <c r="BQ19" s="441"/>
      <c r="BR19" s="441"/>
      <c r="BS19" s="441"/>
      <c r="BT19" s="441"/>
      <c r="BU19" s="441"/>
      <c r="BV19" s="441"/>
      <c r="BW19" s="441"/>
      <c r="BX19" s="441"/>
      <c r="BY19" s="441"/>
      <c r="BZ19" s="441"/>
      <c r="CA19" s="441"/>
      <c r="CB19" s="441"/>
      <c r="CC19" s="441"/>
      <c r="CD19" s="441"/>
      <c r="CE19" s="441"/>
      <c r="CF19" s="441"/>
      <c r="CG19" s="441"/>
      <c r="CH19" s="441"/>
      <c r="CI19" s="441"/>
      <c r="CJ19" s="441"/>
      <c r="CK19" s="441"/>
      <c r="CL19" s="441"/>
    </row>
    <row r="20" spans="1:90" s="59" customFormat="1" x14ac:dyDescent="0.3">
      <c r="A20" s="467"/>
      <c r="B20" s="460"/>
      <c r="C20" s="189"/>
      <c r="D20" s="197" t="str">
        <f t="shared" si="0"/>
        <v>1U 19" 12 port MPO feedthru panel with 12X MPO couplers.</v>
      </c>
      <c r="E20" s="51" t="s">
        <v>51</v>
      </c>
      <c r="F20" s="169">
        <f t="shared" si="1"/>
        <v>85.2</v>
      </c>
      <c r="G20" s="51" t="s">
        <v>36</v>
      </c>
      <c r="H20" s="69" t="str">
        <f t="shared" si="2"/>
        <v>Quote: CCI/56348-MT</v>
      </c>
      <c r="I20" s="169"/>
      <c r="J20" s="170"/>
      <c r="K20" s="152"/>
      <c r="L20" s="450"/>
      <c r="M20" s="121"/>
      <c r="N20" s="196">
        <f>F20/D$16</f>
        <v>42.6</v>
      </c>
      <c r="O20" s="193"/>
      <c r="P20" s="132"/>
      <c r="Q20" s="132"/>
      <c r="Y20" s="441"/>
      <c r="Z20" s="441"/>
      <c r="AA20" s="441"/>
      <c r="AB20" s="441"/>
      <c r="AC20" s="441"/>
      <c r="AD20" s="441"/>
      <c r="AE20" s="441"/>
      <c r="AF20" s="441"/>
      <c r="AG20" s="441"/>
      <c r="AH20" s="441"/>
      <c r="AI20" s="441"/>
      <c r="AJ20" s="441"/>
      <c r="AK20" s="441"/>
      <c r="AL20" s="441"/>
      <c r="AM20" s="441"/>
      <c r="AN20" s="441"/>
      <c r="AO20" s="441"/>
      <c r="AP20" s="441"/>
      <c r="AQ20" s="441"/>
      <c r="AR20" s="441"/>
      <c r="AS20" s="441"/>
      <c r="AT20" s="441"/>
      <c r="AU20" s="441"/>
      <c r="AV20" s="441"/>
      <c r="AW20" s="441"/>
      <c r="AX20" s="441"/>
      <c r="AY20" s="441"/>
      <c r="AZ20" s="441"/>
      <c r="BA20" s="441"/>
      <c r="BB20" s="441"/>
      <c r="BC20" s="441"/>
      <c r="BD20" s="441"/>
      <c r="BE20" s="441"/>
      <c r="BF20" s="441"/>
      <c r="BG20" s="441"/>
      <c r="BH20" s="441"/>
      <c r="BI20" s="441"/>
      <c r="BJ20" s="441"/>
      <c r="BK20" s="441"/>
      <c r="BL20" s="441"/>
      <c r="BM20" s="441"/>
      <c r="BN20" s="441"/>
      <c r="BO20" s="441"/>
      <c r="BP20" s="441"/>
      <c r="BQ20" s="441"/>
      <c r="BR20" s="441"/>
      <c r="BS20" s="441"/>
      <c r="BT20" s="441"/>
      <c r="BU20" s="441"/>
      <c r="BV20" s="441"/>
      <c r="BW20" s="441"/>
      <c r="BX20" s="441"/>
      <c r="BY20" s="441"/>
      <c r="BZ20" s="441"/>
      <c r="CA20" s="441"/>
      <c r="CB20" s="441"/>
      <c r="CC20" s="441"/>
      <c r="CD20" s="441"/>
      <c r="CE20" s="441"/>
      <c r="CF20" s="441"/>
      <c r="CG20" s="441"/>
      <c r="CH20" s="441"/>
      <c r="CI20" s="441"/>
      <c r="CJ20" s="441"/>
      <c r="CK20" s="441"/>
      <c r="CL20" s="441"/>
    </row>
    <row r="21" spans="1:90" s="59" customFormat="1" x14ac:dyDescent="0.3">
      <c r="A21" s="467"/>
      <c r="B21" s="460"/>
      <c r="C21" s="189"/>
      <c r="D21" s="197" t="str">
        <f t="shared" si="0"/>
        <v>48F MTP(M) - LC Hydra assembly 900um OM3 18" length</v>
      </c>
      <c r="E21" s="51" t="s">
        <v>51</v>
      </c>
      <c r="F21" s="169">
        <f t="shared" si="1"/>
        <v>296.60000000000002</v>
      </c>
      <c r="G21" s="51" t="s">
        <v>36</v>
      </c>
      <c r="H21" s="69" t="str">
        <f t="shared" si="2"/>
        <v>Quote: CCI/1000450-18I-48F</v>
      </c>
      <c r="I21" s="169"/>
      <c r="J21" s="170"/>
      <c r="K21" s="152"/>
      <c r="L21" s="450"/>
      <c r="M21" s="121"/>
      <c r="N21" s="196">
        <f>F21/D$16</f>
        <v>148.30000000000001</v>
      </c>
      <c r="O21" s="193"/>
      <c r="P21" s="132"/>
      <c r="Q21" s="132"/>
      <c r="Y21" s="441"/>
      <c r="Z21" s="441"/>
      <c r="AA21" s="441"/>
      <c r="AB21" s="441"/>
      <c r="AC21" s="441"/>
      <c r="AD21" s="441"/>
      <c r="AE21" s="441"/>
      <c r="AF21" s="441"/>
      <c r="AG21" s="441"/>
      <c r="AH21" s="441"/>
      <c r="AI21" s="441"/>
      <c r="AJ21" s="441"/>
      <c r="AK21" s="441"/>
      <c r="AL21" s="441"/>
      <c r="AM21" s="441"/>
      <c r="AN21" s="441"/>
      <c r="AO21" s="441"/>
      <c r="AP21" s="441"/>
      <c r="AQ21" s="441"/>
      <c r="AR21" s="441"/>
      <c r="AS21" s="441"/>
      <c r="AT21" s="441"/>
      <c r="AU21" s="441"/>
      <c r="AV21" s="441"/>
      <c r="AW21" s="441"/>
      <c r="AX21" s="441"/>
      <c r="AY21" s="441"/>
      <c r="AZ21" s="441"/>
      <c r="BA21" s="441"/>
      <c r="BB21" s="441"/>
      <c r="BC21" s="441"/>
      <c r="BD21" s="441"/>
      <c r="BE21" s="441"/>
      <c r="BF21" s="441"/>
      <c r="BG21" s="441"/>
      <c r="BH21" s="441"/>
      <c r="BI21" s="441"/>
      <c r="BJ21" s="441"/>
      <c r="BK21" s="441"/>
      <c r="BL21" s="441"/>
      <c r="BM21" s="441"/>
      <c r="BN21" s="441"/>
      <c r="BO21" s="441"/>
      <c r="BP21" s="441"/>
      <c r="BQ21" s="441"/>
      <c r="BR21" s="441"/>
      <c r="BS21" s="441"/>
      <c r="BT21" s="441"/>
      <c r="BU21" s="441"/>
      <c r="BV21" s="441"/>
      <c r="BW21" s="441"/>
      <c r="BX21" s="441"/>
      <c r="BY21" s="441"/>
      <c r="BZ21" s="441"/>
      <c r="CA21" s="441"/>
      <c r="CB21" s="441"/>
      <c r="CC21" s="441"/>
      <c r="CD21" s="441"/>
      <c r="CE21" s="441"/>
      <c r="CF21" s="441"/>
      <c r="CG21" s="441"/>
      <c r="CH21" s="441"/>
      <c r="CI21" s="441"/>
      <c r="CJ21" s="441"/>
      <c r="CK21" s="441"/>
      <c r="CL21" s="441"/>
    </row>
    <row r="22" spans="1:90" s="59" customFormat="1" x14ac:dyDescent="0.3">
      <c r="A22" s="467"/>
      <c r="B22" s="460"/>
      <c r="C22" s="189"/>
      <c r="D22" s="197" t="str">
        <f t="shared" si="0"/>
        <v>COUPLER LC/LC Duplex, Aqua, Zirconia Sleeve</v>
      </c>
      <c r="E22" s="51" t="s">
        <v>51</v>
      </c>
      <c r="F22" s="169">
        <f t="shared" si="1"/>
        <v>63.36</v>
      </c>
      <c r="G22" s="51" t="s">
        <v>36</v>
      </c>
      <c r="H22" s="69" t="str">
        <f t="shared" si="2"/>
        <v>Quote: CCI/F26268P302-001</v>
      </c>
      <c r="I22" s="169"/>
      <c r="J22" s="170"/>
      <c r="K22" s="152"/>
      <c r="L22" s="450"/>
      <c r="M22" s="121"/>
      <c r="N22" s="196">
        <f>F22/D$16</f>
        <v>31.68</v>
      </c>
      <c r="O22" s="193"/>
      <c r="P22" s="132"/>
      <c r="Q22" s="132"/>
      <c r="Y22" s="441"/>
      <c r="Z22" s="441"/>
      <c r="AA22" s="441"/>
      <c r="AB22" s="441"/>
      <c r="AC22" s="441"/>
      <c r="AD22" s="441"/>
      <c r="AE22" s="441"/>
      <c r="AF22" s="441"/>
      <c r="AG22" s="441"/>
      <c r="AH22" s="441"/>
      <c r="AI22" s="441"/>
      <c r="AJ22" s="441"/>
      <c r="AK22" s="441"/>
      <c r="AL22" s="441"/>
      <c r="AM22" s="441"/>
      <c r="AN22" s="441"/>
      <c r="AO22" s="441"/>
      <c r="AP22" s="441"/>
      <c r="AQ22" s="441"/>
      <c r="AR22" s="441"/>
      <c r="AS22" s="441"/>
      <c r="AT22" s="441"/>
      <c r="AU22" s="441"/>
      <c r="AV22" s="441"/>
      <c r="AW22" s="441"/>
      <c r="AX22" s="441"/>
      <c r="AY22" s="441"/>
      <c r="AZ22" s="441"/>
      <c r="BA22" s="441"/>
      <c r="BB22" s="441"/>
      <c r="BC22" s="441"/>
      <c r="BD22" s="441"/>
      <c r="BE22" s="441"/>
      <c r="BF22" s="441"/>
      <c r="BG22" s="441"/>
      <c r="BH22" s="441"/>
      <c r="BI22" s="441"/>
      <c r="BJ22" s="441"/>
      <c r="BK22" s="441"/>
      <c r="BL22" s="441"/>
      <c r="BM22" s="441"/>
      <c r="BN22" s="441"/>
      <c r="BO22" s="441"/>
      <c r="BP22" s="441"/>
      <c r="BQ22" s="441"/>
      <c r="BR22" s="441"/>
      <c r="BS22" s="441"/>
      <c r="BT22" s="441"/>
      <c r="BU22" s="441"/>
      <c r="BV22" s="441"/>
      <c r="BW22" s="441"/>
      <c r="BX22" s="441"/>
      <c r="BY22" s="441"/>
      <c r="BZ22" s="441"/>
      <c r="CA22" s="441"/>
      <c r="CB22" s="441"/>
      <c r="CC22" s="441"/>
      <c r="CD22" s="441"/>
      <c r="CE22" s="441"/>
      <c r="CF22" s="441"/>
      <c r="CG22" s="441"/>
      <c r="CH22" s="441"/>
      <c r="CI22" s="441"/>
      <c r="CJ22" s="441"/>
      <c r="CK22" s="441"/>
      <c r="CL22" s="441"/>
    </row>
    <row r="23" spans="1:90" s="59" customFormat="1" x14ac:dyDescent="0.3">
      <c r="A23" s="467"/>
      <c r="B23" s="460"/>
      <c r="C23" s="189"/>
      <c r="D23" s="197" t="str">
        <f t="shared" si="0"/>
        <v>MTP Coupler</v>
      </c>
      <c r="E23" s="51" t="s">
        <v>51</v>
      </c>
      <c r="F23" s="169">
        <f t="shared" si="1"/>
        <v>9.8000000000000007</v>
      </c>
      <c r="G23" s="51" t="s">
        <v>36</v>
      </c>
      <c r="H23" s="69" t="str">
        <f t="shared" si="2"/>
        <v>Quote: CCI/100106</v>
      </c>
      <c r="I23" s="169"/>
      <c r="J23" s="170"/>
      <c r="K23" s="152"/>
      <c r="L23" s="450"/>
      <c r="M23" s="121"/>
      <c r="N23" s="196">
        <f>F23/D$16</f>
        <v>4.9000000000000004</v>
      </c>
      <c r="O23" s="193"/>
      <c r="P23" s="132"/>
      <c r="Q23" s="132"/>
      <c r="Y23" s="441"/>
      <c r="Z23" s="441"/>
      <c r="AA23" s="441"/>
      <c r="AB23" s="441"/>
      <c r="AC23" s="441"/>
      <c r="AD23" s="441"/>
      <c r="AE23" s="441"/>
      <c r="AF23" s="441"/>
      <c r="AG23" s="441"/>
      <c r="AH23" s="441"/>
      <c r="AI23" s="441"/>
      <c r="AJ23" s="441"/>
      <c r="AK23" s="441"/>
      <c r="AL23" s="441"/>
      <c r="AM23" s="441"/>
      <c r="AN23" s="441"/>
      <c r="AO23" s="441"/>
      <c r="AP23" s="441"/>
      <c r="AQ23" s="441"/>
      <c r="AR23" s="441"/>
      <c r="AS23" s="441"/>
      <c r="AT23" s="441"/>
      <c r="AU23" s="441"/>
      <c r="AV23" s="441"/>
      <c r="AW23" s="441"/>
      <c r="AX23" s="441"/>
      <c r="AY23" s="441"/>
      <c r="AZ23" s="441"/>
      <c r="BA23" s="441"/>
      <c r="BB23" s="441"/>
      <c r="BC23" s="441"/>
      <c r="BD23" s="441"/>
      <c r="BE23" s="441"/>
      <c r="BF23" s="441"/>
      <c r="BG23" s="441"/>
      <c r="BH23" s="441"/>
      <c r="BI23" s="441"/>
      <c r="BJ23" s="441"/>
      <c r="BK23" s="441"/>
      <c r="BL23" s="441"/>
      <c r="BM23" s="441"/>
      <c r="BN23" s="441"/>
      <c r="BO23" s="441"/>
      <c r="BP23" s="441"/>
      <c r="BQ23" s="441"/>
      <c r="BR23" s="441"/>
      <c r="BS23" s="441"/>
      <c r="BT23" s="441"/>
      <c r="BU23" s="441"/>
      <c r="BV23" s="441"/>
      <c r="BW23" s="441"/>
      <c r="BX23" s="441"/>
      <c r="BY23" s="441"/>
      <c r="BZ23" s="441"/>
      <c r="CA23" s="441"/>
      <c r="CB23" s="441"/>
      <c r="CC23" s="441"/>
      <c r="CD23" s="441"/>
      <c r="CE23" s="441"/>
      <c r="CF23" s="441"/>
      <c r="CG23" s="441"/>
      <c r="CH23" s="441"/>
      <c r="CI23" s="441"/>
      <c r="CJ23" s="441"/>
      <c r="CK23" s="441"/>
      <c r="CL23" s="441"/>
    </row>
    <row r="24" spans="1:90" s="59" customFormat="1" ht="16.2" thickBot="1" x14ac:dyDescent="0.35">
      <c r="A24" s="468"/>
      <c r="B24" s="461"/>
      <c r="C24" s="189"/>
      <c r="D24" s="197" t="str">
        <f t="shared" si="0"/>
        <v>LC to LC duplex Uni-Boot, 2mm OM3 Aqua, 1 meter length</v>
      </c>
      <c r="E24" s="51" t="s">
        <v>51</v>
      </c>
      <c r="F24" s="169">
        <f t="shared" si="1"/>
        <v>377.6</v>
      </c>
      <c r="G24" s="51" t="s">
        <v>36</v>
      </c>
      <c r="H24" s="69" t="str">
        <f t="shared" si="2"/>
        <v>Quote: CCI/F26268P302-001</v>
      </c>
      <c r="I24" s="169"/>
      <c r="J24" s="170"/>
      <c r="K24" s="152"/>
      <c r="L24" s="450"/>
      <c r="M24" s="121"/>
      <c r="N24" s="196">
        <f>F24/D$16</f>
        <v>188.8</v>
      </c>
      <c r="O24" s="193"/>
      <c r="P24" s="132"/>
      <c r="Q24" s="132"/>
      <c r="Y24" s="441"/>
      <c r="Z24" s="441"/>
      <c r="AA24" s="441"/>
      <c r="AB24" s="441"/>
      <c r="AC24" s="441"/>
      <c r="AD24" s="441"/>
      <c r="AE24" s="441"/>
      <c r="AF24" s="441"/>
      <c r="AG24" s="441"/>
      <c r="AH24" s="441"/>
      <c r="AI24" s="441"/>
      <c r="AJ24" s="441"/>
      <c r="AK24" s="441"/>
      <c r="AL24" s="441"/>
      <c r="AM24" s="441"/>
      <c r="AN24" s="441"/>
      <c r="AO24" s="441"/>
      <c r="AP24" s="441"/>
      <c r="AQ24" s="441"/>
      <c r="AR24" s="441"/>
      <c r="AS24" s="441"/>
      <c r="AT24" s="441"/>
      <c r="AU24" s="441"/>
      <c r="AV24" s="441"/>
      <c r="AW24" s="441"/>
      <c r="AX24" s="441"/>
      <c r="AY24" s="441"/>
      <c r="AZ24" s="441"/>
      <c r="BA24" s="441"/>
      <c r="BB24" s="441"/>
      <c r="BC24" s="441"/>
      <c r="BD24" s="441"/>
      <c r="BE24" s="441"/>
      <c r="BF24" s="441"/>
      <c r="BG24" s="441"/>
      <c r="BH24" s="441"/>
      <c r="BI24" s="441"/>
      <c r="BJ24" s="441"/>
      <c r="BK24" s="441"/>
      <c r="BL24" s="441"/>
      <c r="BM24" s="441"/>
      <c r="BN24" s="441"/>
      <c r="BO24" s="441"/>
      <c r="BP24" s="441"/>
      <c r="BQ24" s="441"/>
      <c r="BR24" s="441"/>
      <c r="BS24" s="441"/>
      <c r="BT24" s="441"/>
      <c r="BU24" s="441"/>
      <c r="BV24" s="441"/>
      <c r="BW24" s="441"/>
      <c r="BX24" s="441"/>
      <c r="BY24" s="441"/>
      <c r="BZ24" s="441"/>
      <c r="CA24" s="441"/>
      <c r="CB24" s="441"/>
      <c r="CC24" s="441"/>
      <c r="CD24" s="441"/>
      <c r="CE24" s="441"/>
      <c r="CF24" s="441"/>
      <c r="CG24" s="441"/>
      <c r="CH24" s="441"/>
      <c r="CI24" s="441"/>
      <c r="CJ24" s="441"/>
      <c r="CK24" s="441"/>
      <c r="CL24" s="441"/>
    </row>
    <row r="25" spans="1:90" s="65" customFormat="1" ht="15.6" customHeight="1" x14ac:dyDescent="0.3">
      <c r="A25" s="463" t="s">
        <v>92</v>
      </c>
      <c r="B25" s="456">
        <v>146300</v>
      </c>
      <c r="C25" s="57" t="s">
        <v>60</v>
      </c>
      <c r="D25" s="57"/>
      <c r="E25" s="57"/>
      <c r="F25" s="58"/>
      <c r="G25" s="57"/>
      <c r="H25" s="202"/>
      <c r="I25" s="58">
        <f>SUM(F26:F30)</f>
        <v>2563.35</v>
      </c>
      <c r="J25" s="145"/>
      <c r="K25" s="151"/>
      <c r="L25" s="448"/>
      <c r="M25" s="122"/>
      <c r="N25" s="109"/>
      <c r="O25" s="193">
        <v>1524</v>
      </c>
      <c r="P25" s="109"/>
      <c r="Q25" s="109"/>
      <c r="R25" s="122"/>
      <c r="S25" s="122"/>
      <c r="T25" s="122"/>
      <c r="U25" s="122"/>
      <c r="V25" s="122"/>
      <c r="W25" s="122"/>
      <c r="X25" s="122"/>
      <c r="Y25" s="122"/>
      <c r="Z25" s="122"/>
      <c r="AA25" s="122"/>
      <c r="AB25" s="122"/>
      <c r="AC25" s="122"/>
      <c r="AD25" s="122"/>
      <c r="AE25" s="122"/>
      <c r="AF25" s="122"/>
      <c r="AG25" s="122"/>
      <c r="AH25" s="122"/>
      <c r="AI25" s="122"/>
      <c r="AJ25" s="122"/>
      <c r="AK25" s="122"/>
      <c r="AL25" s="122"/>
      <c r="AM25" s="122"/>
      <c r="AN25" s="122"/>
      <c r="AO25" s="122"/>
      <c r="AP25" s="122"/>
      <c r="AQ25" s="122"/>
      <c r="AR25" s="122"/>
      <c r="AS25" s="122"/>
      <c r="AT25" s="122"/>
      <c r="AU25" s="122"/>
      <c r="AV25" s="122"/>
      <c r="AW25" s="122"/>
      <c r="AX25" s="122"/>
      <c r="AY25" s="122"/>
      <c r="AZ25" s="122"/>
      <c r="BA25" s="122"/>
      <c r="BB25" s="122"/>
      <c r="BC25" s="122"/>
      <c r="BD25" s="122"/>
      <c r="BE25" s="122"/>
      <c r="BF25" s="122"/>
      <c r="BG25" s="122"/>
      <c r="BH25" s="122"/>
      <c r="BI25" s="122"/>
      <c r="BJ25" s="122"/>
      <c r="BK25" s="122"/>
      <c r="BL25" s="122"/>
      <c r="BM25" s="122"/>
      <c r="BN25" s="122"/>
      <c r="BO25" s="122"/>
      <c r="BP25" s="122"/>
      <c r="BQ25" s="122"/>
      <c r="BR25" s="122"/>
      <c r="BS25" s="122"/>
      <c r="BT25" s="122"/>
      <c r="BU25" s="122"/>
      <c r="BV25" s="122"/>
      <c r="BW25" s="122"/>
      <c r="BX25" s="122"/>
      <c r="BY25" s="122"/>
      <c r="BZ25" s="122"/>
      <c r="CA25" s="122"/>
      <c r="CB25" s="122"/>
      <c r="CC25" s="122"/>
      <c r="CD25" s="122"/>
      <c r="CE25" s="122"/>
      <c r="CF25" s="122"/>
      <c r="CG25" s="122"/>
      <c r="CH25" s="122"/>
      <c r="CI25" s="122"/>
      <c r="CJ25" s="122"/>
      <c r="CK25" s="122"/>
      <c r="CL25" s="122"/>
    </row>
    <row r="26" spans="1:90" s="65" customFormat="1" ht="14.4" x14ac:dyDescent="0.3">
      <c r="A26" s="464"/>
      <c r="B26" s="457"/>
      <c r="C26" s="67"/>
      <c r="D26" s="67" t="s">
        <v>61</v>
      </c>
      <c r="E26" s="67" t="s">
        <v>56</v>
      </c>
      <c r="F26" s="68">
        <v>200</v>
      </c>
      <c r="G26" s="67" t="s">
        <v>36</v>
      </c>
      <c r="H26" s="67" t="s">
        <v>37</v>
      </c>
      <c r="I26" s="68"/>
      <c r="J26" s="147"/>
      <c r="K26" s="153"/>
      <c r="L26" s="451"/>
      <c r="M26" s="122"/>
      <c r="N26" s="130"/>
      <c r="O26" s="193"/>
      <c r="P26" s="130"/>
      <c r="Q26" s="130"/>
      <c r="R26" s="122"/>
      <c r="S26" s="122"/>
      <c r="T26" s="122"/>
      <c r="U26" s="122"/>
      <c r="V26" s="122"/>
      <c r="W26" s="122"/>
      <c r="X26" s="122"/>
      <c r="Y26" s="122"/>
      <c r="Z26" s="122"/>
      <c r="AA26" s="122"/>
      <c r="AB26" s="122"/>
      <c r="AC26" s="122"/>
      <c r="AD26" s="122"/>
      <c r="AE26" s="122"/>
      <c r="AF26" s="122"/>
      <c r="AG26" s="122"/>
      <c r="AH26" s="122"/>
      <c r="AI26" s="122"/>
      <c r="AJ26" s="122"/>
      <c r="AK26" s="122"/>
      <c r="AL26" s="122"/>
      <c r="AM26" s="122"/>
      <c r="AN26" s="122"/>
      <c r="AO26" s="122"/>
      <c r="AP26" s="122"/>
      <c r="AQ26" s="122"/>
      <c r="AR26" s="122"/>
      <c r="AS26" s="122"/>
      <c r="AT26" s="122"/>
      <c r="AU26" s="122"/>
      <c r="AV26" s="122"/>
      <c r="AW26" s="122"/>
      <c r="AX26" s="122"/>
      <c r="AY26" s="122"/>
      <c r="AZ26" s="122"/>
      <c r="BA26" s="122"/>
      <c r="BB26" s="122"/>
      <c r="BC26" s="122"/>
      <c r="BD26" s="122"/>
      <c r="BE26" s="122"/>
      <c r="BF26" s="122"/>
      <c r="BG26" s="122"/>
      <c r="BH26" s="122"/>
      <c r="BI26" s="122"/>
      <c r="BJ26" s="122"/>
      <c r="BK26" s="122"/>
      <c r="BL26" s="122"/>
      <c r="BM26" s="122"/>
      <c r="BN26" s="122"/>
      <c r="BO26" s="122"/>
      <c r="BP26" s="122"/>
      <c r="BQ26" s="122"/>
      <c r="BR26" s="122"/>
      <c r="BS26" s="122"/>
      <c r="BT26" s="122"/>
      <c r="BU26" s="122"/>
      <c r="BV26" s="122"/>
      <c r="BW26" s="122"/>
      <c r="BX26" s="122"/>
      <c r="BY26" s="122"/>
      <c r="BZ26" s="122"/>
      <c r="CA26" s="122"/>
      <c r="CB26" s="122"/>
      <c r="CC26" s="122"/>
      <c r="CD26" s="122"/>
      <c r="CE26" s="122"/>
      <c r="CF26" s="122"/>
      <c r="CG26" s="122"/>
      <c r="CH26" s="122"/>
      <c r="CI26" s="122"/>
      <c r="CJ26" s="122"/>
      <c r="CK26" s="122"/>
      <c r="CL26" s="122"/>
    </row>
    <row r="27" spans="1:90" s="66" customFormat="1" ht="14.4" x14ac:dyDescent="0.3">
      <c r="A27" s="464"/>
      <c r="B27" s="457"/>
      <c r="C27" s="67"/>
      <c r="D27" s="67" t="s">
        <v>62</v>
      </c>
      <c r="E27" s="67" t="s">
        <v>56</v>
      </c>
      <c r="F27" s="68">
        <v>100</v>
      </c>
      <c r="G27" s="67" t="s">
        <v>36</v>
      </c>
      <c r="H27" s="67" t="s">
        <v>37</v>
      </c>
      <c r="I27" s="68"/>
      <c r="J27" s="147"/>
      <c r="K27" s="153"/>
      <c r="L27" s="451"/>
      <c r="M27" s="121"/>
      <c r="N27" s="130"/>
      <c r="O27" s="193"/>
      <c r="P27" s="130"/>
      <c r="Q27" s="130"/>
      <c r="R27" s="121"/>
      <c r="S27" s="121"/>
      <c r="T27" s="121"/>
      <c r="U27" s="121"/>
      <c r="V27" s="121"/>
      <c r="W27" s="121"/>
      <c r="X27" s="121"/>
      <c r="Y27" s="121"/>
      <c r="Z27" s="121"/>
      <c r="AA27" s="121"/>
      <c r="AB27" s="121"/>
      <c r="AC27" s="121"/>
      <c r="AD27" s="121"/>
      <c r="AE27" s="121"/>
      <c r="AF27" s="121"/>
      <c r="AG27" s="121"/>
      <c r="AH27" s="121"/>
      <c r="AI27" s="121"/>
      <c r="AJ27" s="121"/>
      <c r="AK27" s="121"/>
      <c r="AL27" s="121"/>
      <c r="AM27" s="121"/>
      <c r="AN27" s="121"/>
      <c r="AO27" s="121"/>
      <c r="AP27" s="121"/>
      <c r="AQ27" s="121"/>
      <c r="AR27" s="121"/>
      <c r="AS27" s="121"/>
      <c r="AT27" s="121"/>
      <c r="AU27" s="121"/>
      <c r="AV27" s="121"/>
      <c r="AW27" s="121"/>
      <c r="AX27" s="121"/>
      <c r="AY27" s="121"/>
      <c r="AZ27" s="121"/>
      <c r="BA27" s="121"/>
      <c r="BB27" s="121"/>
      <c r="BC27" s="121"/>
      <c r="BD27" s="121"/>
      <c r="BE27" s="121"/>
      <c r="BF27" s="121"/>
      <c r="BG27" s="121"/>
      <c r="BH27" s="121"/>
      <c r="BI27" s="121"/>
      <c r="BJ27" s="121"/>
      <c r="BK27" s="121"/>
      <c r="BL27" s="121"/>
      <c r="BM27" s="121"/>
      <c r="BN27" s="121"/>
      <c r="BO27" s="121"/>
      <c r="BP27" s="121"/>
      <c r="BQ27" s="121"/>
      <c r="BR27" s="121"/>
      <c r="BS27" s="121"/>
      <c r="BT27" s="121"/>
      <c r="BU27" s="121"/>
      <c r="BV27" s="121"/>
      <c r="BW27" s="121"/>
      <c r="BX27" s="121"/>
      <c r="BY27" s="121"/>
      <c r="BZ27" s="121"/>
      <c r="CA27" s="121"/>
      <c r="CB27" s="121"/>
      <c r="CC27" s="121"/>
      <c r="CD27" s="121"/>
      <c r="CE27" s="121"/>
      <c r="CF27" s="121"/>
      <c r="CG27" s="121"/>
      <c r="CH27" s="121"/>
      <c r="CI27" s="121"/>
      <c r="CJ27" s="121"/>
      <c r="CK27" s="121"/>
      <c r="CL27" s="121"/>
    </row>
    <row r="28" spans="1:90" s="65" customFormat="1" x14ac:dyDescent="0.3">
      <c r="A28" s="464"/>
      <c r="B28" s="457"/>
      <c r="C28" s="51"/>
      <c r="D28" s="51" t="s">
        <v>187</v>
      </c>
      <c r="E28" s="51" t="s">
        <v>63</v>
      </c>
      <c r="F28" s="52">
        <f>10*1.5*50.89</f>
        <v>763.35</v>
      </c>
      <c r="G28" s="51" t="s">
        <v>36</v>
      </c>
      <c r="H28" s="204" t="s">
        <v>83</v>
      </c>
      <c r="I28" s="52"/>
      <c r="J28" s="146"/>
      <c r="K28" s="152"/>
      <c r="L28" s="450"/>
      <c r="M28" s="122"/>
      <c r="N28" s="132"/>
      <c r="O28" s="193" t="s">
        <v>183</v>
      </c>
      <c r="P28" s="132"/>
      <c r="Q28" s="132"/>
      <c r="R28" s="122"/>
      <c r="S28" s="122"/>
      <c r="T28" s="122"/>
      <c r="U28" s="122"/>
      <c r="V28" s="122"/>
      <c r="W28" s="122"/>
      <c r="X28" s="122"/>
      <c r="Y28" s="122"/>
      <c r="Z28" s="122"/>
      <c r="AA28" s="122"/>
      <c r="AB28" s="122"/>
      <c r="AC28" s="122"/>
      <c r="AD28" s="122"/>
      <c r="AE28" s="122"/>
      <c r="AF28" s="122"/>
      <c r="AG28" s="122"/>
      <c r="AH28" s="122"/>
      <c r="AI28" s="122"/>
      <c r="AJ28" s="122"/>
      <c r="AK28" s="122"/>
      <c r="AL28" s="122"/>
      <c r="AM28" s="122"/>
      <c r="AN28" s="122"/>
      <c r="AO28" s="122"/>
      <c r="AP28" s="122"/>
      <c r="AQ28" s="122"/>
      <c r="AR28" s="122"/>
      <c r="AS28" s="122"/>
      <c r="AT28" s="122"/>
      <c r="AU28" s="122"/>
      <c r="AV28" s="122"/>
      <c r="AW28" s="122"/>
      <c r="AX28" s="122"/>
      <c r="AY28" s="122"/>
      <c r="AZ28" s="122"/>
      <c r="BA28" s="122"/>
      <c r="BB28" s="122"/>
      <c r="BC28" s="122"/>
      <c r="BD28" s="122"/>
      <c r="BE28" s="122"/>
      <c r="BF28" s="122"/>
      <c r="BG28" s="122"/>
      <c r="BH28" s="122"/>
      <c r="BI28" s="122"/>
      <c r="BJ28" s="122"/>
      <c r="BK28" s="122"/>
      <c r="BL28" s="122"/>
      <c r="BM28" s="122"/>
      <c r="BN28" s="122"/>
      <c r="BO28" s="122"/>
      <c r="BP28" s="122"/>
      <c r="BQ28" s="122"/>
      <c r="BR28" s="122"/>
      <c r="BS28" s="122"/>
      <c r="BT28" s="122"/>
      <c r="BU28" s="122"/>
      <c r="BV28" s="122"/>
      <c r="BW28" s="122"/>
      <c r="BX28" s="122"/>
      <c r="BY28" s="122"/>
      <c r="BZ28" s="122"/>
      <c r="CA28" s="122"/>
      <c r="CB28" s="122"/>
      <c r="CC28" s="122"/>
      <c r="CD28" s="122"/>
      <c r="CE28" s="122"/>
      <c r="CF28" s="122"/>
      <c r="CG28" s="122"/>
      <c r="CH28" s="122"/>
      <c r="CI28" s="122"/>
      <c r="CJ28" s="122"/>
      <c r="CK28" s="122"/>
      <c r="CL28" s="122"/>
    </row>
    <row r="29" spans="1:90" x14ac:dyDescent="0.3">
      <c r="A29" s="464"/>
      <c r="B29" s="457"/>
      <c r="C29" s="67"/>
      <c r="D29" s="67" t="s">
        <v>64</v>
      </c>
      <c r="E29" s="67" t="s">
        <v>65</v>
      </c>
      <c r="F29" s="68">
        <v>500</v>
      </c>
      <c r="G29" s="67" t="s">
        <v>36</v>
      </c>
      <c r="H29" s="67" t="s">
        <v>37</v>
      </c>
      <c r="I29" s="68"/>
      <c r="J29" s="147"/>
      <c r="K29" s="153"/>
      <c r="L29" s="451"/>
      <c r="N29" s="130"/>
      <c r="O29" s="193"/>
      <c r="P29" s="130"/>
      <c r="Q29" s="130"/>
    </row>
    <row r="30" spans="1:90" s="59" customFormat="1" x14ac:dyDescent="0.3">
      <c r="A30" s="469"/>
      <c r="B30" s="462"/>
      <c r="C30" s="67"/>
      <c r="D30" s="67" t="s">
        <v>55</v>
      </c>
      <c r="E30" s="67" t="s">
        <v>56</v>
      </c>
      <c r="F30" s="68">
        <v>1000</v>
      </c>
      <c r="G30" s="67" t="s">
        <v>36</v>
      </c>
      <c r="H30" s="67" t="s">
        <v>37</v>
      </c>
      <c r="I30" s="68"/>
      <c r="J30" s="147"/>
      <c r="K30" s="153"/>
      <c r="L30" s="451"/>
      <c r="N30" s="193"/>
      <c r="O30" s="193" t="s">
        <v>186</v>
      </c>
      <c r="P30" s="130"/>
      <c r="Q30" s="130"/>
    </row>
    <row r="32" spans="1:90" ht="21.6" thickBot="1" x14ac:dyDescent="0.45">
      <c r="A32" s="82" t="s">
        <v>104</v>
      </c>
      <c r="B32" s="82"/>
      <c r="C32" s="82"/>
      <c r="D32" s="82"/>
      <c r="E32" s="82"/>
      <c r="F32" s="82"/>
      <c r="G32" s="83"/>
      <c r="I32" s="62"/>
      <c r="J32" s="63"/>
      <c r="K32" s="63"/>
      <c r="L32" s="63"/>
      <c r="P32"/>
      <c r="Q32"/>
    </row>
    <row r="33" spans="1:17" ht="16.2" thickBot="1" x14ac:dyDescent="0.35">
      <c r="A33" s="84" t="s">
        <v>16</v>
      </c>
      <c r="B33" s="374" t="s">
        <v>199</v>
      </c>
      <c r="C33" s="85" t="s">
        <v>17</v>
      </c>
      <c r="D33" s="86" t="s">
        <v>105</v>
      </c>
      <c r="E33" s="87" t="s">
        <v>106</v>
      </c>
      <c r="F33" s="87" t="s">
        <v>107</v>
      </c>
      <c r="G33" s="88" t="s">
        <v>108</v>
      </c>
      <c r="I33" s="62"/>
      <c r="J33" s="63"/>
      <c r="K33" s="63"/>
      <c r="L33" s="63"/>
      <c r="P33"/>
      <c r="Q33"/>
    </row>
    <row r="34" spans="1:17" x14ac:dyDescent="0.3">
      <c r="A34" s="429" t="s">
        <v>92</v>
      </c>
      <c r="B34" s="470">
        <v>146200</v>
      </c>
      <c r="C34" s="352" t="s">
        <v>117</v>
      </c>
      <c r="D34" s="355" t="s">
        <v>116</v>
      </c>
      <c r="E34" s="90" t="s">
        <v>109</v>
      </c>
      <c r="F34" s="90">
        <f>160+160</f>
        <v>320</v>
      </c>
      <c r="G34" s="346">
        <f>SUM(F34:F37)</f>
        <v>1831</v>
      </c>
      <c r="H34" t="s">
        <v>209</v>
      </c>
      <c r="I34"/>
      <c r="Q34"/>
    </row>
    <row r="35" spans="1:17" x14ac:dyDescent="0.3">
      <c r="A35" s="430"/>
      <c r="B35" s="471"/>
      <c r="C35" s="353"/>
      <c r="D35" s="356"/>
      <c r="E35" s="89" t="s">
        <v>110</v>
      </c>
      <c r="F35" s="89">
        <f>192+192</f>
        <v>384</v>
      </c>
      <c r="G35" s="347"/>
      <c r="H35" t="s">
        <v>209</v>
      </c>
      <c r="I35"/>
      <c r="Q35"/>
    </row>
    <row r="36" spans="1:17" x14ac:dyDescent="0.3">
      <c r="A36" s="430"/>
      <c r="B36" s="471"/>
      <c r="C36" s="353"/>
      <c r="D36" s="356"/>
      <c r="E36" s="89" t="s">
        <v>110</v>
      </c>
      <c r="F36" s="89">
        <f>192+192</f>
        <v>384</v>
      </c>
      <c r="G36" s="347"/>
      <c r="H36" t="s">
        <v>209</v>
      </c>
      <c r="I36"/>
      <c r="Q36"/>
    </row>
    <row r="37" spans="1:17" ht="16.2" thickBot="1" x14ac:dyDescent="0.35">
      <c r="A37" s="431"/>
      <c r="B37" s="472"/>
      <c r="C37" s="354"/>
      <c r="D37" s="357"/>
      <c r="E37" s="91" t="s">
        <v>113</v>
      </c>
      <c r="F37" s="91">
        <f>64+570+109</f>
        <v>743</v>
      </c>
      <c r="G37" s="348"/>
      <c r="H37" t="s">
        <v>209</v>
      </c>
      <c r="I37"/>
      <c r="Q37"/>
    </row>
    <row r="38" spans="1:17" ht="16.2" thickBot="1" x14ac:dyDescent="0.35">
      <c r="A38" s="432" t="s">
        <v>92</v>
      </c>
      <c r="B38" s="473">
        <v>146400</v>
      </c>
      <c r="C38" s="344" t="s">
        <v>118</v>
      </c>
      <c r="D38" s="360" t="s">
        <v>116</v>
      </c>
      <c r="E38" s="126" t="s">
        <v>109</v>
      </c>
      <c r="F38" s="140">
        <f>24+24</f>
        <v>48</v>
      </c>
      <c r="G38" s="346">
        <f>SUM(F38:F39)</f>
        <v>148</v>
      </c>
      <c r="I38"/>
      <c r="Q38"/>
    </row>
    <row r="39" spans="1:17" ht="16.2" thickBot="1" x14ac:dyDescent="0.35">
      <c r="A39" s="433"/>
      <c r="B39" s="474"/>
      <c r="C39" s="345"/>
      <c r="D39" s="361"/>
      <c r="E39" s="91" t="s">
        <v>113</v>
      </c>
      <c r="F39" s="140">
        <f>100</f>
        <v>100</v>
      </c>
      <c r="G39" s="348"/>
      <c r="I39"/>
      <c r="J39" s="43">
        <f>SUM(F9:F13)</f>
        <v>36683.100000000006</v>
      </c>
      <c r="Q39"/>
    </row>
    <row r="40" spans="1:17" ht="16.2" thickBot="1" x14ac:dyDescent="0.35">
      <c r="A40" s="434" t="s">
        <v>92</v>
      </c>
      <c r="B40" s="140" t="s">
        <v>203</v>
      </c>
      <c r="C40" s="93" t="s">
        <v>119</v>
      </c>
      <c r="D40" s="100" t="s">
        <v>116</v>
      </c>
      <c r="E40" s="94" t="s">
        <v>109</v>
      </c>
      <c r="F40" s="94">
        <v>16</v>
      </c>
      <c r="G40" s="95">
        <f>SUM(F40)</f>
        <v>16</v>
      </c>
      <c r="H40" s="476" t="s">
        <v>204</v>
      </c>
      <c r="I40"/>
      <c r="Q40" s="43"/>
    </row>
    <row r="41" spans="1:17" x14ac:dyDescent="0.3">
      <c r="A41" s="342" t="s">
        <v>92</v>
      </c>
      <c r="B41" s="470">
        <v>146700</v>
      </c>
      <c r="C41" s="344" t="s">
        <v>205</v>
      </c>
      <c r="D41" s="364" t="s">
        <v>116</v>
      </c>
      <c r="E41" s="90" t="s">
        <v>109</v>
      </c>
      <c r="F41" s="90">
        <v>630</v>
      </c>
      <c r="G41" s="346">
        <f>SUM(F41:F43)</f>
        <v>1094</v>
      </c>
      <c r="H41" s="477"/>
      <c r="I41"/>
      <c r="Q41" s="43"/>
    </row>
    <row r="42" spans="1:17" x14ac:dyDescent="0.3">
      <c r="A42" s="367"/>
      <c r="B42" s="471"/>
      <c r="C42" s="368"/>
      <c r="D42" s="365"/>
      <c r="E42" s="89" t="s">
        <v>113</v>
      </c>
      <c r="F42" s="89">
        <v>254</v>
      </c>
      <c r="G42" s="347"/>
      <c r="H42" s="477"/>
      <c r="I42"/>
      <c r="Q42" s="43"/>
    </row>
    <row r="43" spans="1:17" ht="16.2" thickBot="1" x14ac:dyDescent="0.35">
      <c r="A43" s="343"/>
      <c r="B43" s="472"/>
      <c r="C43" s="345"/>
      <c r="D43" s="366"/>
      <c r="E43" s="91" t="s">
        <v>124</v>
      </c>
      <c r="F43" s="91">
        <v>210</v>
      </c>
      <c r="G43" s="348"/>
      <c r="H43" s="477"/>
      <c r="I43"/>
      <c r="Q43" s="43"/>
    </row>
    <row r="44" spans="1:17" ht="16.2" thickBot="1" x14ac:dyDescent="0.35">
      <c r="A44" s="96"/>
      <c r="B44" s="444"/>
      <c r="C44" s="97" t="s">
        <v>40</v>
      </c>
      <c r="D44" s="97"/>
      <c r="E44" s="124"/>
      <c r="F44" s="124">
        <f>SUM(F34:F43)</f>
        <v>3089</v>
      </c>
      <c r="G44" s="98">
        <f>SUM(G34:G43)</f>
        <v>3089</v>
      </c>
      <c r="Q44" s="43"/>
    </row>
    <row r="45" spans="1:17" x14ac:dyDescent="0.3">
      <c r="Q45"/>
    </row>
    <row r="46" spans="1:17" ht="21.6" thickBot="1" x14ac:dyDescent="0.45">
      <c r="D46" s="82" t="s">
        <v>196</v>
      </c>
      <c r="E46" s="82"/>
      <c r="F46" s="82"/>
      <c r="G46" s="82"/>
      <c r="H46" s="82"/>
    </row>
    <row r="47" spans="1:17" x14ac:dyDescent="0.3">
      <c r="D47" s="173" t="s">
        <v>30</v>
      </c>
      <c r="E47" s="174" t="s">
        <v>135</v>
      </c>
      <c r="F47" s="174" t="s">
        <v>136</v>
      </c>
      <c r="G47" s="175" t="s">
        <v>144</v>
      </c>
      <c r="H47" s="176" t="s">
        <v>150</v>
      </c>
    </row>
    <row r="48" spans="1:17" x14ac:dyDescent="0.3">
      <c r="D48" s="177" t="s">
        <v>141</v>
      </c>
      <c r="E48" s="171" t="s">
        <v>140</v>
      </c>
      <c r="F48" s="171">
        <v>30</v>
      </c>
      <c r="G48" s="172">
        <v>178.2</v>
      </c>
      <c r="H48" s="178">
        <f t="shared" ref="H48:H57" si="3">F48*G48</f>
        <v>5346</v>
      </c>
    </row>
    <row r="49" spans="4:8" x14ac:dyDescent="0.3">
      <c r="D49" s="177" t="s">
        <v>141</v>
      </c>
      <c r="E49" s="171" t="s">
        <v>142</v>
      </c>
      <c r="F49" s="171">
        <v>30</v>
      </c>
      <c r="G49" s="172">
        <v>168.84</v>
      </c>
      <c r="H49" s="178">
        <f t="shared" si="3"/>
        <v>5065.2</v>
      </c>
    </row>
    <row r="50" spans="4:8" x14ac:dyDescent="0.3">
      <c r="D50" s="177" t="s">
        <v>152</v>
      </c>
      <c r="E50" s="171" t="s">
        <v>194</v>
      </c>
      <c r="F50" s="171">
        <v>2</v>
      </c>
      <c r="G50" s="172">
        <v>203.2</v>
      </c>
      <c r="H50" s="178">
        <f t="shared" si="3"/>
        <v>406.4</v>
      </c>
    </row>
    <row r="51" spans="4:8" x14ac:dyDescent="0.3">
      <c r="D51" s="177" t="s">
        <v>153</v>
      </c>
      <c r="E51" s="171" t="s">
        <v>193</v>
      </c>
      <c r="F51" s="171">
        <v>2</v>
      </c>
      <c r="G51" s="172">
        <v>543.20000000000005</v>
      </c>
      <c r="H51" s="178">
        <f t="shared" si="3"/>
        <v>1086.4000000000001</v>
      </c>
    </row>
    <row r="52" spans="4:8" x14ac:dyDescent="0.3">
      <c r="D52" s="177" t="s">
        <v>155</v>
      </c>
      <c r="E52" s="171" t="s">
        <v>192</v>
      </c>
      <c r="F52" s="171">
        <v>2</v>
      </c>
      <c r="G52" s="172">
        <v>275.2</v>
      </c>
      <c r="H52" s="178">
        <f t="shared" si="3"/>
        <v>550.4</v>
      </c>
    </row>
    <row r="53" spans="4:8" x14ac:dyDescent="0.3">
      <c r="D53" s="177" t="s">
        <v>147</v>
      </c>
      <c r="E53" s="171" t="s">
        <v>137</v>
      </c>
      <c r="F53" s="171">
        <v>1</v>
      </c>
      <c r="G53" s="172">
        <v>85.2</v>
      </c>
      <c r="H53" s="178">
        <f t="shared" si="3"/>
        <v>85.2</v>
      </c>
    </row>
    <row r="54" spans="4:8" x14ac:dyDescent="0.3">
      <c r="D54" s="177" t="s">
        <v>148</v>
      </c>
      <c r="E54" s="171" t="s">
        <v>138</v>
      </c>
      <c r="F54" s="171">
        <v>2</v>
      </c>
      <c r="G54" s="172">
        <v>148.30000000000001</v>
      </c>
      <c r="H54" s="178">
        <f t="shared" si="3"/>
        <v>296.60000000000002</v>
      </c>
    </row>
    <row r="55" spans="4:8" x14ac:dyDescent="0.3">
      <c r="D55" s="177" t="s">
        <v>146</v>
      </c>
      <c r="E55" s="171" t="s">
        <v>145</v>
      </c>
      <c r="F55" s="171">
        <v>32</v>
      </c>
      <c r="G55" s="172">
        <v>1.98</v>
      </c>
      <c r="H55" s="178">
        <f t="shared" si="3"/>
        <v>63.36</v>
      </c>
    </row>
    <row r="56" spans="4:8" x14ac:dyDescent="0.3">
      <c r="D56" s="177" t="s">
        <v>143</v>
      </c>
      <c r="E56" s="171" t="s">
        <v>139</v>
      </c>
      <c r="F56" s="171">
        <v>4</v>
      </c>
      <c r="G56" s="172">
        <v>2.4500000000000002</v>
      </c>
      <c r="H56" s="178">
        <f t="shared" si="3"/>
        <v>9.8000000000000007</v>
      </c>
    </row>
    <row r="57" spans="4:8" ht="16.2" thickBot="1" x14ac:dyDescent="0.35">
      <c r="D57" s="179" t="s">
        <v>151</v>
      </c>
      <c r="E57" s="180" t="s">
        <v>145</v>
      </c>
      <c r="F57" s="180">
        <v>32</v>
      </c>
      <c r="G57" s="181">
        <v>11.8</v>
      </c>
      <c r="H57" s="182">
        <f t="shared" si="3"/>
        <v>377.6</v>
      </c>
    </row>
  </sheetData>
  <sortState xmlns:xlrd2="http://schemas.microsoft.com/office/spreadsheetml/2017/richdata2" ref="A34:G40">
    <sortCondition ref="C34:C40"/>
  </sortState>
  <mergeCells count="20">
    <mergeCell ref="B41:B43"/>
    <mergeCell ref="C41:C43"/>
    <mergeCell ref="D41:D43"/>
    <mergeCell ref="B7:B15"/>
    <mergeCell ref="B16:B24"/>
    <mergeCell ref="B25:B30"/>
    <mergeCell ref="A7:A15"/>
    <mergeCell ref="A16:A24"/>
    <mergeCell ref="A25:A30"/>
    <mergeCell ref="G34:G37"/>
    <mergeCell ref="G38:G39"/>
    <mergeCell ref="A34:A37"/>
    <mergeCell ref="C34:C37"/>
    <mergeCell ref="D34:D37"/>
    <mergeCell ref="A38:A39"/>
    <mergeCell ref="D38:D39"/>
    <mergeCell ref="C38:C39"/>
    <mergeCell ref="B34:B37"/>
    <mergeCell ref="G41:G43"/>
    <mergeCell ref="A41:A43"/>
  </mergeCells>
  <hyperlinks>
    <hyperlink ref="H28" location="'Quote - Clock Distribution'!A1" display="Catalog: AFBR-709DMZ" xr:uid="{D56ADA3C-4D95-4C4F-A168-F8956EFE339D}"/>
    <hyperlink ref="H17:H24" location="'Quotations - v2.0 Fiber'!A1" display="'Quotations - v2.0 Fiber'!A1" xr:uid="{86B0FF67-56D8-4C66-8955-AE97354914A8}"/>
    <hyperlink ref="H14:H15" location="'Quotations - v2.0 Fiber'!A1" display="'Quotations - v2.0 Fiber'!A1" xr:uid="{47E00A70-2EFA-4298-A1C1-D32D74ED7931}"/>
    <hyperlink ref="H8:H11" location="'Quote - FELIX production'!A1" display="Quote: AVNET 701913858" xr:uid="{FB391412-96B5-4963-A739-996B481A3C38}"/>
  </hyperlinks>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E66"/>
  <sheetViews>
    <sheetView tabSelected="1" zoomScale="80" zoomScaleNormal="80" workbookViewId="0">
      <pane ySplit="1" topLeftCell="A2" activePane="bottomLeft" state="frozen"/>
      <selection pane="bottomLeft"/>
    </sheetView>
  </sheetViews>
  <sheetFormatPr defaultRowHeight="15.6" x14ac:dyDescent="0.3"/>
  <cols>
    <col min="1" max="1" width="10.59765625" bestFit="1" customWidth="1"/>
    <col min="2" max="2" width="10.59765625" customWidth="1"/>
    <col min="3" max="3" width="76.09765625" bestFit="1" customWidth="1"/>
    <col min="4" max="4" width="54.3984375" bestFit="1" customWidth="1"/>
    <col min="5" max="5" width="19.3984375" bestFit="1" customWidth="1"/>
    <col min="6" max="6" width="7.69921875" style="43" bestFit="1" customWidth="1"/>
    <col min="7" max="7" width="7.3984375" bestFit="1" customWidth="1"/>
    <col min="8" max="8" width="51.59765625" bestFit="1" customWidth="1"/>
    <col min="9" max="9" width="9.3984375" style="46" bestFit="1" customWidth="1"/>
    <col min="10" max="10" width="11.59765625" bestFit="1" customWidth="1"/>
    <col min="11" max="11" width="9.09765625" style="62" customWidth="1"/>
    <col min="12" max="12" width="3.69921875" style="63" customWidth="1"/>
    <col min="13" max="13" width="8.8984375" style="191" bestFit="1" customWidth="1"/>
    <col min="14" max="14" width="24.3984375" style="166" bestFit="1" customWidth="1"/>
    <col min="15" max="15" width="8.69921875" style="63" bestFit="1" customWidth="1"/>
    <col min="16" max="16" width="7.69921875" style="63" bestFit="1" customWidth="1"/>
    <col min="17" max="17" width="5.59765625" style="155" bestFit="1" customWidth="1"/>
    <col min="18" max="18" width="10" style="166" bestFit="1" customWidth="1"/>
    <col min="19" max="19" width="11.59765625" style="163" bestFit="1" customWidth="1"/>
  </cols>
  <sheetData>
    <row r="1" spans="1:31" s="64" customFormat="1" ht="21.6" thickBot="1" x14ac:dyDescent="0.45">
      <c r="A1" s="115" t="s">
        <v>103</v>
      </c>
      <c r="B1" s="116"/>
      <c r="C1" s="116"/>
      <c r="D1" s="116"/>
      <c r="E1" s="116"/>
      <c r="F1" s="117"/>
      <c r="G1" s="116"/>
      <c r="H1" s="116"/>
      <c r="I1" s="118"/>
      <c r="J1" s="119"/>
      <c r="K1" s="127"/>
      <c r="L1" s="128"/>
      <c r="M1" s="190"/>
      <c r="N1" s="160"/>
      <c r="O1" s="128"/>
      <c r="P1" s="128"/>
      <c r="Q1" s="154"/>
      <c r="R1" s="160"/>
      <c r="S1" s="161"/>
    </row>
    <row r="2" spans="1:31" ht="16.2" thickBot="1" x14ac:dyDescent="0.35">
      <c r="A2" s="17" t="s">
        <v>16</v>
      </c>
      <c r="B2" s="370" t="s">
        <v>199</v>
      </c>
      <c r="C2" s="18" t="s">
        <v>17</v>
      </c>
      <c r="D2" s="18" t="s">
        <v>30</v>
      </c>
      <c r="E2" s="18" t="s">
        <v>31</v>
      </c>
      <c r="F2" s="40" t="s">
        <v>32</v>
      </c>
      <c r="G2" s="18" t="s">
        <v>33</v>
      </c>
      <c r="H2" s="18" t="s">
        <v>34</v>
      </c>
      <c r="I2" s="40" t="s">
        <v>32</v>
      </c>
      <c r="J2" s="42" t="s">
        <v>40</v>
      </c>
      <c r="K2" s="106"/>
      <c r="M2" s="192"/>
      <c r="N2" s="195" t="s">
        <v>177</v>
      </c>
      <c r="O2" s="107"/>
      <c r="P2" s="107"/>
      <c r="R2" s="161"/>
    </row>
    <row r="3" spans="1:31" s="65" customFormat="1" ht="16.2" thickBot="1" x14ac:dyDescent="0.35">
      <c r="A3" s="123" t="s">
        <v>91</v>
      </c>
      <c r="B3" s="443"/>
      <c r="C3" s="57" t="s">
        <v>133</v>
      </c>
      <c r="D3" s="57"/>
      <c r="E3" s="57"/>
      <c r="F3" s="58"/>
      <c r="G3" s="57"/>
      <c r="H3" s="57"/>
      <c r="I3" s="139"/>
      <c r="J3" s="133">
        <f>SUM(I4:I29)</f>
        <v>421989.9</v>
      </c>
      <c r="K3"/>
      <c r="L3" s="122"/>
      <c r="M3" s="192" t="s">
        <v>144</v>
      </c>
      <c r="N3" s="195">
        <f>SUM(N4:N29)</f>
        <v>436902</v>
      </c>
      <c r="O3" s="109"/>
      <c r="P3" s="109"/>
      <c r="Q3" s="156"/>
      <c r="R3" s="162"/>
      <c r="S3" s="164"/>
      <c r="T3" s="122"/>
      <c r="U3" s="122"/>
      <c r="V3" s="122"/>
      <c r="W3" s="122"/>
      <c r="X3" s="122"/>
      <c r="Y3" s="122"/>
    </row>
    <row r="4" spans="1:31" s="66" customFormat="1" x14ac:dyDescent="0.3">
      <c r="A4" s="463" t="s">
        <v>91</v>
      </c>
      <c r="B4" s="456">
        <v>147300</v>
      </c>
      <c r="C4" s="57" t="s">
        <v>134</v>
      </c>
      <c r="D4" s="57">
        <v>20</v>
      </c>
      <c r="E4" s="57"/>
      <c r="F4" s="58"/>
      <c r="G4" s="57"/>
      <c r="H4" s="57"/>
      <c r="I4" s="58">
        <f>SUM(F5:F12)</f>
        <v>130361.99999999999</v>
      </c>
      <c r="J4" s="70"/>
      <c r="K4" s="105"/>
      <c r="L4" s="121"/>
      <c r="M4" s="192">
        <f>SUM(M5:M12)</f>
        <v>7352.3499999999995</v>
      </c>
      <c r="N4" s="195">
        <v>231001</v>
      </c>
      <c r="O4" s="43">
        <f>I13+I4</f>
        <v>211107</v>
      </c>
      <c r="P4"/>
      <c r="Q4"/>
      <c r="R4" s="163"/>
      <c r="S4" s="165"/>
      <c r="T4" s="121"/>
      <c r="U4" s="121"/>
      <c r="V4" s="121"/>
      <c r="W4" s="121"/>
      <c r="X4" s="121"/>
      <c r="Y4" s="121"/>
      <c r="Z4" s="121"/>
      <c r="AA4" s="121"/>
      <c r="AB4" s="121"/>
      <c r="AC4" s="121"/>
      <c r="AD4" s="121"/>
      <c r="AE4" s="121"/>
    </row>
    <row r="5" spans="1:31" s="66" customFormat="1" x14ac:dyDescent="0.3">
      <c r="A5" s="464"/>
      <c r="B5" s="457"/>
      <c r="C5" s="71"/>
      <c r="D5" s="51" t="s">
        <v>161</v>
      </c>
      <c r="E5" s="51" t="s">
        <v>162</v>
      </c>
      <c r="F5" s="52">
        <f>(D4-5)*3337</f>
        <v>50055</v>
      </c>
      <c r="G5" s="51" t="s">
        <v>36</v>
      </c>
      <c r="H5" s="69" t="s">
        <v>163</v>
      </c>
      <c r="I5" s="52"/>
      <c r="J5" s="53"/>
      <c r="K5" s="120"/>
      <c r="L5" s="121"/>
      <c r="M5" s="192">
        <f>F5/(D$4-5)</f>
        <v>3337</v>
      </c>
      <c r="N5" s="195" t="s">
        <v>189</v>
      </c>
      <c r="T5" s="121"/>
      <c r="U5" s="121"/>
      <c r="V5" s="121"/>
      <c r="W5" s="121"/>
      <c r="X5" s="121"/>
      <c r="Y5" s="121"/>
      <c r="Z5" s="121"/>
      <c r="AA5" s="121"/>
      <c r="AB5" s="121"/>
      <c r="AC5" s="121"/>
      <c r="AD5" s="121"/>
      <c r="AE5" s="121"/>
    </row>
    <row r="6" spans="1:31" s="66" customFormat="1" x14ac:dyDescent="0.3">
      <c r="A6" s="464"/>
      <c r="B6" s="457"/>
      <c r="C6" s="71"/>
      <c r="D6" s="51" t="s">
        <v>164</v>
      </c>
      <c r="E6" s="51" t="s">
        <v>170</v>
      </c>
      <c r="F6" s="52">
        <f>D4*685.51</f>
        <v>13710.2</v>
      </c>
      <c r="G6" s="51" t="s">
        <v>36</v>
      </c>
      <c r="H6" s="69" t="s">
        <v>171</v>
      </c>
      <c r="I6" s="52"/>
      <c r="J6" s="53"/>
      <c r="K6" s="120"/>
      <c r="L6" s="121"/>
      <c r="M6" s="192">
        <f t="shared" ref="M6:M12" si="0">F6/D$4</f>
        <v>685.51</v>
      </c>
      <c r="N6" s="195"/>
      <c r="T6" s="121"/>
      <c r="U6" s="121"/>
      <c r="V6" s="121"/>
      <c r="W6" s="121"/>
      <c r="X6" s="121"/>
      <c r="Y6" s="121"/>
      <c r="Z6" s="121"/>
      <c r="AA6" s="121"/>
      <c r="AB6" s="121"/>
      <c r="AC6" s="121"/>
      <c r="AD6" s="121"/>
      <c r="AE6" s="121"/>
    </row>
    <row r="7" spans="1:31" s="66" customFormat="1" x14ac:dyDescent="0.3">
      <c r="A7" s="464"/>
      <c r="B7" s="457"/>
      <c r="C7" s="71"/>
      <c r="D7" s="51" t="s">
        <v>172</v>
      </c>
      <c r="E7" s="51" t="s">
        <v>162</v>
      </c>
      <c r="F7" s="52">
        <f>789.96*D4</f>
        <v>15799.2</v>
      </c>
      <c r="G7" s="51" t="s">
        <v>36</v>
      </c>
      <c r="H7" s="69" t="s">
        <v>174</v>
      </c>
      <c r="I7" s="52"/>
      <c r="J7" s="53"/>
      <c r="K7" s="120"/>
      <c r="L7" s="121"/>
      <c r="M7" s="192">
        <f t="shared" si="0"/>
        <v>789.96</v>
      </c>
      <c r="N7" s="195"/>
      <c r="T7" s="121"/>
      <c r="U7" s="121"/>
      <c r="V7" s="121"/>
      <c r="W7" s="121"/>
      <c r="X7" s="121"/>
      <c r="Y7" s="121"/>
      <c r="Z7" s="121"/>
      <c r="AA7" s="121"/>
      <c r="AB7" s="121"/>
      <c r="AC7" s="121"/>
      <c r="AD7" s="121"/>
      <c r="AE7" s="121"/>
    </row>
    <row r="8" spans="1:31" s="66" customFormat="1" x14ac:dyDescent="0.3">
      <c r="A8" s="464"/>
      <c r="B8" s="457"/>
      <c r="C8" s="71"/>
      <c r="D8" s="51" t="s">
        <v>173</v>
      </c>
      <c r="E8" s="51" t="s">
        <v>162</v>
      </c>
      <c r="F8" s="52">
        <f>518.36*D4</f>
        <v>10367.200000000001</v>
      </c>
      <c r="G8" s="51" t="s">
        <v>36</v>
      </c>
      <c r="H8" s="69" t="s">
        <v>174</v>
      </c>
      <c r="I8" s="52"/>
      <c r="J8" s="53"/>
      <c r="K8" s="120"/>
      <c r="L8" s="121"/>
      <c r="M8" s="192">
        <f t="shared" si="0"/>
        <v>518.36</v>
      </c>
      <c r="N8" s="195"/>
      <c r="T8" s="121"/>
      <c r="U8" s="121"/>
      <c r="V8" s="121"/>
      <c r="W8" s="121"/>
      <c r="X8" s="121"/>
      <c r="Y8" s="121"/>
      <c r="Z8" s="121"/>
      <c r="AA8" s="121"/>
      <c r="AB8" s="121"/>
      <c r="AC8" s="121"/>
      <c r="AD8" s="121"/>
      <c r="AE8" s="121"/>
    </row>
    <row r="9" spans="1:31" s="66" customFormat="1" ht="14.4" x14ac:dyDescent="0.3">
      <c r="A9" s="464"/>
      <c r="B9" s="457"/>
      <c r="C9" s="71"/>
      <c r="D9" s="51" t="s">
        <v>167</v>
      </c>
      <c r="E9" s="51" t="s">
        <v>169</v>
      </c>
      <c r="F9" s="52">
        <f>D4*851.98</f>
        <v>17039.599999999999</v>
      </c>
      <c r="G9" s="51" t="s">
        <v>36</v>
      </c>
      <c r="H9" s="168" t="s">
        <v>175</v>
      </c>
      <c r="I9" s="52"/>
      <c r="J9" s="53"/>
      <c r="K9" s="120"/>
      <c r="L9" s="121"/>
      <c r="M9" s="192">
        <f t="shared" si="0"/>
        <v>851.9799999999999</v>
      </c>
      <c r="N9" s="195"/>
      <c r="T9" s="121"/>
      <c r="U9" s="121"/>
      <c r="V9" s="121"/>
      <c r="W9" s="121"/>
      <c r="X9" s="121"/>
      <c r="Y9" s="121"/>
      <c r="Z9" s="121"/>
      <c r="AA9" s="121"/>
      <c r="AB9" s="121"/>
      <c r="AC9" s="121"/>
      <c r="AD9" s="121"/>
      <c r="AE9" s="121"/>
    </row>
    <row r="10" spans="1:31" s="66" customFormat="1" ht="14.4" x14ac:dyDescent="0.3">
      <c r="A10" s="464"/>
      <c r="B10" s="457"/>
      <c r="C10" s="71"/>
      <c r="D10" s="51" t="s">
        <v>165</v>
      </c>
      <c r="E10" s="51" t="s">
        <v>166</v>
      </c>
      <c r="F10" s="52">
        <f>D4*822.5</f>
        <v>16450</v>
      </c>
      <c r="G10" s="51" t="s">
        <v>36</v>
      </c>
      <c r="H10" s="51" t="s">
        <v>175</v>
      </c>
      <c r="I10" s="52"/>
      <c r="J10" s="53"/>
      <c r="K10" s="120"/>
      <c r="L10" s="121"/>
      <c r="M10" s="192">
        <f t="shared" si="0"/>
        <v>822.5</v>
      </c>
      <c r="N10" s="195"/>
      <c r="T10" s="121"/>
      <c r="U10" s="121"/>
      <c r="V10" s="121"/>
      <c r="W10" s="121"/>
      <c r="X10" s="121"/>
      <c r="Y10" s="121"/>
      <c r="Z10" s="121"/>
      <c r="AA10" s="121"/>
      <c r="AB10" s="121"/>
      <c r="AC10" s="121"/>
      <c r="AD10" s="121"/>
      <c r="AE10" s="121"/>
    </row>
    <row r="11" spans="1:31" s="66" customFormat="1" x14ac:dyDescent="0.3">
      <c r="A11" s="464"/>
      <c r="B11" s="457"/>
      <c r="C11" s="71"/>
      <c r="D11" s="51" t="str">
        <f>D57</f>
        <v>MTP-48(M) to 4 x PRIZM-12 Fiber Assembly</v>
      </c>
      <c r="E11" s="51" t="s">
        <v>51</v>
      </c>
      <c r="F11" s="169">
        <f>D$4*I57</f>
        <v>3564</v>
      </c>
      <c r="G11" s="51" t="s">
        <v>36</v>
      </c>
      <c r="H11" s="69" t="str">
        <f>CONCATENATE("Quote: ",E57)</f>
        <v>Quote: CCI/1000681-L</v>
      </c>
      <c r="I11" s="52"/>
      <c r="J11" s="53"/>
      <c r="K11" s="120"/>
      <c r="L11" s="121"/>
      <c r="M11" s="192">
        <f t="shared" si="0"/>
        <v>178.2</v>
      </c>
      <c r="N11" s="195"/>
      <c r="T11" s="121"/>
      <c r="U11" s="121"/>
      <c r="V11" s="121"/>
      <c r="W11" s="121"/>
      <c r="X11" s="121"/>
      <c r="Y11" s="121"/>
      <c r="Z11" s="121"/>
      <c r="AA11" s="121"/>
      <c r="AB11" s="121"/>
      <c r="AC11" s="121"/>
      <c r="AD11" s="121"/>
      <c r="AE11" s="121"/>
    </row>
    <row r="12" spans="1:31" s="66" customFormat="1" ht="16.2" thickBot="1" x14ac:dyDescent="0.35">
      <c r="A12" s="465"/>
      <c r="B12" s="458"/>
      <c r="C12" s="71"/>
      <c r="D12" s="51" t="str">
        <f>D58</f>
        <v>MTP-48(M) to 4 x PRIZM-12 Fiber Assembly</v>
      </c>
      <c r="E12" s="51" t="s">
        <v>51</v>
      </c>
      <c r="F12" s="169">
        <f>D$4*I58</f>
        <v>3376.8</v>
      </c>
      <c r="G12" s="51" t="s">
        <v>36</v>
      </c>
      <c r="H12" s="69" t="str">
        <f>CONCATENATE("Quote: ",E58)</f>
        <v>Quote: CCI/1000681-S</v>
      </c>
      <c r="I12" s="52"/>
      <c r="J12" s="53"/>
      <c r="K12" s="120"/>
      <c r="L12" s="121"/>
      <c r="M12" s="192">
        <f t="shared" si="0"/>
        <v>168.84</v>
      </c>
      <c r="N12" s="195"/>
      <c r="T12" s="121"/>
      <c r="U12" s="121"/>
      <c r="V12" s="121"/>
      <c r="W12" s="121"/>
      <c r="X12" s="121"/>
      <c r="Y12" s="121"/>
      <c r="Z12" s="121"/>
      <c r="AA12" s="121"/>
      <c r="AB12" s="121"/>
      <c r="AC12" s="121"/>
      <c r="AD12" s="121"/>
      <c r="AE12" s="121"/>
    </row>
    <row r="13" spans="1:31" s="66" customFormat="1" x14ac:dyDescent="0.3">
      <c r="A13" s="463" t="s">
        <v>91</v>
      </c>
      <c r="B13" s="456">
        <v>147370</v>
      </c>
      <c r="C13" s="57" t="s">
        <v>168</v>
      </c>
      <c r="D13" s="57">
        <v>30</v>
      </c>
      <c r="E13" s="57"/>
      <c r="F13" s="58"/>
      <c r="G13" s="57"/>
      <c r="H13" s="202"/>
      <c r="I13" s="58">
        <f>SUM(F14:F21)</f>
        <v>80745</v>
      </c>
      <c r="J13" s="70"/>
      <c r="K13" s="105"/>
      <c r="L13" s="121"/>
      <c r="M13" s="192">
        <f>I13/D13</f>
        <v>2691.5</v>
      </c>
      <c r="N13" s="194" t="s">
        <v>188</v>
      </c>
      <c r="O13"/>
      <c r="P13"/>
      <c r="Q13"/>
      <c r="R13" s="163"/>
      <c r="S13" s="165"/>
      <c r="T13" s="121"/>
      <c r="U13" s="121"/>
      <c r="V13" s="121"/>
      <c r="W13" s="121"/>
      <c r="X13" s="121"/>
      <c r="Y13" s="121"/>
      <c r="Z13" s="121"/>
      <c r="AA13" s="121"/>
      <c r="AB13" s="121"/>
      <c r="AC13" s="121"/>
      <c r="AD13" s="121"/>
      <c r="AE13" s="121"/>
    </row>
    <row r="14" spans="1:31" s="66" customFormat="1" x14ac:dyDescent="0.3">
      <c r="A14" s="464"/>
      <c r="B14" s="457"/>
      <c r="C14" s="71"/>
      <c r="D14" s="51" t="str">
        <f t="shared" ref="D14:D21" si="1">D59</f>
        <v>48-fiber MTP (F)-MTP (F) on OM3 cable, Polarity straight, 3m</v>
      </c>
      <c r="E14" s="51" t="s">
        <v>51</v>
      </c>
      <c r="F14" s="169">
        <f t="shared" ref="F14:F21" si="2">J59</f>
        <v>11520</v>
      </c>
      <c r="G14" s="51" t="s">
        <v>36</v>
      </c>
      <c r="H14" s="69" t="str">
        <f t="shared" ref="H14:H21" si="3">CONCATENATE("Quote: ",E59)</f>
        <v>Quote: CCI/T40408PF48-003?</v>
      </c>
      <c r="I14" s="52"/>
      <c r="J14" s="53"/>
      <c r="K14" s="120"/>
      <c r="L14" s="121"/>
      <c r="M14" s="192">
        <f>F14/D$13</f>
        <v>384</v>
      </c>
      <c r="N14" s="195"/>
      <c r="T14" s="121"/>
      <c r="U14" s="121"/>
      <c r="V14" s="121"/>
      <c r="W14" s="121"/>
      <c r="X14" s="121"/>
      <c r="Y14" s="121"/>
      <c r="Z14" s="121"/>
      <c r="AA14" s="121"/>
      <c r="AB14" s="121"/>
      <c r="AC14" s="121"/>
      <c r="AD14" s="121"/>
      <c r="AE14" s="121"/>
    </row>
    <row r="15" spans="1:31" s="66" customFormat="1" x14ac:dyDescent="0.3">
      <c r="A15" s="464"/>
      <c r="B15" s="457"/>
      <c r="C15" s="71"/>
      <c r="D15" s="51" t="str">
        <f t="shared" si="1"/>
        <v>48-fiber MTP (F)-MTP (M) on OM3 cable, Polarity straight, 58m</v>
      </c>
      <c r="E15" s="51" t="s">
        <v>51</v>
      </c>
      <c r="F15" s="169">
        <f t="shared" si="2"/>
        <v>30492</v>
      </c>
      <c r="G15" s="51" t="s">
        <v>36</v>
      </c>
      <c r="H15" s="69" t="str">
        <f t="shared" si="3"/>
        <v>Quote: CCI/T40418PF48-058?</v>
      </c>
      <c r="I15" s="52"/>
      <c r="J15" s="53"/>
      <c r="K15" s="120"/>
      <c r="L15" s="121"/>
      <c r="M15" s="192">
        <f t="shared" ref="M15:M21" si="4">F15/D$13</f>
        <v>1016.4</v>
      </c>
      <c r="N15" s="195"/>
      <c r="T15" s="121"/>
      <c r="U15" s="121"/>
      <c r="V15" s="121"/>
      <c r="W15" s="121"/>
      <c r="X15" s="121"/>
      <c r="Y15" s="121"/>
      <c r="Z15" s="121"/>
      <c r="AA15" s="121"/>
      <c r="AB15" s="121"/>
      <c r="AC15" s="121"/>
      <c r="AD15" s="121"/>
      <c r="AE15" s="121"/>
    </row>
    <row r="16" spans="1:31" s="66" customFormat="1" x14ac:dyDescent="0.3">
      <c r="A16" s="464"/>
      <c r="B16" s="457"/>
      <c r="C16" s="71"/>
      <c r="D16" s="51" t="str">
        <f t="shared" si="1"/>
        <v>48-fiber MTP (F)-MTP (M) on OM3 cable, Polarity straight, 15m</v>
      </c>
      <c r="E16" s="51" t="s">
        <v>51</v>
      </c>
      <c r="F16" s="169">
        <f t="shared" si="2"/>
        <v>15552</v>
      </c>
      <c r="G16" s="51" t="s">
        <v>36</v>
      </c>
      <c r="H16" s="69" t="str">
        <f t="shared" si="3"/>
        <v>Quote: CCI/T40418PF48-015?</v>
      </c>
      <c r="I16" s="52"/>
      <c r="J16" s="53"/>
      <c r="K16" s="120"/>
      <c r="L16" s="121"/>
      <c r="M16" s="192">
        <f t="shared" si="4"/>
        <v>518.4</v>
      </c>
      <c r="N16" s="195"/>
      <c r="T16" s="121"/>
      <c r="U16" s="121"/>
      <c r="V16" s="121"/>
      <c r="W16" s="121"/>
      <c r="X16" s="121"/>
      <c r="Y16" s="121"/>
      <c r="Z16" s="121"/>
      <c r="AA16" s="121"/>
      <c r="AB16" s="121"/>
      <c r="AC16" s="121"/>
      <c r="AD16" s="121"/>
      <c r="AE16" s="121"/>
    </row>
    <row r="17" spans="1:31" s="66" customFormat="1" x14ac:dyDescent="0.3">
      <c r="A17" s="464"/>
      <c r="B17" s="457"/>
      <c r="C17" s="71"/>
      <c r="D17" s="51" t="str">
        <f t="shared" si="1"/>
        <v>1U 19" 12 port MPO feedthru panel with 12X MPO couplers.</v>
      </c>
      <c r="E17" s="51" t="s">
        <v>51</v>
      </c>
      <c r="F17" s="169">
        <f t="shared" si="2"/>
        <v>852</v>
      </c>
      <c r="G17" s="51" t="s">
        <v>36</v>
      </c>
      <c r="H17" s="69" t="str">
        <f t="shared" si="3"/>
        <v>Quote: CCI/56348-MT</v>
      </c>
      <c r="I17" s="52"/>
      <c r="J17" s="53"/>
      <c r="K17" s="120"/>
      <c r="L17" s="121"/>
      <c r="M17" s="192">
        <f t="shared" si="4"/>
        <v>28.4</v>
      </c>
      <c r="N17" s="195"/>
      <c r="T17" s="121"/>
      <c r="U17" s="121"/>
      <c r="V17" s="121"/>
      <c r="W17" s="121"/>
      <c r="X17" s="121"/>
      <c r="Y17" s="121"/>
      <c r="Z17" s="121"/>
      <c r="AA17" s="121"/>
      <c r="AB17" s="121"/>
      <c r="AC17" s="121"/>
      <c r="AD17" s="121"/>
      <c r="AE17" s="121"/>
    </row>
    <row r="18" spans="1:31" s="66" customFormat="1" x14ac:dyDescent="0.3">
      <c r="A18" s="464"/>
      <c r="B18" s="457"/>
      <c r="C18" s="71"/>
      <c r="D18" s="51" t="str">
        <f t="shared" si="1"/>
        <v>48F MTP(M) - LC Hydra assembly 900um OM3 18" length</v>
      </c>
      <c r="E18" s="51" t="s">
        <v>51</v>
      </c>
      <c r="F18" s="169">
        <f t="shared" si="2"/>
        <v>8718</v>
      </c>
      <c r="G18" s="51" t="s">
        <v>36</v>
      </c>
      <c r="H18" s="69" t="str">
        <f t="shared" si="3"/>
        <v>Quote: CCI/1000450-18I-48F</v>
      </c>
      <c r="I18" s="52"/>
      <c r="J18" s="53"/>
      <c r="K18" s="120"/>
      <c r="L18" s="121"/>
      <c r="M18" s="192">
        <f t="shared" si="4"/>
        <v>290.60000000000002</v>
      </c>
      <c r="N18" s="195"/>
      <c r="T18" s="121"/>
      <c r="U18" s="121"/>
      <c r="V18" s="121"/>
      <c r="W18" s="121"/>
      <c r="X18" s="121"/>
      <c r="Y18" s="121"/>
      <c r="Z18" s="121"/>
      <c r="AA18" s="121"/>
      <c r="AB18" s="121"/>
      <c r="AC18" s="121"/>
      <c r="AD18" s="121"/>
      <c r="AE18" s="121"/>
    </row>
    <row r="19" spans="1:31" s="66" customFormat="1" x14ac:dyDescent="0.3">
      <c r="A19" s="464"/>
      <c r="B19" s="457"/>
      <c r="C19" s="71"/>
      <c r="D19" s="51" t="str">
        <f t="shared" si="1"/>
        <v>COUPLER LC/LC Duplex, Aqua, Zirconia Sleeve</v>
      </c>
      <c r="E19" s="51" t="s">
        <v>51</v>
      </c>
      <c r="F19" s="169">
        <f t="shared" si="2"/>
        <v>2664</v>
      </c>
      <c r="G19" s="51" t="s">
        <v>36</v>
      </c>
      <c r="H19" s="69" t="str">
        <f t="shared" si="3"/>
        <v>Quote: CCI/F26268P302-001</v>
      </c>
      <c r="I19" s="52"/>
      <c r="J19" s="53"/>
      <c r="K19" s="120"/>
      <c r="L19" s="121"/>
      <c r="M19" s="192">
        <f t="shared" si="4"/>
        <v>88.8</v>
      </c>
      <c r="N19" s="195"/>
      <c r="T19" s="121"/>
      <c r="U19" s="121"/>
      <c r="V19" s="121"/>
      <c r="W19" s="121"/>
      <c r="X19" s="121"/>
      <c r="Y19" s="121"/>
      <c r="Z19" s="121"/>
      <c r="AA19" s="121"/>
      <c r="AB19" s="121"/>
      <c r="AC19" s="121"/>
      <c r="AD19" s="121"/>
      <c r="AE19" s="121"/>
    </row>
    <row r="20" spans="1:31" s="59" customFormat="1" x14ac:dyDescent="0.3">
      <c r="A20" s="464"/>
      <c r="B20" s="457"/>
      <c r="C20" s="51"/>
      <c r="D20" s="51" t="str">
        <f t="shared" si="1"/>
        <v>MTP Coupler</v>
      </c>
      <c r="E20" s="51" t="s">
        <v>51</v>
      </c>
      <c r="F20" s="169">
        <f t="shared" si="2"/>
        <v>147</v>
      </c>
      <c r="G20" s="51" t="s">
        <v>36</v>
      </c>
      <c r="H20" s="69" t="str">
        <f t="shared" si="3"/>
        <v>Quote: CCI/100106</v>
      </c>
      <c r="I20" s="52"/>
      <c r="J20" s="53"/>
      <c r="K20" s="120"/>
      <c r="M20" s="192">
        <f t="shared" si="4"/>
        <v>4.9000000000000004</v>
      </c>
      <c r="N20" s="195"/>
    </row>
    <row r="21" spans="1:31" s="59" customFormat="1" ht="16.2" thickBot="1" x14ac:dyDescent="0.35">
      <c r="A21" s="465"/>
      <c r="B21" s="458"/>
      <c r="C21" s="168"/>
      <c r="D21" s="51" t="str">
        <f t="shared" si="1"/>
        <v>LC to LC duplex Uni-Boot, 2mm OM3 Aqua, 1 meter length</v>
      </c>
      <c r="E21" s="51" t="s">
        <v>51</v>
      </c>
      <c r="F21" s="169">
        <f t="shared" si="2"/>
        <v>10800</v>
      </c>
      <c r="G21" s="51" t="s">
        <v>36</v>
      </c>
      <c r="H21" s="69" t="str">
        <f t="shared" si="3"/>
        <v>Quote: CCI/F26268P302-001</v>
      </c>
      <c r="I21" s="169"/>
      <c r="J21" s="170"/>
      <c r="K21" s="131"/>
      <c r="M21" s="192">
        <f t="shared" si="4"/>
        <v>360</v>
      </c>
      <c r="N21" s="195" t="s">
        <v>176</v>
      </c>
    </row>
    <row r="22" spans="1:31" s="65" customFormat="1" ht="16.2" thickBot="1" x14ac:dyDescent="0.35">
      <c r="A22" s="463" t="s">
        <v>91</v>
      </c>
      <c r="B22" s="456">
        <v>148400</v>
      </c>
      <c r="C22" s="57" t="s">
        <v>206</v>
      </c>
      <c r="D22" s="57"/>
      <c r="E22" s="57"/>
      <c r="F22" s="58"/>
      <c r="G22" s="57"/>
      <c r="H22" s="202"/>
      <c r="I22" s="139">
        <f>SUM(F23:F29)</f>
        <v>210882.9</v>
      </c>
      <c r="J22" s="133"/>
      <c r="K22" s="108"/>
      <c r="L22" s="122"/>
      <c r="M22" s="192"/>
      <c r="N22" s="195">
        <v>205901</v>
      </c>
      <c r="O22" s="109"/>
      <c r="P22" s="109"/>
      <c r="Q22" s="156"/>
      <c r="R22" s="162"/>
      <c r="S22" s="164"/>
      <c r="T22" s="122"/>
      <c r="U22" s="122"/>
      <c r="V22" s="122"/>
      <c r="W22" s="122"/>
      <c r="X22" s="122"/>
      <c r="Y22" s="122"/>
    </row>
    <row r="23" spans="1:31" s="66" customFormat="1" x14ac:dyDescent="0.3">
      <c r="A23" s="464"/>
      <c r="B23" s="457"/>
      <c r="C23" s="183"/>
      <c r="D23" s="183" t="s">
        <v>160</v>
      </c>
      <c r="E23" s="183" t="s">
        <v>59</v>
      </c>
      <c r="F23" s="184">
        <f>(24*1.25)*6500</f>
        <v>195000</v>
      </c>
      <c r="G23" s="183" t="s">
        <v>36</v>
      </c>
      <c r="H23" s="69" t="s">
        <v>159</v>
      </c>
      <c r="I23" s="184"/>
      <c r="J23" s="135"/>
      <c r="K23" s="185"/>
      <c r="M23" s="192"/>
      <c r="N23" s="195"/>
      <c r="O23" s="186"/>
      <c r="P23" s="186"/>
      <c r="Q23" s="187"/>
      <c r="R23" s="188"/>
      <c r="S23" s="188"/>
    </row>
    <row r="24" spans="1:31" s="65" customFormat="1" ht="15.6" customHeight="1" x14ac:dyDescent="0.3">
      <c r="A24" s="464"/>
      <c r="B24" s="457"/>
      <c r="C24" s="67"/>
      <c r="D24" s="67" t="s">
        <v>67</v>
      </c>
      <c r="E24" s="67" t="s">
        <v>56</v>
      </c>
      <c r="F24" s="68">
        <f>2*200</f>
        <v>400</v>
      </c>
      <c r="G24" s="67" t="s">
        <v>36</v>
      </c>
      <c r="H24" s="203" t="s">
        <v>37</v>
      </c>
      <c r="I24" s="68"/>
      <c r="J24" s="134"/>
      <c r="K24" s="129"/>
      <c r="L24" s="122"/>
      <c r="M24" s="192"/>
      <c r="N24" s="195"/>
      <c r="O24" s="130"/>
      <c r="P24" s="130"/>
      <c r="Q24" s="157"/>
      <c r="R24" s="164"/>
      <c r="S24" s="164"/>
      <c r="T24" s="122"/>
      <c r="U24" s="122"/>
      <c r="V24" s="122"/>
      <c r="W24" s="122"/>
      <c r="X24" s="122"/>
      <c r="Y24" s="122"/>
    </row>
    <row r="25" spans="1:31" s="66" customFormat="1" ht="15.6" customHeight="1" x14ac:dyDescent="0.3">
      <c r="A25" s="464"/>
      <c r="B25" s="457"/>
      <c r="C25" s="67"/>
      <c r="D25" s="67" t="s">
        <v>68</v>
      </c>
      <c r="E25" s="67" t="s">
        <v>56</v>
      </c>
      <c r="F25" s="68">
        <f>(24*1.2)*50</f>
        <v>1439.9999999999998</v>
      </c>
      <c r="G25" s="67" t="s">
        <v>36</v>
      </c>
      <c r="H25" s="67" t="s">
        <v>37</v>
      </c>
      <c r="I25" s="68"/>
      <c r="J25" s="134"/>
      <c r="K25" s="129"/>
      <c r="L25" s="121"/>
      <c r="M25" s="192"/>
      <c r="N25" s="195"/>
      <c r="O25" s="130"/>
      <c r="P25" s="130"/>
      <c r="Q25" s="157"/>
      <c r="R25" s="164"/>
      <c r="S25" s="165"/>
      <c r="T25" s="121"/>
      <c r="U25" s="121"/>
      <c r="V25" s="121"/>
      <c r="W25" s="121"/>
      <c r="X25" s="121"/>
      <c r="Y25" s="121"/>
    </row>
    <row r="26" spans="1:31" s="66" customFormat="1" x14ac:dyDescent="0.3">
      <c r="A26" s="464"/>
      <c r="B26" s="457"/>
      <c r="C26" s="51"/>
      <c r="D26" s="51" t="s">
        <v>178</v>
      </c>
      <c r="E26" s="51" t="s">
        <v>63</v>
      </c>
      <c r="F26" s="52">
        <f>(24+24)*1.25*45.09</f>
        <v>2705.4</v>
      </c>
      <c r="G26" s="51" t="s">
        <v>36</v>
      </c>
      <c r="H26" s="69" t="s">
        <v>83</v>
      </c>
      <c r="I26" s="52"/>
      <c r="J26" s="135"/>
      <c r="K26" s="131"/>
      <c r="L26" s="121"/>
      <c r="M26" s="192"/>
      <c r="N26" s="195"/>
      <c r="O26" s="132"/>
      <c r="P26" s="132"/>
      <c r="Q26" s="158"/>
      <c r="R26" s="165"/>
      <c r="S26" s="165"/>
      <c r="T26" s="121"/>
      <c r="U26" s="121"/>
      <c r="V26" s="121"/>
      <c r="W26" s="121"/>
      <c r="X26" s="121"/>
      <c r="Y26" s="121"/>
    </row>
    <row r="27" spans="1:31" s="65" customFormat="1" x14ac:dyDescent="0.3">
      <c r="A27" s="464"/>
      <c r="B27" s="457"/>
      <c r="C27" s="51"/>
      <c r="D27" s="51" t="s">
        <v>195</v>
      </c>
      <c r="E27" s="51" t="s">
        <v>51</v>
      </c>
      <c r="F27" s="52">
        <f>I66*24*1.25</f>
        <v>337.5</v>
      </c>
      <c r="G27" s="51" t="s">
        <v>36</v>
      </c>
      <c r="H27" s="69" t="s">
        <v>82</v>
      </c>
      <c r="I27" s="52"/>
      <c r="J27" s="135"/>
      <c r="K27" s="131"/>
      <c r="L27" s="122"/>
      <c r="M27" s="192"/>
      <c r="N27" s="195"/>
      <c r="O27" s="132"/>
      <c r="P27" s="132"/>
      <c r="Q27" s="158"/>
      <c r="R27" s="165"/>
      <c r="S27" s="164"/>
      <c r="T27" s="122"/>
      <c r="U27" s="122"/>
      <c r="V27" s="122"/>
      <c r="W27" s="122"/>
      <c r="X27" s="122"/>
      <c r="Y27" s="122"/>
    </row>
    <row r="28" spans="1:31" s="65" customFormat="1" ht="15.6" customHeight="1" x14ac:dyDescent="0.3">
      <c r="A28" s="464"/>
      <c r="B28" s="457"/>
      <c r="C28" s="67"/>
      <c r="D28" s="67" t="s">
        <v>64</v>
      </c>
      <c r="E28" s="67" t="s">
        <v>65</v>
      </c>
      <c r="F28" s="68">
        <v>1000</v>
      </c>
      <c r="G28" s="67" t="s">
        <v>36</v>
      </c>
      <c r="H28" s="203" t="s">
        <v>37</v>
      </c>
      <c r="I28" s="68"/>
      <c r="J28" s="134"/>
      <c r="K28" s="129"/>
      <c r="L28" s="122"/>
      <c r="M28" s="192"/>
      <c r="N28" s="195"/>
      <c r="O28" s="130"/>
      <c r="P28" s="130"/>
      <c r="Q28" s="157"/>
      <c r="R28" s="164"/>
      <c r="S28" s="164"/>
      <c r="T28" s="122"/>
      <c r="U28" s="122"/>
      <c r="V28" s="122"/>
      <c r="W28" s="122"/>
      <c r="X28" s="122"/>
      <c r="Y28" s="122"/>
    </row>
    <row r="29" spans="1:31" ht="16.2" thickBot="1" x14ac:dyDescent="0.35">
      <c r="A29" s="465"/>
      <c r="B29" s="458"/>
      <c r="C29" s="136"/>
      <c r="D29" s="136" t="s">
        <v>55</v>
      </c>
      <c r="E29" s="136" t="s">
        <v>56</v>
      </c>
      <c r="F29" s="137">
        <f>10000</f>
        <v>10000</v>
      </c>
      <c r="G29" s="136" t="s">
        <v>36</v>
      </c>
      <c r="H29" s="136" t="s">
        <v>37</v>
      </c>
      <c r="I29" s="137"/>
      <c r="J29" s="138"/>
      <c r="K29" s="129"/>
      <c r="M29" s="192"/>
      <c r="N29" s="195"/>
      <c r="O29" s="130"/>
      <c r="P29" s="130"/>
      <c r="Q29" s="157"/>
      <c r="R29" s="164"/>
    </row>
    <row r="31" spans="1:31" ht="21.6" thickBot="1" x14ac:dyDescent="0.45">
      <c r="A31" s="82" t="s">
        <v>104</v>
      </c>
      <c r="B31" s="82"/>
      <c r="C31" s="82"/>
      <c r="D31" s="82"/>
      <c r="E31" s="82"/>
      <c r="F31" s="82"/>
      <c r="G31" s="83"/>
    </row>
    <row r="32" spans="1:31" ht="16.2" thickBot="1" x14ac:dyDescent="0.35">
      <c r="A32" s="84" t="s">
        <v>16</v>
      </c>
      <c r="B32" s="374" t="s">
        <v>199</v>
      </c>
      <c r="C32" s="85" t="s">
        <v>17</v>
      </c>
      <c r="D32" s="86" t="s">
        <v>105</v>
      </c>
      <c r="E32" s="87" t="s">
        <v>106</v>
      </c>
      <c r="F32" s="87" t="s">
        <v>107</v>
      </c>
      <c r="G32" s="88" t="s">
        <v>108</v>
      </c>
    </row>
    <row r="33" spans="1:19" x14ac:dyDescent="0.3">
      <c r="A33" s="349" t="s">
        <v>91</v>
      </c>
      <c r="B33" s="470">
        <v>147400</v>
      </c>
      <c r="C33" s="352" t="s">
        <v>123</v>
      </c>
      <c r="D33" s="352" t="s">
        <v>116</v>
      </c>
      <c r="E33" s="90" t="s">
        <v>110</v>
      </c>
      <c r="F33" s="90">
        <f>132+132</f>
        <v>264</v>
      </c>
      <c r="G33" s="346">
        <f>SUM(F33:F36)</f>
        <v>755</v>
      </c>
      <c r="I33"/>
      <c r="M33" s="63"/>
      <c r="N33" s="63"/>
      <c r="Q33"/>
      <c r="R33"/>
      <c r="S33"/>
    </row>
    <row r="34" spans="1:19" x14ac:dyDescent="0.3">
      <c r="A34" s="350"/>
      <c r="B34" s="471"/>
      <c r="C34" s="353"/>
      <c r="D34" s="353"/>
      <c r="E34" s="89" t="s">
        <v>109</v>
      </c>
      <c r="F34" s="89">
        <v>44</v>
      </c>
      <c r="G34" s="347"/>
      <c r="I34"/>
      <c r="M34" s="63"/>
      <c r="N34" s="63"/>
      <c r="Q34"/>
      <c r="R34"/>
      <c r="S34"/>
    </row>
    <row r="35" spans="1:19" x14ac:dyDescent="0.3">
      <c r="A35" s="350"/>
      <c r="B35" s="471"/>
      <c r="C35" s="353"/>
      <c r="D35" s="353"/>
      <c r="E35" s="89" t="s">
        <v>124</v>
      </c>
      <c r="F35" s="89">
        <v>220</v>
      </c>
      <c r="G35" s="347"/>
      <c r="I35"/>
      <c r="M35" s="63"/>
      <c r="N35" s="63"/>
      <c r="Q35"/>
      <c r="R35"/>
      <c r="S35"/>
    </row>
    <row r="36" spans="1:19" ht="16.2" thickBot="1" x14ac:dyDescent="0.35">
      <c r="A36" s="351"/>
      <c r="B36" s="472"/>
      <c r="C36" s="354"/>
      <c r="D36" s="354"/>
      <c r="E36" s="91" t="s">
        <v>113</v>
      </c>
      <c r="F36" s="91">
        <f>44+183</f>
        <v>227</v>
      </c>
      <c r="G36" s="348"/>
      <c r="I36"/>
      <c r="M36" s="63"/>
      <c r="N36" s="63"/>
      <c r="Q36"/>
      <c r="R36"/>
      <c r="S36"/>
    </row>
    <row r="37" spans="1:19" x14ac:dyDescent="0.3">
      <c r="A37" s="349" t="s">
        <v>91</v>
      </c>
      <c r="B37" s="470">
        <v>146600</v>
      </c>
      <c r="C37" s="352" t="s">
        <v>121</v>
      </c>
      <c r="D37" s="352" t="s">
        <v>116</v>
      </c>
      <c r="E37" s="90" t="s">
        <v>109</v>
      </c>
      <c r="F37" s="141">
        <v>300</v>
      </c>
      <c r="G37" s="338">
        <f>SUM(F37:F39)</f>
        <v>570</v>
      </c>
      <c r="I37"/>
      <c r="M37" s="63"/>
      <c r="N37" s="63"/>
      <c r="Q37"/>
      <c r="R37"/>
      <c r="S37"/>
    </row>
    <row r="38" spans="1:19" x14ac:dyDescent="0.3">
      <c r="A38" s="350"/>
      <c r="B38" s="471"/>
      <c r="C38" s="353"/>
      <c r="D38" s="353"/>
      <c r="E38" s="89" t="s">
        <v>110</v>
      </c>
      <c r="F38" s="142">
        <v>240</v>
      </c>
      <c r="G38" s="369"/>
      <c r="I38"/>
      <c r="M38" s="63"/>
      <c r="N38" s="63"/>
      <c r="Q38"/>
      <c r="R38"/>
      <c r="S38"/>
    </row>
    <row r="39" spans="1:19" ht="16.2" thickBot="1" x14ac:dyDescent="0.35">
      <c r="A39" s="351"/>
      <c r="B39" s="472"/>
      <c r="C39" s="354"/>
      <c r="D39" s="354"/>
      <c r="E39" s="91" t="s">
        <v>113</v>
      </c>
      <c r="F39" s="125">
        <v>30</v>
      </c>
      <c r="G39" s="339"/>
      <c r="I39"/>
      <c r="M39" s="63"/>
      <c r="N39" s="63"/>
      <c r="Q39"/>
      <c r="R39"/>
      <c r="S39"/>
    </row>
    <row r="40" spans="1:19" x14ac:dyDescent="0.3">
      <c r="A40" s="349" t="s">
        <v>91</v>
      </c>
      <c r="B40" s="470">
        <v>147310</v>
      </c>
      <c r="C40" s="352" t="s">
        <v>207</v>
      </c>
      <c r="D40" s="352" t="s">
        <v>116</v>
      </c>
      <c r="E40" s="90" t="s">
        <v>109</v>
      </c>
      <c r="F40" s="141">
        <v>300</v>
      </c>
      <c r="G40" s="338">
        <f>SUM(F40:F42)</f>
        <v>570</v>
      </c>
      <c r="I40"/>
      <c r="M40" s="63"/>
      <c r="N40" s="63"/>
      <c r="Q40"/>
      <c r="R40"/>
      <c r="S40"/>
    </row>
    <row r="41" spans="1:19" x14ac:dyDescent="0.3">
      <c r="A41" s="350"/>
      <c r="B41" s="471"/>
      <c r="C41" s="353"/>
      <c r="D41" s="353"/>
      <c r="E41" s="89" t="s">
        <v>110</v>
      </c>
      <c r="F41" s="142">
        <v>240</v>
      </c>
      <c r="G41" s="369"/>
      <c r="I41"/>
      <c r="M41" s="63"/>
      <c r="N41" s="63"/>
      <c r="Q41"/>
      <c r="R41"/>
      <c r="S41"/>
    </row>
    <row r="42" spans="1:19" ht="16.2" thickBot="1" x14ac:dyDescent="0.35">
      <c r="A42" s="479"/>
      <c r="B42" s="471"/>
      <c r="C42" s="480"/>
      <c r="D42" s="480"/>
      <c r="E42" s="481" t="s">
        <v>113</v>
      </c>
      <c r="F42" s="125">
        <v>30</v>
      </c>
      <c r="G42" s="369"/>
      <c r="I42"/>
      <c r="M42" s="63"/>
      <c r="N42" s="63"/>
      <c r="Q42"/>
      <c r="R42"/>
      <c r="S42"/>
    </row>
    <row r="43" spans="1:19" x14ac:dyDescent="0.3">
      <c r="A43" s="432" t="s">
        <v>91</v>
      </c>
      <c r="B43" s="470">
        <v>147500</v>
      </c>
      <c r="C43" s="344" t="s">
        <v>132</v>
      </c>
      <c r="D43" s="340" t="s">
        <v>127</v>
      </c>
      <c r="E43" s="90" t="s">
        <v>109</v>
      </c>
      <c r="F43" s="143">
        <f>160+160</f>
        <v>320</v>
      </c>
      <c r="G43" s="338">
        <f>SUM(F43:F44)</f>
        <v>387</v>
      </c>
      <c r="I43"/>
      <c r="L43" s="62"/>
      <c r="M43" s="63"/>
      <c r="N43" s="63" t="s">
        <v>191</v>
      </c>
      <c r="P43"/>
      <c r="Q43" s="63"/>
      <c r="R43"/>
      <c r="S43"/>
    </row>
    <row r="44" spans="1:19" ht="16.2" thickBot="1" x14ac:dyDescent="0.35">
      <c r="A44" s="433"/>
      <c r="B44" s="472"/>
      <c r="C44" s="345"/>
      <c r="D44" s="341"/>
      <c r="E44" s="91" t="s">
        <v>113</v>
      </c>
      <c r="F44" s="144">
        <v>67</v>
      </c>
      <c r="G44" s="339"/>
      <c r="I44"/>
      <c r="L44" s="62"/>
      <c r="M44" s="63"/>
      <c r="N44" s="63"/>
      <c r="P44"/>
      <c r="Q44" s="63"/>
      <c r="R44"/>
      <c r="S44"/>
    </row>
    <row r="45" spans="1:19" ht="15.6" customHeight="1" x14ac:dyDescent="0.3">
      <c r="A45" s="358" t="s">
        <v>91</v>
      </c>
      <c r="B45" s="470">
        <v>147700</v>
      </c>
      <c r="C45" s="364" t="s">
        <v>208</v>
      </c>
      <c r="D45" s="344" t="s">
        <v>125</v>
      </c>
      <c r="E45" s="90" t="s">
        <v>109</v>
      </c>
      <c r="F45" s="90">
        <v>120</v>
      </c>
      <c r="G45" s="346">
        <f>SUM(F45:F47)</f>
        <v>504</v>
      </c>
      <c r="I45"/>
    </row>
    <row r="46" spans="1:19" x14ac:dyDescent="0.3">
      <c r="A46" s="478"/>
      <c r="B46" s="471"/>
      <c r="C46" s="365"/>
      <c r="D46" s="368"/>
      <c r="E46" s="89" t="s">
        <v>124</v>
      </c>
      <c r="F46" s="89">
        <v>220</v>
      </c>
      <c r="G46" s="347"/>
      <c r="I46"/>
    </row>
    <row r="47" spans="1:19" ht="16.2" thickBot="1" x14ac:dyDescent="0.35">
      <c r="A47" s="359"/>
      <c r="B47" s="472"/>
      <c r="C47" s="366"/>
      <c r="D47" s="345"/>
      <c r="E47" s="91" t="s">
        <v>113</v>
      </c>
      <c r="F47" s="91">
        <f>120+44</f>
        <v>164</v>
      </c>
      <c r="G47" s="348"/>
      <c r="I47"/>
    </row>
    <row r="48" spans="1:19" ht="15.6" customHeight="1" x14ac:dyDescent="0.3">
      <c r="A48" s="358" t="s">
        <v>91</v>
      </c>
      <c r="B48" s="470">
        <v>147800</v>
      </c>
      <c r="C48" s="364" t="s">
        <v>122</v>
      </c>
      <c r="D48" s="344" t="s">
        <v>125</v>
      </c>
      <c r="E48" s="90" t="s">
        <v>109</v>
      </c>
      <c r="F48" s="90">
        <v>192</v>
      </c>
      <c r="G48" s="346">
        <f>SUM(F48:F50)</f>
        <v>480</v>
      </c>
      <c r="I48"/>
    </row>
    <row r="49" spans="1:17" x14ac:dyDescent="0.3">
      <c r="A49" s="478"/>
      <c r="B49" s="471"/>
      <c r="C49" s="365"/>
      <c r="D49" s="368"/>
      <c r="E49" s="89" t="s">
        <v>110</v>
      </c>
      <c r="F49" s="89">
        <v>144</v>
      </c>
      <c r="G49" s="347"/>
      <c r="I49"/>
    </row>
    <row r="50" spans="1:17" ht="16.2" thickBot="1" x14ac:dyDescent="0.35">
      <c r="A50" s="359"/>
      <c r="B50" s="472"/>
      <c r="C50" s="366"/>
      <c r="D50" s="345"/>
      <c r="E50" s="91" t="s">
        <v>113</v>
      </c>
      <c r="F50" s="91">
        <v>144</v>
      </c>
      <c r="G50" s="348"/>
      <c r="I50"/>
    </row>
    <row r="51" spans="1:17" x14ac:dyDescent="0.3">
      <c r="A51" s="362" t="s">
        <v>91</v>
      </c>
      <c r="B51" s="470">
        <v>148500</v>
      </c>
      <c r="C51" s="363" t="s">
        <v>120</v>
      </c>
      <c r="D51" s="363" t="s">
        <v>126</v>
      </c>
      <c r="E51" s="126" t="s">
        <v>109</v>
      </c>
      <c r="F51" s="126">
        <f>480+480</f>
        <v>960</v>
      </c>
      <c r="G51" s="346">
        <f>SUM(F51:F52)</f>
        <v>1840</v>
      </c>
      <c r="I51"/>
      <c r="Q51" s="159"/>
    </row>
    <row r="52" spans="1:17" ht="16.2" thickBot="1" x14ac:dyDescent="0.35">
      <c r="A52" s="351"/>
      <c r="B52" s="472"/>
      <c r="C52" s="354"/>
      <c r="D52" s="354"/>
      <c r="E52" s="91" t="s">
        <v>113</v>
      </c>
      <c r="F52" s="91">
        <f>480+400</f>
        <v>880</v>
      </c>
      <c r="G52" s="348"/>
      <c r="I52"/>
      <c r="N52" s="163"/>
      <c r="O52"/>
      <c r="P52"/>
      <c r="Q52" s="159"/>
    </row>
    <row r="53" spans="1:17" ht="16.2" thickBot="1" x14ac:dyDescent="0.35">
      <c r="A53" s="92"/>
      <c r="B53" s="475"/>
      <c r="C53" s="97" t="s">
        <v>40</v>
      </c>
      <c r="D53" s="97"/>
      <c r="E53" s="98"/>
      <c r="F53" s="98">
        <f>SUM(F33:F52)</f>
        <v>5106</v>
      </c>
      <c r="G53" s="99">
        <f>SUM(G33:G52)</f>
        <v>5106</v>
      </c>
    </row>
    <row r="54" spans="1:17" x14ac:dyDescent="0.3">
      <c r="F54"/>
    </row>
    <row r="55" spans="1:17" ht="21.6" thickBot="1" x14ac:dyDescent="0.45">
      <c r="D55" s="82" t="s">
        <v>196</v>
      </c>
      <c r="E55" s="82"/>
      <c r="F55" s="82"/>
      <c r="G55" s="82"/>
      <c r="H55" s="82"/>
      <c r="I55" s="83"/>
    </row>
    <row r="56" spans="1:17" x14ac:dyDescent="0.3">
      <c r="D56" s="173" t="s">
        <v>30</v>
      </c>
      <c r="E56" s="174" t="s">
        <v>135</v>
      </c>
      <c r="F56" s="174" t="s">
        <v>136</v>
      </c>
      <c r="G56" s="174" t="s">
        <v>154</v>
      </c>
      <c r="H56" s="174" t="s">
        <v>149</v>
      </c>
      <c r="I56" s="175" t="s">
        <v>144</v>
      </c>
      <c r="J56" s="176" t="s">
        <v>150</v>
      </c>
    </row>
    <row r="57" spans="1:17" x14ac:dyDescent="0.3">
      <c r="D57" s="177" t="s">
        <v>141</v>
      </c>
      <c r="E57" s="171" t="s">
        <v>140</v>
      </c>
      <c r="F57" s="171">
        <f t="shared" ref="F57:F65" si="5">G57+H57</f>
        <v>30</v>
      </c>
      <c r="G57" s="171">
        <v>24</v>
      </c>
      <c r="H57" s="171">
        <f>G57*0.25</f>
        <v>6</v>
      </c>
      <c r="I57" s="172">
        <v>178.2</v>
      </c>
      <c r="J57" s="178">
        <f>F57*I57</f>
        <v>5346</v>
      </c>
    </row>
    <row r="58" spans="1:17" x14ac:dyDescent="0.3">
      <c r="D58" s="177" t="s">
        <v>141</v>
      </c>
      <c r="E58" s="171" t="s">
        <v>142</v>
      </c>
      <c r="F58" s="171">
        <f t="shared" si="5"/>
        <v>30</v>
      </c>
      <c r="G58" s="171">
        <v>24</v>
      </c>
      <c r="H58" s="171">
        <f t="shared" ref="H58:H66" si="6">G58*0.25</f>
        <v>6</v>
      </c>
      <c r="I58" s="172">
        <v>168.84</v>
      </c>
      <c r="J58" s="178">
        <f t="shared" ref="J58:J65" si="7">F58*I58</f>
        <v>5065.2</v>
      </c>
    </row>
    <row r="59" spans="1:17" x14ac:dyDescent="0.3">
      <c r="D59" s="177" t="s">
        <v>152</v>
      </c>
      <c r="E59" s="171" t="s">
        <v>157</v>
      </c>
      <c r="F59" s="171">
        <f t="shared" si="5"/>
        <v>60</v>
      </c>
      <c r="G59" s="171">
        <f>24*2</f>
        <v>48</v>
      </c>
      <c r="H59" s="171">
        <f t="shared" si="6"/>
        <v>12</v>
      </c>
      <c r="I59" s="172">
        <v>192</v>
      </c>
      <c r="J59" s="178">
        <f t="shared" si="7"/>
        <v>11520</v>
      </c>
    </row>
    <row r="60" spans="1:17" x14ac:dyDescent="0.3">
      <c r="D60" s="177" t="s">
        <v>153</v>
      </c>
      <c r="E60" s="171" t="s">
        <v>156</v>
      </c>
      <c r="F60" s="171">
        <f t="shared" si="5"/>
        <v>60</v>
      </c>
      <c r="G60" s="171">
        <f>24*2</f>
        <v>48</v>
      </c>
      <c r="H60" s="171">
        <f t="shared" si="6"/>
        <v>12</v>
      </c>
      <c r="I60" s="172">
        <v>508.2</v>
      </c>
      <c r="J60" s="178">
        <f t="shared" si="7"/>
        <v>30492</v>
      </c>
    </row>
    <row r="61" spans="1:17" x14ac:dyDescent="0.3">
      <c r="D61" s="177" t="s">
        <v>155</v>
      </c>
      <c r="E61" s="171" t="s">
        <v>158</v>
      </c>
      <c r="F61" s="171">
        <f t="shared" si="5"/>
        <v>60</v>
      </c>
      <c r="G61" s="171">
        <f>24*2</f>
        <v>48</v>
      </c>
      <c r="H61" s="171">
        <f t="shared" si="6"/>
        <v>12</v>
      </c>
      <c r="I61" s="172">
        <v>259.2</v>
      </c>
      <c r="J61" s="178">
        <f t="shared" si="7"/>
        <v>15552</v>
      </c>
    </row>
    <row r="62" spans="1:17" x14ac:dyDescent="0.3">
      <c r="D62" s="177" t="s">
        <v>147</v>
      </c>
      <c r="E62" s="171" t="s">
        <v>137</v>
      </c>
      <c r="F62" s="171">
        <f t="shared" si="5"/>
        <v>10</v>
      </c>
      <c r="G62" s="171">
        <f>G61/12*2</f>
        <v>8</v>
      </c>
      <c r="H62" s="171">
        <f t="shared" si="6"/>
        <v>2</v>
      </c>
      <c r="I62" s="172">
        <v>85.2</v>
      </c>
      <c r="J62" s="178">
        <f t="shared" si="7"/>
        <v>852</v>
      </c>
    </row>
    <row r="63" spans="1:17" x14ac:dyDescent="0.3">
      <c r="D63" s="177" t="s">
        <v>148</v>
      </c>
      <c r="E63" s="171" t="s">
        <v>138</v>
      </c>
      <c r="F63" s="171">
        <f t="shared" si="5"/>
        <v>60</v>
      </c>
      <c r="G63" s="171">
        <f>24*2</f>
        <v>48</v>
      </c>
      <c r="H63" s="171">
        <f t="shared" si="6"/>
        <v>12</v>
      </c>
      <c r="I63" s="172">
        <v>145.30000000000001</v>
      </c>
      <c r="J63" s="178">
        <f t="shared" si="7"/>
        <v>8718</v>
      </c>
    </row>
    <row r="64" spans="1:17" x14ac:dyDescent="0.3">
      <c r="D64" s="177" t="s">
        <v>146</v>
      </c>
      <c r="E64" s="171" t="s">
        <v>145</v>
      </c>
      <c r="F64" s="171">
        <f t="shared" si="5"/>
        <v>1440</v>
      </c>
      <c r="G64" s="171">
        <f>48*24</f>
        <v>1152</v>
      </c>
      <c r="H64" s="171">
        <f t="shared" si="6"/>
        <v>288</v>
      </c>
      <c r="I64" s="172">
        <v>1.85</v>
      </c>
      <c r="J64" s="178">
        <f t="shared" si="7"/>
        <v>2664</v>
      </c>
    </row>
    <row r="65" spans="4:10" x14ac:dyDescent="0.3">
      <c r="D65" s="177" t="s">
        <v>143</v>
      </c>
      <c r="E65" s="171" t="s">
        <v>139</v>
      </c>
      <c r="F65" s="171">
        <f t="shared" si="5"/>
        <v>60</v>
      </c>
      <c r="G65" s="171">
        <f>G60</f>
        <v>48</v>
      </c>
      <c r="H65" s="171">
        <f t="shared" si="6"/>
        <v>12</v>
      </c>
      <c r="I65" s="172">
        <v>2.4500000000000002</v>
      </c>
      <c r="J65" s="178">
        <f t="shared" si="7"/>
        <v>147</v>
      </c>
    </row>
    <row r="66" spans="4:10" ht="16.2" thickBot="1" x14ac:dyDescent="0.35">
      <c r="D66" s="179" t="s">
        <v>151</v>
      </c>
      <c r="E66" s="180" t="s">
        <v>145</v>
      </c>
      <c r="F66" s="180">
        <f t="shared" ref="F66" si="8">G66+H66</f>
        <v>960</v>
      </c>
      <c r="G66" s="180">
        <f>(26+6)*24</f>
        <v>768</v>
      </c>
      <c r="H66" s="180">
        <f t="shared" si="6"/>
        <v>192</v>
      </c>
      <c r="I66" s="181">
        <v>11.25</v>
      </c>
      <c r="J66" s="182">
        <f t="shared" ref="J66" si="9">F66*I66</f>
        <v>10800</v>
      </c>
    </row>
  </sheetData>
  <sortState xmlns:xlrd2="http://schemas.microsoft.com/office/spreadsheetml/2017/richdata2" ref="A48:G52">
    <sortCondition ref="C48:C52"/>
  </sortState>
  <mergeCells count="41">
    <mergeCell ref="G43:G44"/>
    <mergeCell ref="D43:D44"/>
    <mergeCell ref="A43:A44"/>
    <mergeCell ref="C43:C44"/>
    <mergeCell ref="B43:B44"/>
    <mergeCell ref="A45:A47"/>
    <mergeCell ref="B45:B47"/>
    <mergeCell ref="C45:C47"/>
    <mergeCell ref="D45:D47"/>
    <mergeCell ref="G45:G47"/>
    <mergeCell ref="A40:A42"/>
    <mergeCell ref="B40:B42"/>
    <mergeCell ref="C40:C42"/>
    <mergeCell ref="D40:D42"/>
    <mergeCell ref="G40:G42"/>
    <mergeCell ref="B4:B12"/>
    <mergeCell ref="B13:B21"/>
    <mergeCell ref="B22:B29"/>
    <mergeCell ref="A4:A12"/>
    <mergeCell ref="A13:A21"/>
    <mergeCell ref="A22:A29"/>
    <mergeCell ref="G33:G36"/>
    <mergeCell ref="G37:G39"/>
    <mergeCell ref="A37:A39"/>
    <mergeCell ref="C37:C39"/>
    <mergeCell ref="D37:D39"/>
    <mergeCell ref="A33:A36"/>
    <mergeCell ref="C33:C36"/>
    <mergeCell ref="D33:D36"/>
    <mergeCell ref="B33:B36"/>
    <mergeCell ref="B37:B39"/>
    <mergeCell ref="G48:G50"/>
    <mergeCell ref="G51:G52"/>
    <mergeCell ref="A51:A52"/>
    <mergeCell ref="C51:C52"/>
    <mergeCell ref="D51:D52"/>
    <mergeCell ref="C48:C50"/>
    <mergeCell ref="A48:A50"/>
    <mergeCell ref="D48:D50"/>
    <mergeCell ref="B48:B50"/>
    <mergeCell ref="B51:B52"/>
  </mergeCells>
  <hyperlinks>
    <hyperlink ref="H5" location="'Quote - FELIX production'!A1" display="Quote: AVNET 701913858" xr:uid="{ABA0BAB1-3D49-4CC9-A8D2-72CF0685B258}"/>
    <hyperlink ref="H6:H8" location="'Quote - FELIX production'!A1" display="Quote: TTM 602848-0" xr:uid="{A1E178DE-CD8F-4C02-8767-5E47886666D7}"/>
    <hyperlink ref="H11:H12" location="'Quotations - Production Fiber'!A1" display="'Quotations - Production Fiber'!A1" xr:uid="{61459029-2D22-4D07-A924-828524A1B52A}"/>
    <hyperlink ref="H14:H21" location="'Quotations - v2.0 Fiber'!A1" display="'Quotations - v2.0 Fiber'!A1" xr:uid="{FC1320F2-3486-4739-830B-CE48BA67F37B}"/>
    <hyperlink ref="H23" location="'Quote - EBDC'!A1" display="Quote: Aberdeen server" xr:uid="{B62F7C29-5CFC-4611-A09E-D582D0831245}"/>
    <hyperlink ref="H27" location="'Quotations - Production Fiber'!A1" display="Quote: CCI/F26268P302-001" xr:uid="{1323CB69-01E6-4459-8AE8-C7A8AF20C052}"/>
    <hyperlink ref="H26" location="'Quote - Clock Distribution'!A1" display="Catalog: AFBR-709DMZ" xr:uid="{B6CB1B0E-87A0-499C-BB0E-A29B43B89330}"/>
  </hyperlinks>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
  <sheetViews>
    <sheetView workbookViewId="0"/>
  </sheetViews>
  <sheetFormatPr defaultRowHeight="15.6" x14ac:dyDescent="0.3"/>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
  <sheetViews>
    <sheetView workbookViewId="0">
      <selection activeCell="O1" sqref="O1"/>
    </sheetView>
  </sheetViews>
  <sheetFormatPr defaultRowHeight="15.6" x14ac:dyDescent="0.3"/>
  <sheetData/>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C7B46-1E63-49C6-B9EB-5B35BED0E6CB}">
  <dimension ref="A1"/>
  <sheetViews>
    <sheetView workbookViewId="0">
      <selection activeCell="U11" sqref="U11"/>
    </sheetView>
  </sheetViews>
  <sheetFormatPr defaultRowHeight="15.6" x14ac:dyDescent="0.3"/>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
  <sheetViews>
    <sheetView workbookViewId="0"/>
  </sheetViews>
  <sheetFormatPr defaultRowHeight="15.6" x14ac:dyDescent="0.3"/>
  <cols>
    <col min="13" max="13" width="0" hidden="1" customWidth="1"/>
  </cols>
  <sheetData/>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471A5E-70EB-41FE-815C-BB1F68101B72}">
  <dimension ref="A1"/>
  <sheetViews>
    <sheetView workbookViewId="0"/>
  </sheetViews>
  <sheetFormatPr defaultRowHeight="15.6" x14ac:dyDescent="0.3"/>
  <sheetData/>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55998F-E5FE-428B-9C56-54EFE05825BE}">
  <dimension ref="A1"/>
  <sheetViews>
    <sheetView workbookViewId="0"/>
  </sheetViews>
  <sheetFormatPr defaultRowHeight="15.6"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Nav</vt:lpstr>
      <vt:lpstr>Felix 1.5-Summary</vt:lpstr>
      <vt:lpstr>Felix 2.0-Summary</vt:lpstr>
      <vt:lpstr>Production-Summary</vt:lpstr>
      <vt:lpstr>Felix 1.5--Details</vt:lpstr>
      <vt:lpstr>Felix 2.0--Details</vt:lpstr>
      <vt:lpstr>Production--Details</vt:lpstr>
      <vt:lpstr>Quotations - v1.5 Peripheral</vt:lpstr>
      <vt:lpstr>Quotations - v2.0 Fiber</vt:lpstr>
      <vt:lpstr>Quotations - Production Fiber</vt:lpstr>
      <vt:lpstr>Quote - Clock Distribution</vt:lpstr>
      <vt:lpstr>Quote - FELIX production</vt:lpstr>
      <vt:lpstr>Quote - EBDC</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TPC DAM Basis of Estimate Documents</dc:title>
  <dc:creator>jhuang@bnl.gov</dc:creator>
  <cp:keywords>TPC DAM Basis of Estimate Documents</cp:keywords>
  <cp:lastModifiedBy>Glenn</cp:lastModifiedBy>
  <dcterms:created xsi:type="dcterms:W3CDTF">2017-03-02T14:42:49Z</dcterms:created>
  <dcterms:modified xsi:type="dcterms:W3CDTF">2019-04-02T05:21:43Z</dcterms:modified>
  <cp:category>BOE</cp:category>
</cp:coreProperties>
</file>